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d.docs.live.net/e215b02b5d226853/INFORMATIVOS/estrutural/"/>
    </mc:Choice>
  </mc:AlternateContent>
  <xr:revisionPtr revIDLastSave="438" documentId="14_{B2E8D87A-1D0D-47F8-8A9C-62BF02820EF8}" xr6:coauthVersionLast="47" xr6:coauthVersionMax="47" xr10:uidLastSave="{3DC7A47D-91CD-49D8-8C1C-E7AE19A9F5FD}"/>
  <workbookProtection workbookAlgorithmName="SHA-512" workbookHashValue="lZBsFmBo+V9jPruUYCiD/SEoV59vZUos6EoPlb8GSXaMGGmLAEh0n5z58hhgWG/bC22AkX9wkqX/ua79UVhSgg==" workbookSaltValue="ZcB9iJcz3wHdP/4CwtBsSw==" workbookSpinCount="100000" lockStructure="1"/>
  <bookViews>
    <workbookView xWindow="-120" yWindow="-120" windowWidth="29040" windowHeight="15720" tabRatio="910" xr2:uid="{00000000-000D-0000-FFFF-FFFF00000000}"/>
  </bookViews>
  <sheets>
    <sheet name="DADOS" sheetId="1" r:id="rId1"/>
    <sheet name="CARGAS" sheetId="2" state="hidden" r:id="rId2"/>
    <sheet name="Equilibrio" sheetId="3" state="hidden" r:id="rId3"/>
    <sheet name="tensões" sheetId="4" state="hidden" r:id="rId4"/>
  </sheets>
  <externalReferences>
    <externalReference r:id="rId5"/>
  </externalReferences>
  <definedNames>
    <definedName name="boa">DADOS!$C$4</definedName>
    <definedName name="Boca">[1]Dados!$B$5</definedName>
    <definedName name="calado">DADOS!$C$6</definedName>
    <definedName name="capacidadecomp">CARGAS!$H$12</definedName>
    <definedName name="casco">CARGAS!$I$17</definedName>
    <definedName name="cb">DADOS!#REF!</definedName>
    <definedName name="Ccarga">DADOS!#REF!</definedName>
    <definedName name="cm">Equilibrio!$Y$39</definedName>
    <definedName name="compsup">DADOS!$I$6</definedName>
    <definedName name="densidadeagua">Equilibrio!$Y$38</definedName>
    <definedName name="deslocamento">DADOS!#REF!</definedName>
    <definedName name="fcortantemax">Equilibrio!$AC$18</definedName>
    <definedName name="forcacortante">Equilibrio!$Z$9</definedName>
    <definedName name="infoatualizar">Equilibrio!$AA$10</definedName>
    <definedName name="infocarga">Equilibrio!#REF!</definedName>
    <definedName name="loa">DADOS!$C$3</definedName>
    <definedName name="momentofletor">Equilibrio!$Z$10</definedName>
    <definedName name="momentomax">Equilibrio!$Z$18</definedName>
    <definedName name="motor">CARGAS!#REF!</definedName>
    <definedName name="out">CARGAS!$I$18</definedName>
    <definedName name="pontal">DADOS!$C$5</definedName>
    <definedName name="posisup">CARGAS!$C$67</definedName>
    <definedName name="sup">CARGAS!$I$19</definedName>
    <definedName name="tanque1">CARGAS!$D$18</definedName>
    <definedName name="tanque2">CARGAS!$D$19</definedName>
    <definedName name="tanque3">CARGAS!$D$20</definedName>
    <definedName name="tanque4">CARGAS!$D$21</definedName>
    <definedName name="tanque5">CARGAS!$D$22</definedName>
    <definedName name="tanque6">CARGAS!$D$23</definedName>
    <definedName name="tanque7">CARGAS!$D$24</definedName>
    <definedName name="tanque8">CARGAS!$D$25</definedName>
    <definedName name="tmedio">Equilibrio!$Z$8</definedName>
    <definedName name="trimrad">Equilibrio!$AB$7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8" i="4" l="1"/>
  <c r="Q23" i="4"/>
  <c r="R4" i="1" l="1"/>
  <c r="H25" i="2" l="1"/>
  <c r="Z1" i="3" l="1"/>
  <c r="X25" i="2"/>
  <c r="W25" i="2"/>
  <c r="V25" i="2"/>
  <c r="U25" i="2"/>
  <c r="T25" i="2"/>
  <c r="S25" i="2"/>
  <c r="R25" i="2"/>
  <c r="Q25" i="2"/>
  <c r="M11" i="4"/>
  <c r="C5" i="1"/>
  <c r="AE29" i="2" s="1"/>
  <c r="C4" i="1"/>
  <c r="F1" i="2" s="1"/>
  <c r="K15" i="2"/>
  <c r="K16" i="2" s="1"/>
  <c r="E346" i="3"/>
  <c r="E347" i="3"/>
  <c r="E348" i="3"/>
  <c r="E349" i="3"/>
  <c r="E350" i="3"/>
  <c r="E351" i="3"/>
  <c r="E336" i="3"/>
  <c r="E337" i="3"/>
  <c r="E338" i="3"/>
  <c r="E339" i="3"/>
  <c r="E340" i="3"/>
  <c r="E341" i="3"/>
  <c r="E342" i="3"/>
  <c r="E343" i="3"/>
  <c r="E344" i="3"/>
  <c r="E345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00" i="3"/>
  <c r="E301" i="3"/>
  <c r="E302" i="3"/>
  <c r="E303" i="3"/>
  <c r="E304" i="3"/>
  <c r="E305" i="3"/>
  <c r="E306" i="3"/>
  <c r="E307" i="3"/>
  <c r="E308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Y38" i="3"/>
  <c r="G33" i="2"/>
  <c r="H11" i="2"/>
  <c r="K17" i="2" l="1"/>
  <c r="AK30" i="2"/>
  <c r="J4" i="4"/>
  <c r="Q24" i="4"/>
  <c r="AH29" i="2"/>
  <c r="AE30" i="2"/>
  <c r="AH30" i="2"/>
  <c r="AK29" i="2"/>
  <c r="B69" i="2"/>
  <c r="J3" i="4" l="1"/>
  <c r="J2" i="4"/>
  <c r="J1" i="4" l="1"/>
  <c r="V28" i="4" l="1"/>
  <c r="Q2" i="4"/>
  <c r="Q3" i="4"/>
  <c r="O5" i="4"/>
  <c r="O4" i="4"/>
  <c r="O3" i="4"/>
  <c r="O2" i="4"/>
  <c r="N3" i="4"/>
  <c r="N2" i="4"/>
  <c r="P3" i="4" l="1"/>
  <c r="P2" i="4"/>
  <c r="D3" i="2" l="1"/>
  <c r="D1" i="2"/>
  <c r="H8" i="2"/>
  <c r="O28" i="2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K25" i="2"/>
  <c r="B70" i="2"/>
  <c r="B68" i="2"/>
  <c r="E70" i="2" l="1"/>
  <c r="D70" i="2"/>
  <c r="E69" i="2"/>
  <c r="D69" i="2"/>
  <c r="E68" i="2"/>
  <c r="C51" i="2"/>
  <c r="C50" i="2"/>
  <c r="C38" i="2"/>
  <c r="C37" i="2"/>
  <c r="D346" i="3" l="1"/>
  <c r="D338" i="3"/>
  <c r="D309" i="3"/>
  <c r="D349" i="3"/>
  <c r="D341" i="3"/>
  <c r="D312" i="3"/>
  <c r="D320" i="3"/>
  <c r="D328" i="3"/>
  <c r="D336" i="3"/>
  <c r="D344" i="3"/>
  <c r="D315" i="3"/>
  <c r="D347" i="3"/>
  <c r="D339" i="3"/>
  <c r="D310" i="3"/>
  <c r="D318" i="3"/>
  <c r="D326" i="3"/>
  <c r="D334" i="3"/>
  <c r="D306" i="3"/>
  <c r="D290" i="3"/>
  <c r="D350" i="3"/>
  <c r="D342" i="3"/>
  <c r="D313" i="3"/>
  <c r="D321" i="3"/>
  <c r="D329" i="3"/>
  <c r="D301" i="3"/>
  <c r="D285" i="3"/>
  <c r="D293" i="3"/>
  <c r="D271" i="3"/>
  <c r="D337" i="3"/>
  <c r="D345" i="3"/>
  <c r="D316" i="3"/>
  <c r="D324" i="3"/>
  <c r="D332" i="3"/>
  <c r="D304" i="3"/>
  <c r="D288" i="3"/>
  <c r="D296" i="3"/>
  <c r="D348" i="3"/>
  <c r="D317" i="3"/>
  <c r="D331" i="3"/>
  <c r="D291" i="3"/>
  <c r="D292" i="3"/>
  <c r="D298" i="3"/>
  <c r="D273" i="3"/>
  <c r="D281" i="3"/>
  <c r="D261" i="3"/>
  <c r="D269" i="3"/>
  <c r="D314" i="3"/>
  <c r="D325" i="3"/>
  <c r="D330" i="3"/>
  <c r="D289" i="3"/>
  <c r="D299" i="3"/>
  <c r="D276" i="3"/>
  <c r="D284" i="3"/>
  <c r="D264" i="3"/>
  <c r="D243" i="3"/>
  <c r="D340" i="3"/>
  <c r="D286" i="3"/>
  <c r="D287" i="3"/>
  <c r="D270" i="3"/>
  <c r="D279" i="3"/>
  <c r="D259" i="3"/>
  <c r="D267" i="3"/>
  <c r="D246" i="3"/>
  <c r="D319" i="3"/>
  <c r="D307" i="3"/>
  <c r="D308" i="3"/>
  <c r="D274" i="3"/>
  <c r="D282" i="3"/>
  <c r="D262" i="3"/>
  <c r="D241" i="3"/>
  <c r="D311" i="3"/>
  <c r="D323" i="3"/>
  <c r="D305" i="3"/>
  <c r="D277" i="3"/>
  <c r="D257" i="3"/>
  <c r="D265" i="3"/>
  <c r="D351" i="3"/>
  <c r="D322" i="3"/>
  <c r="D302" i="3"/>
  <c r="D303" i="3"/>
  <c r="D272" i="3"/>
  <c r="D280" i="3"/>
  <c r="D260" i="3"/>
  <c r="D268" i="3"/>
  <c r="D247" i="3"/>
  <c r="D327" i="3"/>
  <c r="D335" i="3"/>
  <c r="D300" i="3"/>
  <c r="D275" i="3"/>
  <c r="D283" i="3"/>
  <c r="D263" i="3"/>
  <c r="D242" i="3"/>
  <c r="D278" i="3"/>
  <c r="D244" i="3"/>
  <c r="D245" i="3"/>
  <c r="D252" i="3"/>
  <c r="D229" i="3"/>
  <c r="D237" i="3"/>
  <c r="D196" i="3"/>
  <c r="D204" i="3"/>
  <c r="D212" i="3"/>
  <c r="D220" i="3"/>
  <c r="D258" i="3"/>
  <c r="D248" i="3"/>
  <c r="D255" i="3"/>
  <c r="D232" i="3"/>
  <c r="D240" i="3"/>
  <c r="D199" i="3"/>
  <c r="D207" i="3"/>
  <c r="D215" i="3"/>
  <c r="D295" i="3"/>
  <c r="D266" i="3"/>
  <c r="D249" i="3"/>
  <c r="D227" i="3"/>
  <c r="D235" i="3"/>
  <c r="D194" i="3"/>
  <c r="D202" i="3"/>
  <c r="D210" i="3"/>
  <c r="D218" i="3"/>
  <c r="D250" i="3"/>
  <c r="D253" i="3"/>
  <c r="D230" i="3"/>
  <c r="D238" i="3"/>
  <c r="D197" i="3"/>
  <c r="D205" i="3"/>
  <c r="D213" i="3"/>
  <c r="D221" i="3"/>
  <c r="D256" i="3"/>
  <c r="D233" i="3"/>
  <c r="D192" i="3"/>
  <c r="D200" i="3"/>
  <c r="D208" i="3"/>
  <c r="D216" i="3"/>
  <c r="D251" i="3"/>
  <c r="D228" i="3"/>
  <c r="D236" i="3"/>
  <c r="D195" i="3"/>
  <c r="D203" i="3"/>
  <c r="D211" i="3"/>
  <c r="D219" i="3"/>
  <c r="D343" i="3"/>
  <c r="D254" i="3"/>
  <c r="D231" i="3"/>
  <c r="D239" i="3"/>
  <c r="D198" i="3"/>
  <c r="D206" i="3"/>
  <c r="D214" i="3"/>
  <c r="D222" i="3"/>
  <c r="D333" i="3"/>
  <c r="D294" i="3"/>
  <c r="D297" i="3"/>
  <c r="D226" i="3"/>
  <c r="D234" i="3"/>
  <c r="D193" i="3"/>
  <c r="D201" i="3"/>
  <c r="D209" i="3"/>
  <c r="D217" i="3"/>
  <c r="D225" i="3"/>
  <c r="D223" i="3"/>
  <c r="D224" i="3"/>
  <c r="D28" i="3"/>
  <c r="D36" i="3"/>
  <c r="D44" i="3"/>
  <c r="D52" i="3"/>
  <c r="D60" i="3"/>
  <c r="D68" i="3"/>
  <c r="D76" i="3"/>
  <c r="D109" i="3"/>
  <c r="D117" i="3"/>
  <c r="D125" i="3"/>
  <c r="D133" i="3"/>
  <c r="D141" i="3"/>
  <c r="D149" i="3"/>
  <c r="D157" i="3"/>
  <c r="D189" i="3"/>
  <c r="D63" i="3"/>
  <c r="D120" i="3"/>
  <c r="D144" i="3"/>
  <c r="D35" i="3"/>
  <c r="D116" i="3"/>
  <c r="D29" i="3"/>
  <c r="D37" i="3"/>
  <c r="D45" i="3"/>
  <c r="D53" i="3"/>
  <c r="D61" i="3"/>
  <c r="D69" i="3"/>
  <c r="D77" i="3"/>
  <c r="D110" i="3"/>
  <c r="D118" i="3"/>
  <c r="D126" i="3"/>
  <c r="D134" i="3"/>
  <c r="D142" i="3"/>
  <c r="D150" i="3"/>
  <c r="D158" i="3"/>
  <c r="D190" i="3"/>
  <c r="D71" i="3"/>
  <c r="D128" i="3"/>
  <c r="D152" i="3"/>
  <c r="D51" i="3"/>
  <c r="D83" i="3"/>
  <c r="D156" i="3"/>
  <c r="D30" i="3"/>
  <c r="D38" i="3"/>
  <c r="D46" i="3"/>
  <c r="D54" i="3"/>
  <c r="D62" i="3"/>
  <c r="D70" i="3"/>
  <c r="D78" i="3"/>
  <c r="D111" i="3"/>
  <c r="D119" i="3"/>
  <c r="D127" i="3"/>
  <c r="D135" i="3"/>
  <c r="D143" i="3"/>
  <c r="D151" i="3"/>
  <c r="D159" i="3"/>
  <c r="D191" i="3"/>
  <c r="D55" i="3"/>
  <c r="D79" i="3"/>
  <c r="D136" i="3"/>
  <c r="D160" i="3"/>
  <c r="D27" i="3"/>
  <c r="D75" i="3"/>
  <c r="D31" i="3"/>
  <c r="D39" i="3"/>
  <c r="D47" i="3"/>
  <c r="D112" i="3"/>
  <c r="D148" i="3"/>
  <c r="D32" i="3"/>
  <c r="D40" i="3"/>
  <c r="D48" i="3"/>
  <c r="D56" i="3"/>
  <c r="D64" i="3"/>
  <c r="D72" i="3"/>
  <c r="D80" i="3"/>
  <c r="D113" i="3"/>
  <c r="D121" i="3"/>
  <c r="D129" i="3"/>
  <c r="D137" i="3"/>
  <c r="D145" i="3"/>
  <c r="D153" i="3"/>
  <c r="D161" i="3"/>
  <c r="D67" i="3"/>
  <c r="D140" i="3"/>
  <c r="D33" i="3"/>
  <c r="D41" i="3"/>
  <c r="D49" i="3"/>
  <c r="D57" i="3"/>
  <c r="D65" i="3"/>
  <c r="D73" i="3"/>
  <c r="D81" i="3"/>
  <c r="D114" i="3"/>
  <c r="D122" i="3"/>
  <c r="D130" i="3"/>
  <c r="D138" i="3"/>
  <c r="D146" i="3"/>
  <c r="D154" i="3"/>
  <c r="D162" i="3"/>
  <c r="D43" i="3"/>
  <c r="D124" i="3"/>
  <c r="D34" i="3"/>
  <c r="D42" i="3"/>
  <c r="D50" i="3"/>
  <c r="D58" i="3"/>
  <c r="D66" i="3"/>
  <c r="D74" i="3"/>
  <c r="D82" i="3"/>
  <c r="D115" i="3"/>
  <c r="D123" i="3"/>
  <c r="D131" i="3"/>
  <c r="D139" i="3"/>
  <c r="D147" i="3"/>
  <c r="D155" i="3"/>
  <c r="D163" i="3"/>
  <c r="D59" i="3"/>
  <c r="D132" i="3"/>
  <c r="Z2" i="3"/>
  <c r="Z3" i="3" s="1"/>
  <c r="O347" i="3" l="1"/>
  <c r="P347" i="3" s="1"/>
  <c r="O351" i="3"/>
  <c r="P351" i="3" s="1"/>
  <c r="O339" i="3"/>
  <c r="P339" i="3" s="1"/>
  <c r="O343" i="3"/>
  <c r="P343" i="3" s="1"/>
  <c r="O310" i="3"/>
  <c r="P310" i="3" s="1"/>
  <c r="O314" i="3"/>
  <c r="P314" i="3" s="1"/>
  <c r="O318" i="3"/>
  <c r="P318" i="3" s="1"/>
  <c r="O322" i="3"/>
  <c r="P322" i="3" s="1"/>
  <c r="O326" i="3"/>
  <c r="P326" i="3" s="1"/>
  <c r="O330" i="3"/>
  <c r="P330" i="3" s="1"/>
  <c r="O334" i="3"/>
  <c r="P334" i="3" s="1"/>
  <c r="O302" i="3"/>
  <c r="P302" i="3" s="1"/>
  <c r="O306" i="3"/>
  <c r="P306" i="3" s="1"/>
  <c r="O286" i="3"/>
  <c r="P286" i="3" s="1"/>
  <c r="O290" i="3"/>
  <c r="P290" i="3" s="1"/>
  <c r="O294" i="3"/>
  <c r="P294" i="3" s="1"/>
  <c r="O298" i="3"/>
  <c r="P298" i="3" s="1"/>
  <c r="O272" i="3"/>
  <c r="P272" i="3" s="1"/>
  <c r="O276" i="3"/>
  <c r="P276" i="3" s="1"/>
  <c r="O280" i="3"/>
  <c r="P280" i="3" s="1"/>
  <c r="O284" i="3"/>
  <c r="P284" i="3" s="1"/>
  <c r="O260" i="3"/>
  <c r="P260" i="3" s="1"/>
  <c r="O264" i="3"/>
  <c r="P264" i="3" s="1"/>
  <c r="O268" i="3"/>
  <c r="P268" i="3" s="1"/>
  <c r="O243" i="3"/>
  <c r="P243" i="3" s="1"/>
  <c r="O247" i="3"/>
  <c r="P247" i="3" s="1"/>
  <c r="O251" i="3"/>
  <c r="P251" i="3" s="1"/>
  <c r="O255" i="3"/>
  <c r="P255" i="3" s="1"/>
  <c r="O228" i="3"/>
  <c r="P228" i="3" s="1"/>
  <c r="O232" i="3"/>
  <c r="P232" i="3" s="1"/>
  <c r="O236" i="3"/>
  <c r="P236" i="3" s="1"/>
  <c r="O240" i="3"/>
  <c r="P240" i="3" s="1"/>
  <c r="O195" i="3"/>
  <c r="P195" i="3" s="1"/>
  <c r="O199" i="3"/>
  <c r="P199" i="3" s="1"/>
  <c r="O203" i="3"/>
  <c r="P203" i="3" s="1"/>
  <c r="O207" i="3"/>
  <c r="P207" i="3" s="1"/>
  <c r="O192" i="3"/>
  <c r="P192" i="3" s="1"/>
  <c r="O204" i="3"/>
  <c r="P204" i="3" s="1"/>
  <c r="O212" i="3"/>
  <c r="P212" i="3" s="1"/>
  <c r="O348" i="3"/>
  <c r="P348" i="3" s="1"/>
  <c r="O336" i="3"/>
  <c r="P336" i="3" s="1"/>
  <c r="O340" i="3"/>
  <c r="P340" i="3" s="1"/>
  <c r="O344" i="3"/>
  <c r="P344" i="3" s="1"/>
  <c r="O311" i="3"/>
  <c r="P311" i="3" s="1"/>
  <c r="O315" i="3"/>
  <c r="P315" i="3" s="1"/>
  <c r="O319" i="3"/>
  <c r="P319" i="3" s="1"/>
  <c r="O323" i="3"/>
  <c r="P323" i="3" s="1"/>
  <c r="O327" i="3"/>
  <c r="P327" i="3" s="1"/>
  <c r="O331" i="3"/>
  <c r="P331" i="3" s="1"/>
  <c r="O335" i="3"/>
  <c r="P335" i="3" s="1"/>
  <c r="O303" i="3"/>
  <c r="P303" i="3" s="1"/>
  <c r="O307" i="3"/>
  <c r="P307" i="3" s="1"/>
  <c r="O287" i="3"/>
  <c r="P287" i="3" s="1"/>
  <c r="O291" i="3"/>
  <c r="P291" i="3" s="1"/>
  <c r="O295" i="3"/>
  <c r="P295" i="3" s="1"/>
  <c r="O299" i="3"/>
  <c r="P299" i="3" s="1"/>
  <c r="O273" i="3"/>
  <c r="P273" i="3" s="1"/>
  <c r="O277" i="3"/>
  <c r="P277" i="3" s="1"/>
  <c r="O281" i="3"/>
  <c r="P281" i="3" s="1"/>
  <c r="O257" i="3"/>
  <c r="P257" i="3" s="1"/>
  <c r="O261" i="3"/>
  <c r="P261" i="3" s="1"/>
  <c r="O265" i="3"/>
  <c r="P265" i="3" s="1"/>
  <c r="O269" i="3"/>
  <c r="P269" i="3" s="1"/>
  <c r="O244" i="3"/>
  <c r="P244" i="3" s="1"/>
  <c r="O248" i="3"/>
  <c r="P248" i="3" s="1"/>
  <c r="O252" i="3"/>
  <c r="P252" i="3" s="1"/>
  <c r="O256" i="3"/>
  <c r="P256" i="3" s="1"/>
  <c r="O229" i="3"/>
  <c r="P229" i="3" s="1"/>
  <c r="O233" i="3"/>
  <c r="P233" i="3" s="1"/>
  <c r="O237" i="3"/>
  <c r="P237" i="3" s="1"/>
  <c r="O196" i="3"/>
  <c r="P196" i="3" s="1"/>
  <c r="O200" i="3"/>
  <c r="P200" i="3" s="1"/>
  <c r="O208" i="3"/>
  <c r="P208" i="3" s="1"/>
  <c r="O216" i="3"/>
  <c r="P216" i="3" s="1"/>
  <c r="O193" i="3"/>
  <c r="P193" i="3" s="1"/>
  <c r="O205" i="3"/>
  <c r="P205" i="3" s="1"/>
  <c r="O213" i="3"/>
  <c r="P213" i="3" s="1"/>
  <c r="O349" i="3"/>
  <c r="P349" i="3" s="1"/>
  <c r="O337" i="3"/>
  <c r="P337" i="3" s="1"/>
  <c r="O341" i="3"/>
  <c r="P341" i="3" s="1"/>
  <c r="O345" i="3"/>
  <c r="P345" i="3" s="1"/>
  <c r="O312" i="3"/>
  <c r="P312" i="3" s="1"/>
  <c r="O316" i="3"/>
  <c r="P316" i="3" s="1"/>
  <c r="O320" i="3"/>
  <c r="P320" i="3" s="1"/>
  <c r="O324" i="3"/>
  <c r="P324" i="3" s="1"/>
  <c r="O328" i="3"/>
  <c r="P328" i="3" s="1"/>
  <c r="O332" i="3"/>
  <c r="P332" i="3" s="1"/>
  <c r="O300" i="3"/>
  <c r="P300" i="3" s="1"/>
  <c r="O304" i="3"/>
  <c r="P304" i="3" s="1"/>
  <c r="O308" i="3"/>
  <c r="P308" i="3" s="1"/>
  <c r="O288" i="3"/>
  <c r="P288" i="3" s="1"/>
  <c r="O292" i="3"/>
  <c r="P292" i="3" s="1"/>
  <c r="O296" i="3"/>
  <c r="P296" i="3" s="1"/>
  <c r="O270" i="3"/>
  <c r="P270" i="3" s="1"/>
  <c r="O274" i="3"/>
  <c r="P274" i="3" s="1"/>
  <c r="O278" i="3"/>
  <c r="P278" i="3" s="1"/>
  <c r="O282" i="3"/>
  <c r="P282" i="3" s="1"/>
  <c r="O258" i="3"/>
  <c r="P258" i="3" s="1"/>
  <c r="O262" i="3"/>
  <c r="P262" i="3" s="1"/>
  <c r="O266" i="3"/>
  <c r="P266" i="3" s="1"/>
  <c r="O241" i="3"/>
  <c r="P241" i="3" s="1"/>
  <c r="O245" i="3"/>
  <c r="P245" i="3" s="1"/>
  <c r="O249" i="3"/>
  <c r="P249" i="3" s="1"/>
  <c r="O253" i="3"/>
  <c r="P253" i="3" s="1"/>
  <c r="O226" i="3"/>
  <c r="P226" i="3" s="1"/>
  <c r="O230" i="3"/>
  <c r="P230" i="3" s="1"/>
  <c r="O234" i="3"/>
  <c r="P234" i="3" s="1"/>
  <c r="O238" i="3"/>
  <c r="P238" i="3" s="1"/>
  <c r="O197" i="3"/>
  <c r="P197" i="3" s="1"/>
  <c r="O201" i="3"/>
  <c r="P201" i="3" s="1"/>
  <c r="O209" i="3"/>
  <c r="P209" i="3" s="1"/>
  <c r="O194" i="3"/>
  <c r="P194" i="3" s="1"/>
  <c r="O206" i="3"/>
  <c r="P206" i="3" s="1"/>
  <c r="O214" i="3"/>
  <c r="P214" i="3" s="1"/>
  <c r="O346" i="3"/>
  <c r="P346" i="3" s="1"/>
  <c r="O350" i="3"/>
  <c r="P350" i="3" s="1"/>
  <c r="O338" i="3"/>
  <c r="P338" i="3" s="1"/>
  <c r="O342" i="3"/>
  <c r="P342" i="3" s="1"/>
  <c r="O309" i="3"/>
  <c r="P309" i="3" s="1"/>
  <c r="O313" i="3"/>
  <c r="P313" i="3" s="1"/>
  <c r="O317" i="3"/>
  <c r="P317" i="3" s="1"/>
  <c r="O321" i="3"/>
  <c r="P321" i="3" s="1"/>
  <c r="O325" i="3"/>
  <c r="P325" i="3" s="1"/>
  <c r="O329" i="3"/>
  <c r="P329" i="3" s="1"/>
  <c r="O333" i="3"/>
  <c r="P333" i="3" s="1"/>
  <c r="O301" i="3"/>
  <c r="P301" i="3" s="1"/>
  <c r="O305" i="3"/>
  <c r="P305" i="3" s="1"/>
  <c r="O285" i="3"/>
  <c r="P285" i="3" s="1"/>
  <c r="O289" i="3"/>
  <c r="P289" i="3" s="1"/>
  <c r="O293" i="3"/>
  <c r="P293" i="3" s="1"/>
  <c r="O297" i="3"/>
  <c r="P297" i="3" s="1"/>
  <c r="O271" i="3"/>
  <c r="P271" i="3" s="1"/>
  <c r="O275" i="3"/>
  <c r="P275" i="3" s="1"/>
  <c r="O279" i="3"/>
  <c r="P279" i="3" s="1"/>
  <c r="O283" i="3"/>
  <c r="P283" i="3" s="1"/>
  <c r="O259" i="3"/>
  <c r="P259" i="3" s="1"/>
  <c r="O263" i="3"/>
  <c r="P263" i="3" s="1"/>
  <c r="O267" i="3"/>
  <c r="P267" i="3" s="1"/>
  <c r="O242" i="3"/>
  <c r="P242" i="3" s="1"/>
  <c r="O246" i="3"/>
  <c r="P246" i="3" s="1"/>
  <c r="O250" i="3"/>
  <c r="P250" i="3" s="1"/>
  <c r="O254" i="3"/>
  <c r="P254" i="3" s="1"/>
  <c r="O227" i="3"/>
  <c r="P227" i="3" s="1"/>
  <c r="O231" i="3"/>
  <c r="P231" i="3" s="1"/>
  <c r="O235" i="3"/>
  <c r="P235" i="3" s="1"/>
  <c r="O239" i="3"/>
  <c r="P239" i="3" s="1"/>
  <c r="O198" i="3"/>
  <c r="P198" i="3" s="1"/>
  <c r="O202" i="3"/>
  <c r="P202" i="3" s="1"/>
  <c r="O210" i="3"/>
  <c r="P210" i="3" s="1"/>
  <c r="O211" i="3"/>
  <c r="P211" i="3" s="1"/>
  <c r="O217" i="3"/>
  <c r="P217" i="3" s="1"/>
  <c r="O221" i="3"/>
  <c r="P221" i="3" s="1"/>
  <c r="O225" i="3"/>
  <c r="P225" i="3" s="1"/>
  <c r="O220" i="3"/>
  <c r="P220" i="3" s="1"/>
  <c r="O218" i="3"/>
  <c r="P218" i="3" s="1"/>
  <c r="O222" i="3"/>
  <c r="P222" i="3" s="1"/>
  <c r="O224" i="3"/>
  <c r="P224" i="3" s="1"/>
  <c r="O219" i="3"/>
  <c r="P219" i="3" s="1"/>
  <c r="O223" i="3"/>
  <c r="P223" i="3" s="1"/>
  <c r="O215" i="3"/>
  <c r="P215" i="3" s="1"/>
  <c r="O3" i="3"/>
  <c r="O188" i="3"/>
  <c r="O2" i="3"/>
  <c r="P2" i="3" s="1"/>
  <c r="O172" i="3"/>
  <c r="O164" i="3"/>
  <c r="O180" i="3"/>
  <c r="O186" i="3"/>
  <c r="O178" i="3"/>
  <c r="O170" i="3"/>
  <c r="O162" i="3"/>
  <c r="O154" i="3"/>
  <c r="O146" i="3"/>
  <c r="O138" i="3"/>
  <c r="O130" i="3"/>
  <c r="O122" i="3"/>
  <c r="O114" i="3"/>
  <c r="O106" i="3"/>
  <c r="O98" i="3"/>
  <c r="O90" i="3"/>
  <c r="O82" i="3"/>
  <c r="O74" i="3"/>
  <c r="O66" i="3"/>
  <c r="O58" i="3"/>
  <c r="O50" i="3"/>
  <c r="O42" i="3"/>
  <c r="O34" i="3"/>
  <c r="O26" i="3"/>
  <c r="O18" i="3"/>
  <c r="O10" i="3"/>
  <c r="O185" i="3"/>
  <c r="O177" i="3"/>
  <c r="O169" i="3"/>
  <c r="O161" i="3"/>
  <c r="O153" i="3"/>
  <c r="O145" i="3"/>
  <c r="O137" i="3"/>
  <c r="O129" i="3"/>
  <c r="O121" i="3"/>
  <c r="O113" i="3"/>
  <c r="O105" i="3"/>
  <c r="O97" i="3"/>
  <c r="O89" i="3"/>
  <c r="O81" i="3"/>
  <c r="O73" i="3"/>
  <c r="O65" i="3"/>
  <c r="O57" i="3"/>
  <c r="O49" i="3"/>
  <c r="O41" i="3"/>
  <c r="O33" i="3"/>
  <c r="O25" i="3"/>
  <c r="O17" i="3"/>
  <c r="O9" i="3"/>
  <c r="O184" i="3"/>
  <c r="O176" i="3"/>
  <c r="O168" i="3"/>
  <c r="O160" i="3"/>
  <c r="O152" i="3"/>
  <c r="O144" i="3"/>
  <c r="O136" i="3"/>
  <c r="O128" i="3"/>
  <c r="O120" i="3"/>
  <c r="O112" i="3"/>
  <c r="O104" i="3"/>
  <c r="O96" i="3"/>
  <c r="O88" i="3"/>
  <c r="O80" i="3"/>
  <c r="O72" i="3"/>
  <c r="O64" i="3"/>
  <c r="O56" i="3"/>
  <c r="O48" i="3"/>
  <c r="O40" i="3"/>
  <c r="O32" i="3"/>
  <c r="O24" i="3"/>
  <c r="O16" i="3"/>
  <c r="O8" i="3"/>
  <c r="O191" i="3"/>
  <c r="O183" i="3"/>
  <c r="O175" i="3"/>
  <c r="O167" i="3"/>
  <c r="O159" i="3"/>
  <c r="O151" i="3"/>
  <c r="O143" i="3"/>
  <c r="O135" i="3"/>
  <c r="O127" i="3"/>
  <c r="O119" i="3"/>
  <c r="O111" i="3"/>
  <c r="O103" i="3"/>
  <c r="O95" i="3"/>
  <c r="O87" i="3"/>
  <c r="O79" i="3"/>
  <c r="O71" i="3"/>
  <c r="O63" i="3"/>
  <c r="O55" i="3"/>
  <c r="O47" i="3"/>
  <c r="O39" i="3"/>
  <c r="O31" i="3"/>
  <c r="O23" i="3"/>
  <c r="O15" i="3"/>
  <c r="O7" i="3"/>
  <c r="O190" i="3"/>
  <c r="O182" i="3"/>
  <c r="O174" i="3"/>
  <c r="O166" i="3"/>
  <c r="O158" i="3"/>
  <c r="O150" i="3"/>
  <c r="O142" i="3"/>
  <c r="O134" i="3"/>
  <c r="O126" i="3"/>
  <c r="O118" i="3"/>
  <c r="O110" i="3"/>
  <c r="O102" i="3"/>
  <c r="O94" i="3"/>
  <c r="O86" i="3"/>
  <c r="O78" i="3"/>
  <c r="O70" i="3"/>
  <c r="O62" i="3"/>
  <c r="O54" i="3"/>
  <c r="O46" i="3"/>
  <c r="O38" i="3"/>
  <c r="O30" i="3"/>
  <c r="O22" i="3"/>
  <c r="O14" i="3"/>
  <c r="O6" i="3"/>
  <c r="O189" i="3"/>
  <c r="O181" i="3"/>
  <c r="O173" i="3"/>
  <c r="O165" i="3"/>
  <c r="O157" i="3"/>
  <c r="O149" i="3"/>
  <c r="O141" i="3"/>
  <c r="O133" i="3"/>
  <c r="O125" i="3"/>
  <c r="O117" i="3"/>
  <c r="O109" i="3"/>
  <c r="O101" i="3"/>
  <c r="O93" i="3"/>
  <c r="O85" i="3"/>
  <c r="O77" i="3"/>
  <c r="O69" i="3"/>
  <c r="O61" i="3"/>
  <c r="O53" i="3"/>
  <c r="O45" i="3"/>
  <c r="O37" i="3"/>
  <c r="O29" i="3"/>
  <c r="O21" i="3"/>
  <c r="O13" i="3"/>
  <c r="O5" i="3"/>
  <c r="O156" i="3"/>
  <c r="O148" i="3"/>
  <c r="O140" i="3"/>
  <c r="O132" i="3"/>
  <c r="O124" i="3"/>
  <c r="O116" i="3"/>
  <c r="O108" i="3"/>
  <c r="O100" i="3"/>
  <c r="O92" i="3"/>
  <c r="O84" i="3"/>
  <c r="O76" i="3"/>
  <c r="O68" i="3"/>
  <c r="O60" i="3"/>
  <c r="O52" i="3"/>
  <c r="O44" i="3"/>
  <c r="O36" i="3"/>
  <c r="O28" i="3"/>
  <c r="O20" i="3"/>
  <c r="O12" i="3"/>
  <c r="O4" i="3"/>
  <c r="O187" i="3"/>
  <c r="O179" i="3"/>
  <c r="O171" i="3"/>
  <c r="O163" i="3"/>
  <c r="O155" i="3"/>
  <c r="O147" i="3"/>
  <c r="O139" i="3"/>
  <c r="O131" i="3"/>
  <c r="O123" i="3"/>
  <c r="O115" i="3"/>
  <c r="O107" i="3"/>
  <c r="O99" i="3"/>
  <c r="O91" i="3"/>
  <c r="O83" i="3"/>
  <c r="O75" i="3"/>
  <c r="O67" i="3"/>
  <c r="O59" i="3"/>
  <c r="O51" i="3"/>
  <c r="O43" i="3"/>
  <c r="O35" i="3"/>
  <c r="O27" i="3"/>
  <c r="O19" i="3"/>
  <c r="O11" i="3"/>
  <c r="C6" i="1"/>
  <c r="H10" i="2"/>
  <c r="AB30" i="2"/>
  <c r="AB29" i="2"/>
  <c r="Y30" i="2"/>
  <c r="Y29" i="2"/>
  <c r="V30" i="2"/>
  <c r="V29" i="2"/>
  <c r="S29" i="2"/>
  <c r="S28" i="2"/>
  <c r="P30" i="2"/>
  <c r="P29" i="2"/>
  <c r="O32" i="2"/>
  <c r="AE28" i="2" l="1"/>
  <c r="AK28" i="2"/>
  <c r="AH28" i="2"/>
  <c r="AB28" i="2"/>
  <c r="AB31" i="2" s="1"/>
  <c r="P28" i="2"/>
  <c r="X12" i="3"/>
  <c r="X13" i="3"/>
  <c r="O29" i="2"/>
  <c r="S27" i="2"/>
  <c r="S30" i="2" s="1"/>
  <c r="V28" i="2"/>
  <c r="Y28" i="2"/>
  <c r="O30" i="2" l="1"/>
  <c r="O35" i="2" s="1"/>
  <c r="F330" i="3"/>
  <c r="F338" i="3"/>
  <c r="F320" i="3"/>
  <c r="F300" i="3"/>
  <c r="F323" i="3"/>
  <c r="F303" i="3"/>
  <c r="F318" i="3"/>
  <c r="F334" i="3"/>
  <c r="F335" i="3"/>
  <c r="F275" i="3"/>
  <c r="F333" i="3"/>
  <c r="F294" i="3"/>
  <c r="F291" i="3"/>
  <c r="F281" i="3"/>
  <c r="F289" i="3"/>
  <c r="F276" i="3"/>
  <c r="F329" i="3"/>
  <c r="F286" i="3"/>
  <c r="F319" i="3"/>
  <c r="F274" i="3"/>
  <c r="F304" i="3"/>
  <c r="F277" i="3"/>
  <c r="F239" i="3"/>
  <c r="F206" i="3"/>
  <c r="F226" i="3"/>
  <c r="F193" i="3"/>
  <c r="F245" i="3"/>
  <c r="F247" i="3"/>
  <c r="F212" i="3"/>
  <c r="F243" i="3"/>
  <c r="F215" i="3"/>
  <c r="F302" i="3"/>
  <c r="F218" i="3"/>
  <c r="F253" i="3"/>
  <c r="F221" i="3"/>
  <c r="F233" i="3"/>
  <c r="F251" i="3"/>
  <c r="F236" i="3"/>
  <c r="F224" i="3"/>
  <c r="AH32" i="2"/>
  <c r="AH31" i="2"/>
  <c r="AK32" i="2"/>
  <c r="AK31" i="2"/>
  <c r="AE32" i="2"/>
  <c r="AE31" i="2"/>
  <c r="AB32" i="2"/>
  <c r="O31" i="2"/>
  <c r="R28" i="2" s="1"/>
  <c r="R32" i="2" s="1"/>
  <c r="F12" i="3"/>
  <c r="F5" i="3"/>
  <c r="F21" i="3"/>
  <c r="F6" i="3"/>
  <c r="F64" i="3"/>
  <c r="F15" i="3"/>
  <c r="F16" i="3"/>
  <c r="F76" i="3"/>
  <c r="F92" i="3"/>
  <c r="F115" i="3"/>
  <c r="F131" i="3"/>
  <c r="F179" i="3"/>
  <c r="F122" i="3"/>
  <c r="F67" i="3"/>
  <c r="F85" i="3"/>
  <c r="F100" i="3"/>
  <c r="F108" i="3"/>
  <c r="F116" i="3"/>
  <c r="F124" i="3"/>
  <c r="F132" i="3"/>
  <c r="F140" i="3"/>
  <c r="F148" i="3"/>
  <c r="F156" i="3"/>
  <c r="F164" i="3"/>
  <c r="F172" i="3"/>
  <c r="F180" i="3"/>
  <c r="F188" i="3"/>
  <c r="F106" i="3"/>
  <c r="F11" i="3"/>
  <c r="F69" i="3"/>
  <c r="F89" i="3"/>
  <c r="F101" i="3"/>
  <c r="F109" i="3"/>
  <c r="F117" i="3"/>
  <c r="F125" i="3"/>
  <c r="F133" i="3"/>
  <c r="F141" i="3"/>
  <c r="F149" i="3"/>
  <c r="F157" i="3"/>
  <c r="F165" i="3"/>
  <c r="F173" i="3"/>
  <c r="F181" i="3"/>
  <c r="F189" i="3"/>
  <c r="F146" i="3"/>
  <c r="F17" i="3"/>
  <c r="F73" i="3"/>
  <c r="F90" i="3"/>
  <c r="F102" i="3"/>
  <c r="F110" i="3"/>
  <c r="F118" i="3"/>
  <c r="F126" i="3"/>
  <c r="F134" i="3"/>
  <c r="F142" i="3"/>
  <c r="F150" i="3"/>
  <c r="F158" i="3"/>
  <c r="F166" i="3"/>
  <c r="F174" i="3"/>
  <c r="F182" i="3"/>
  <c r="F190" i="3"/>
  <c r="F178" i="3"/>
  <c r="F19" i="3"/>
  <c r="F75" i="3"/>
  <c r="F91" i="3"/>
  <c r="F103" i="3"/>
  <c r="F111" i="3"/>
  <c r="F119" i="3"/>
  <c r="F127" i="3"/>
  <c r="F135" i="3"/>
  <c r="F143" i="3"/>
  <c r="F151" i="3"/>
  <c r="F159" i="3"/>
  <c r="F167" i="3"/>
  <c r="F175" i="3"/>
  <c r="F183" i="3"/>
  <c r="F191" i="3"/>
  <c r="F114" i="3"/>
  <c r="F154" i="3"/>
  <c r="F186" i="3"/>
  <c r="F77" i="3"/>
  <c r="F93" i="3"/>
  <c r="F104" i="3"/>
  <c r="F112" i="3"/>
  <c r="F120" i="3"/>
  <c r="F128" i="3"/>
  <c r="F136" i="3"/>
  <c r="F144" i="3"/>
  <c r="F152" i="3"/>
  <c r="F160" i="3"/>
  <c r="F168" i="3"/>
  <c r="F176" i="3"/>
  <c r="F184" i="3"/>
  <c r="F2" i="3"/>
  <c r="F98" i="3"/>
  <c r="F138" i="3"/>
  <c r="F170" i="3"/>
  <c r="F81" i="3"/>
  <c r="F97" i="3"/>
  <c r="F105" i="3"/>
  <c r="F113" i="3"/>
  <c r="F121" i="3"/>
  <c r="F129" i="3"/>
  <c r="F137" i="3"/>
  <c r="F145" i="3"/>
  <c r="F153" i="3"/>
  <c r="F161" i="3"/>
  <c r="F169" i="3"/>
  <c r="F177" i="3"/>
  <c r="F185" i="3"/>
  <c r="F82" i="3"/>
  <c r="F130" i="3"/>
  <c r="F162" i="3"/>
  <c r="D87" i="3"/>
  <c r="D95" i="3"/>
  <c r="D103" i="3"/>
  <c r="D88" i="3"/>
  <c r="D96" i="3"/>
  <c r="D104" i="3"/>
  <c r="D85" i="3"/>
  <c r="D89" i="3"/>
  <c r="D97" i="3"/>
  <c r="D105" i="3"/>
  <c r="D101" i="3"/>
  <c r="D90" i="3"/>
  <c r="D98" i="3"/>
  <c r="D106" i="3"/>
  <c r="D91" i="3"/>
  <c r="D99" i="3"/>
  <c r="D107" i="3"/>
  <c r="D93" i="3"/>
  <c r="D84" i="3"/>
  <c r="D92" i="3"/>
  <c r="D100" i="3"/>
  <c r="D108" i="3"/>
  <c r="D86" i="3"/>
  <c r="D94" i="3"/>
  <c r="D102" i="3"/>
  <c r="S31" i="2"/>
  <c r="P32" i="2"/>
  <c r="P31" i="2"/>
  <c r="V32" i="2"/>
  <c r="V31" i="2"/>
  <c r="Y32" i="2"/>
  <c r="Y31" i="2"/>
  <c r="F171" i="3" l="1"/>
  <c r="F107" i="3"/>
  <c r="F68" i="3"/>
  <c r="F7" i="3"/>
  <c r="F95" i="3"/>
  <c r="F94" i="3"/>
  <c r="F225" i="3"/>
  <c r="F272" i="3"/>
  <c r="F213" i="3"/>
  <c r="F210" i="3"/>
  <c r="F207" i="3"/>
  <c r="F204" i="3"/>
  <c r="F244" i="3"/>
  <c r="F260" i="3"/>
  <c r="F231" i="3"/>
  <c r="F313" i="3"/>
  <c r="F267" i="3"/>
  <c r="F324" i="3"/>
  <c r="F288" i="3"/>
  <c r="F350" i="3"/>
  <c r="F332" i="3"/>
  <c r="F327" i="3"/>
  <c r="F310" i="3"/>
  <c r="F315" i="3"/>
  <c r="F312" i="3"/>
  <c r="F322" i="3"/>
  <c r="F163" i="3"/>
  <c r="F99" i="3"/>
  <c r="F18" i="3"/>
  <c r="F96" i="3"/>
  <c r="F87" i="3"/>
  <c r="F86" i="3"/>
  <c r="F219" i="3"/>
  <c r="F216" i="3"/>
  <c r="F205" i="3"/>
  <c r="F202" i="3"/>
  <c r="F199" i="3"/>
  <c r="F196" i="3"/>
  <c r="F268" i="3"/>
  <c r="F301" i="3"/>
  <c r="F254" i="3"/>
  <c r="F249" i="3"/>
  <c r="F259" i="3"/>
  <c r="F316" i="3"/>
  <c r="F325" i="3"/>
  <c r="F266" i="3"/>
  <c r="F345" i="3"/>
  <c r="F321" i="3"/>
  <c r="F339" i="3"/>
  <c r="F344" i="3"/>
  <c r="F341" i="3"/>
  <c r="F314" i="3"/>
  <c r="F155" i="3"/>
  <c r="F83" i="3"/>
  <c r="F10" i="3"/>
  <c r="F88" i="3"/>
  <c r="F79" i="3"/>
  <c r="F78" i="3"/>
  <c r="F211" i="3"/>
  <c r="F208" i="3"/>
  <c r="F197" i="3"/>
  <c r="F194" i="3"/>
  <c r="F240" i="3"/>
  <c r="F237" i="3"/>
  <c r="F217" i="3"/>
  <c r="F337" i="3"/>
  <c r="F280" i="3"/>
  <c r="F241" i="3"/>
  <c r="F279" i="3"/>
  <c r="F342" i="3"/>
  <c r="F248" i="3"/>
  <c r="F258" i="3"/>
  <c r="F242" i="3"/>
  <c r="F298" i="3"/>
  <c r="F347" i="3"/>
  <c r="F336" i="3"/>
  <c r="F349" i="3"/>
  <c r="F343" i="3"/>
  <c r="F147" i="3"/>
  <c r="F65" i="3"/>
  <c r="F74" i="3"/>
  <c r="F80" i="3"/>
  <c r="F71" i="3"/>
  <c r="F70" i="3"/>
  <c r="F203" i="3"/>
  <c r="F200" i="3"/>
  <c r="F238" i="3"/>
  <c r="F235" i="3"/>
  <c r="F232" i="3"/>
  <c r="F229" i="3"/>
  <c r="F209" i="3"/>
  <c r="F222" i="3"/>
  <c r="F265" i="3"/>
  <c r="F262" i="3"/>
  <c r="F271" i="3"/>
  <c r="F264" i="3"/>
  <c r="F269" i="3"/>
  <c r="F278" i="3"/>
  <c r="F263" i="3"/>
  <c r="F290" i="3"/>
  <c r="F295" i="3"/>
  <c r="F292" i="3"/>
  <c r="F317" i="3"/>
  <c r="F351" i="3"/>
  <c r="F9" i="3"/>
  <c r="F139" i="3"/>
  <c r="F3" i="3"/>
  <c r="F66" i="3"/>
  <c r="F72" i="3"/>
  <c r="F63" i="3"/>
  <c r="F20" i="3"/>
  <c r="F195" i="3"/>
  <c r="F192" i="3"/>
  <c r="F230" i="3"/>
  <c r="F227" i="3"/>
  <c r="F255" i="3"/>
  <c r="F252" i="3"/>
  <c r="F201" i="3"/>
  <c r="F214" i="3"/>
  <c r="F257" i="3"/>
  <c r="F282" i="3"/>
  <c r="F270" i="3"/>
  <c r="F284" i="3"/>
  <c r="F261" i="3"/>
  <c r="F297" i="3"/>
  <c r="F283" i="3"/>
  <c r="F306" i="3"/>
  <c r="F287" i="3"/>
  <c r="F308" i="3"/>
  <c r="F309" i="3"/>
  <c r="F311" i="3"/>
  <c r="F340" i="3"/>
  <c r="F187" i="3"/>
  <c r="F123" i="3"/>
  <c r="F84" i="3"/>
  <c r="F8" i="3"/>
  <c r="F14" i="3"/>
  <c r="F13" i="3"/>
  <c r="F4" i="3"/>
  <c r="F228" i="3"/>
  <c r="F256" i="3"/>
  <c r="F250" i="3"/>
  <c r="F223" i="3"/>
  <c r="F220" i="3"/>
  <c r="F246" i="3"/>
  <c r="F234" i="3"/>
  <c r="F198" i="3"/>
  <c r="F305" i="3"/>
  <c r="F307" i="3"/>
  <c r="F285" i="3"/>
  <c r="F299" i="3"/>
  <c r="F273" i="3"/>
  <c r="F293" i="3"/>
  <c r="F296" i="3"/>
  <c r="F326" i="3"/>
  <c r="F331" i="3"/>
  <c r="F328" i="3"/>
  <c r="F346" i="3"/>
  <c r="F348" i="3"/>
  <c r="R29" i="2"/>
  <c r="R30" i="2" l="1"/>
  <c r="R31" i="2" s="1"/>
  <c r="U28" i="2" s="1"/>
  <c r="U29" i="2" s="1"/>
  <c r="Z7" i="3"/>
  <c r="G24" i="3" l="1"/>
  <c r="G213" i="3"/>
  <c r="G7" i="3"/>
  <c r="G257" i="3"/>
  <c r="G205" i="3"/>
  <c r="G146" i="3"/>
  <c r="G202" i="3"/>
  <c r="G233" i="3"/>
  <c r="G8" i="3"/>
  <c r="G106" i="3"/>
  <c r="G247" i="3"/>
  <c r="G169" i="3"/>
  <c r="G16" i="3"/>
  <c r="G14" i="3"/>
  <c r="G195" i="3"/>
  <c r="R35" i="2"/>
  <c r="G281" i="3"/>
  <c r="G235" i="3"/>
  <c r="G318" i="3"/>
  <c r="G265" i="3"/>
  <c r="G291" i="3"/>
  <c r="G215" i="3"/>
  <c r="G209" i="3"/>
  <c r="G262" i="3"/>
  <c r="G297" i="3"/>
  <c r="G199" i="3"/>
  <c r="G226" i="3"/>
  <c r="G274" i="3"/>
  <c r="G275" i="3"/>
  <c r="G238" i="3"/>
  <c r="G232" i="3"/>
  <c r="G222" i="3"/>
  <c r="G271" i="3"/>
  <c r="G280" i="3"/>
  <c r="G225" i="3"/>
  <c r="G253" i="3"/>
  <c r="G220" i="3"/>
  <c r="G206" i="3"/>
  <c r="G285" i="3"/>
  <c r="G331" i="3"/>
  <c r="G208" i="3"/>
  <c r="G339" i="3"/>
  <c r="G204" i="3"/>
  <c r="G254" i="3"/>
  <c r="G347" i="3"/>
  <c r="G300" i="3"/>
  <c r="G200" i="3"/>
  <c r="G218" i="3"/>
  <c r="G237" i="3"/>
  <c r="G211" i="3"/>
  <c r="G284" i="3"/>
  <c r="G333" i="3"/>
  <c r="G351" i="3"/>
  <c r="G164" i="3"/>
  <c r="G224" i="3"/>
  <c r="G313" i="3"/>
  <c r="G250" i="3"/>
  <c r="G227" i="3"/>
  <c r="G255" i="3"/>
  <c r="G229" i="3"/>
  <c r="G201" i="3"/>
  <c r="G198" i="3"/>
  <c r="G236" i="3"/>
  <c r="G307" i="3"/>
  <c r="G306" i="3"/>
  <c r="G276" i="3"/>
  <c r="G330" i="3"/>
  <c r="G294" i="3"/>
  <c r="G296" i="3"/>
  <c r="G272" i="3"/>
  <c r="G323" i="3"/>
  <c r="G328" i="3"/>
  <c r="G325" i="3"/>
  <c r="G327" i="3"/>
  <c r="G216" i="3"/>
  <c r="G221" i="3"/>
  <c r="G277" i="3"/>
  <c r="G322" i="3"/>
  <c r="G249" i="3"/>
  <c r="G252" i="3"/>
  <c r="G193" i="3"/>
  <c r="G239" i="3"/>
  <c r="G228" i="3"/>
  <c r="G246" i="3"/>
  <c r="G329" i="3"/>
  <c r="G299" i="3"/>
  <c r="G350" i="3"/>
  <c r="G293" i="3"/>
  <c r="G335" i="3"/>
  <c r="G302" i="3"/>
  <c r="G315" i="3"/>
  <c r="G320" i="3"/>
  <c r="G317" i="3"/>
  <c r="G319" i="3"/>
  <c r="G223" i="3"/>
  <c r="G243" i="3"/>
  <c r="G248" i="3"/>
  <c r="G234" i="3"/>
  <c r="G231" i="3"/>
  <c r="G251" i="3"/>
  <c r="G267" i="3"/>
  <c r="G324" i="3"/>
  <c r="G288" i="3"/>
  <c r="G245" i="3"/>
  <c r="G290" i="3"/>
  <c r="G326" i="3"/>
  <c r="G301" i="3"/>
  <c r="G344" i="3"/>
  <c r="G312" i="3"/>
  <c r="G309" i="3"/>
  <c r="G311" i="3"/>
  <c r="G259" i="3"/>
  <c r="G269" i="3"/>
  <c r="G332" i="3"/>
  <c r="G321" i="3"/>
  <c r="G336" i="3"/>
  <c r="G341" i="3"/>
  <c r="G338" i="3"/>
  <c r="G340" i="3"/>
  <c r="G316" i="3"/>
  <c r="G266" i="3"/>
  <c r="G334" i="3"/>
  <c r="G145" i="3"/>
  <c r="G22" i="3"/>
  <c r="G192" i="3"/>
  <c r="G197" i="3"/>
  <c r="G210" i="3"/>
  <c r="G207" i="3"/>
  <c r="G212" i="3"/>
  <c r="G244" i="3"/>
  <c r="G304" i="3"/>
  <c r="G219" i="3"/>
  <c r="G241" i="3"/>
  <c r="G279" i="3"/>
  <c r="G342" i="3"/>
  <c r="G261" i="3"/>
  <c r="G258" i="3"/>
  <c r="G242" i="3"/>
  <c r="G310" i="3"/>
  <c r="G295" i="3"/>
  <c r="G270" i="3"/>
  <c r="G349" i="3"/>
  <c r="G346" i="3"/>
  <c r="G348" i="3"/>
  <c r="G278" i="3"/>
  <c r="G263" i="3"/>
  <c r="G268" i="3"/>
  <c r="G287" i="3"/>
  <c r="G292" i="3"/>
  <c r="G289" i="3"/>
  <c r="G314" i="3"/>
  <c r="G345" i="3"/>
  <c r="U30" i="2"/>
  <c r="U31" i="2" s="1"/>
  <c r="X28" i="2" s="1"/>
  <c r="H308" i="3"/>
  <c r="H265" i="3"/>
  <c r="H301" i="3"/>
  <c r="H260" i="3"/>
  <c r="H326" i="3"/>
  <c r="H275" i="3"/>
  <c r="H250" i="3"/>
  <c r="H293" i="3"/>
  <c r="H266" i="3"/>
  <c r="H281" i="3"/>
  <c r="H299" i="3"/>
  <c r="H243" i="3"/>
  <c r="H306" i="3"/>
  <c r="H259" i="3"/>
  <c r="H192" i="3"/>
  <c r="H241" i="3"/>
  <c r="H195" i="3"/>
  <c r="H254" i="3"/>
  <c r="H206" i="3"/>
  <c r="H246" i="3"/>
  <c r="H201" i="3"/>
  <c r="H247" i="3"/>
  <c r="H237" i="3"/>
  <c r="H220" i="3"/>
  <c r="H255" i="3"/>
  <c r="H207" i="3"/>
  <c r="H235" i="3"/>
  <c r="H218" i="3"/>
  <c r="H230" i="3"/>
  <c r="H213" i="3"/>
  <c r="H221" i="3"/>
  <c r="G256" i="3"/>
  <c r="G230" i="3"/>
  <c r="G194" i="3"/>
  <c r="G240" i="3"/>
  <c r="G196" i="3"/>
  <c r="G217" i="3"/>
  <c r="G214" i="3"/>
  <c r="G203" i="3"/>
  <c r="G282" i="3"/>
  <c r="G286" i="3"/>
  <c r="G264" i="3"/>
  <c r="G273" i="3"/>
  <c r="G298" i="3"/>
  <c r="G283" i="3"/>
  <c r="G260" i="3"/>
  <c r="G303" i="3"/>
  <c r="G308" i="3"/>
  <c r="G305" i="3"/>
  <c r="G343" i="3"/>
  <c r="G337" i="3"/>
  <c r="G122" i="3"/>
  <c r="G129" i="3"/>
  <c r="G176" i="3"/>
  <c r="G105" i="3"/>
  <c r="G163" i="3"/>
  <c r="G177" i="3"/>
  <c r="G180" i="3"/>
  <c r="G20" i="3"/>
  <c r="G15" i="3"/>
  <c r="G42" i="3"/>
  <c r="G117" i="3"/>
  <c r="G127" i="3"/>
  <c r="G23" i="3"/>
  <c r="G109" i="3"/>
  <c r="G108" i="3"/>
  <c r="G159" i="3"/>
  <c r="G191" i="3"/>
  <c r="G39" i="3"/>
  <c r="G173" i="3"/>
  <c r="G172" i="3"/>
  <c r="G125" i="3"/>
  <c r="G157" i="3"/>
  <c r="G186" i="3"/>
  <c r="G113" i="3"/>
  <c r="G31" i="3"/>
  <c r="G137" i="3"/>
  <c r="G110" i="3"/>
  <c r="G167" i="3"/>
  <c r="G115" i="3"/>
  <c r="G152" i="3"/>
  <c r="G185" i="3"/>
  <c r="G158" i="3"/>
  <c r="G130" i="3"/>
  <c r="G25" i="3"/>
  <c r="G154" i="3"/>
  <c r="G138" i="3"/>
  <c r="G17" i="3"/>
  <c r="G34" i="3"/>
  <c r="G112" i="3"/>
  <c r="G135" i="3"/>
  <c r="G140" i="3"/>
  <c r="G123" i="3"/>
  <c r="G33" i="3"/>
  <c r="G18" i="3"/>
  <c r="G121" i="3"/>
  <c r="G161" i="3"/>
  <c r="G126" i="3"/>
  <c r="G114" i="3"/>
  <c r="G184" i="3"/>
  <c r="G11" i="3"/>
  <c r="G187" i="3"/>
  <c r="G10" i="3"/>
  <c r="G148" i="3"/>
  <c r="G179" i="3"/>
  <c r="G188" i="3"/>
  <c r="G111" i="3"/>
  <c r="G27" i="3"/>
  <c r="G128" i="3"/>
  <c r="G170" i="3"/>
  <c r="G165" i="3"/>
  <c r="G3" i="3"/>
  <c r="G5" i="3"/>
  <c r="G35" i="3"/>
  <c r="G142" i="3"/>
  <c r="G174" i="3"/>
  <c r="G149" i="3"/>
  <c r="G30" i="3"/>
  <c r="G171" i="3"/>
  <c r="G4" i="3"/>
  <c r="G156" i="3"/>
  <c r="G175" i="3"/>
  <c r="G19" i="3"/>
  <c r="G139" i="3"/>
  <c r="G136" i="3"/>
  <c r="G36" i="3"/>
  <c r="G155" i="3"/>
  <c r="G104" i="3"/>
  <c r="G162" i="3"/>
  <c r="G9" i="3"/>
  <c r="G38" i="3"/>
  <c r="G118" i="3"/>
  <c r="G107" i="3"/>
  <c r="G166" i="3"/>
  <c r="G141" i="3"/>
  <c r="G116" i="3"/>
  <c r="G190" i="3"/>
  <c r="G21" i="3"/>
  <c r="G132" i="3"/>
  <c r="G178" i="3"/>
  <c r="G41" i="3"/>
  <c r="G134" i="3"/>
  <c r="G133" i="3"/>
  <c r="G2" i="3"/>
  <c r="G119" i="3"/>
  <c r="G28" i="3"/>
  <c r="G147" i="3"/>
  <c r="G168" i="3"/>
  <c r="G37" i="3"/>
  <c r="G131" i="3"/>
  <c r="G153" i="3"/>
  <c r="G189" i="3"/>
  <c r="G26" i="3"/>
  <c r="G144" i="3"/>
  <c r="G12" i="3"/>
  <c r="G40" i="3"/>
  <c r="G183" i="3"/>
  <c r="G13" i="3"/>
  <c r="G124" i="3"/>
  <c r="G6" i="3"/>
  <c r="G29" i="3"/>
  <c r="G151" i="3"/>
  <c r="G150" i="3"/>
  <c r="G120" i="3"/>
  <c r="G182" i="3"/>
  <c r="G32" i="3"/>
  <c r="U32" i="2"/>
  <c r="G143" i="3"/>
  <c r="G181" i="3"/>
  <c r="G160" i="3"/>
  <c r="H163" i="3"/>
  <c r="H89" i="3"/>
  <c r="H171" i="3"/>
  <c r="H186" i="3"/>
  <c r="H47" i="3"/>
  <c r="H168" i="3"/>
  <c r="H37" i="3"/>
  <c r="H24" i="3"/>
  <c r="H166" i="3"/>
  <c r="H145" i="3"/>
  <c r="H49" i="3"/>
  <c r="H87" i="3"/>
  <c r="H4" i="3"/>
  <c r="H164" i="3"/>
  <c r="H44" i="3"/>
  <c r="H88" i="3"/>
  <c r="H6" i="3"/>
  <c r="H175" i="3"/>
  <c r="H35" i="3"/>
  <c r="H162" i="3"/>
  <c r="H23" i="3"/>
  <c r="H173" i="3"/>
  <c r="H42" i="3"/>
  <c r="H13" i="3"/>
  <c r="H25" i="3"/>
  <c r="H185" i="3"/>
  <c r="H46" i="3"/>
  <c r="H11" i="3"/>
  <c r="H154" i="3"/>
  <c r="H56" i="3"/>
  <c r="H177" i="3"/>
  <c r="H15" i="3"/>
  <c r="H38" i="3"/>
  <c r="H167" i="3"/>
  <c r="H5" i="3"/>
  <c r="H36" i="3"/>
  <c r="H165" i="3"/>
  <c r="H3" i="3"/>
  <c r="H34" i="3"/>
  <c r="H179" i="3"/>
  <c r="H2" i="3"/>
  <c r="H146" i="3"/>
  <c r="H48" i="3"/>
  <c r="H169" i="3"/>
  <c r="H7" i="3"/>
  <c r="H30" i="3"/>
  <c r="H159" i="3"/>
  <c r="H61" i="3"/>
  <c r="H190" i="3"/>
  <c r="H28" i="3"/>
  <c r="H157" i="3"/>
  <c r="H59" i="3"/>
  <c r="H188" i="3"/>
  <c r="H26" i="3"/>
  <c r="H41" i="3"/>
  <c r="H155" i="3"/>
  <c r="H40" i="3"/>
  <c r="H161" i="3"/>
  <c r="H63" i="3"/>
  <c r="H184" i="3"/>
  <c r="H86" i="3"/>
  <c r="H22" i="3"/>
  <c r="H151" i="3"/>
  <c r="H53" i="3"/>
  <c r="H182" i="3"/>
  <c r="H20" i="3"/>
  <c r="H149" i="3"/>
  <c r="H51" i="3"/>
  <c r="H180" i="3"/>
  <c r="H18" i="3"/>
  <c r="H147" i="3"/>
  <c r="H17" i="3"/>
  <c r="H57" i="3"/>
  <c r="H32" i="3"/>
  <c r="H153" i="3"/>
  <c r="H55" i="3"/>
  <c r="H176" i="3"/>
  <c r="H14" i="3"/>
  <c r="H45" i="3"/>
  <c r="H174" i="3"/>
  <c r="H12" i="3"/>
  <c r="H43" i="3"/>
  <c r="H172" i="3"/>
  <c r="H10" i="3"/>
  <c r="X29" i="2"/>
  <c r="X32" i="2"/>
  <c r="H33" i="3"/>
  <c r="H178" i="3"/>
  <c r="H16" i="3"/>
  <c r="H39" i="3"/>
  <c r="H160" i="3"/>
  <c r="H62" i="3"/>
  <c r="H191" i="3"/>
  <c r="H29" i="3"/>
  <c r="H158" i="3"/>
  <c r="H60" i="3"/>
  <c r="H189" i="3"/>
  <c r="H27" i="3"/>
  <c r="H156" i="3"/>
  <c r="H58" i="3"/>
  <c r="H187" i="3"/>
  <c r="H9" i="3"/>
  <c r="H170" i="3"/>
  <c r="H8" i="3"/>
  <c r="H31" i="3"/>
  <c r="H152" i="3"/>
  <c r="H54" i="3"/>
  <c r="H183" i="3"/>
  <c r="H85" i="3"/>
  <c r="H21" i="3"/>
  <c r="H150" i="3"/>
  <c r="H52" i="3"/>
  <c r="H181" i="3"/>
  <c r="H19" i="3"/>
  <c r="H148" i="3"/>
  <c r="H50" i="3"/>
  <c r="H318" i="3" l="1"/>
  <c r="H312" i="3"/>
  <c r="H289" i="3"/>
  <c r="H317" i="3"/>
  <c r="H294" i="3"/>
  <c r="H311" i="3"/>
  <c r="H223" i="3"/>
  <c r="H238" i="3"/>
  <c r="H194" i="3"/>
  <c r="H232" i="3"/>
  <c r="H196" i="3"/>
  <c r="H209" i="3"/>
  <c r="H214" i="3"/>
  <c r="H203" i="3"/>
  <c r="H200" i="3"/>
  <c r="H285" i="3"/>
  <c r="H276" i="3"/>
  <c r="H287" i="3"/>
  <c r="H336" i="3"/>
  <c r="H331" i="3"/>
  <c r="H295" i="3"/>
  <c r="H304" i="3"/>
  <c r="H320" i="3"/>
  <c r="H325" i="3"/>
  <c r="H319" i="3"/>
  <c r="H225" i="3"/>
  <c r="H253" i="3"/>
  <c r="H227" i="3"/>
  <c r="H249" i="3"/>
  <c r="H229" i="3"/>
  <c r="H193" i="3"/>
  <c r="H198" i="3"/>
  <c r="H236" i="3"/>
  <c r="H233" i="3"/>
  <c r="H329" i="3"/>
  <c r="H288" i="3"/>
  <c r="H258" i="3"/>
  <c r="H242" i="3"/>
  <c r="H321" i="3"/>
  <c r="H334" i="3"/>
  <c r="H339" i="3"/>
  <c r="H341" i="3"/>
  <c r="H309" i="3"/>
  <c r="H340" i="3"/>
  <c r="H222" i="3"/>
  <c r="H262" i="3"/>
  <c r="H282" i="3"/>
  <c r="H269" i="3"/>
  <c r="H252" i="3"/>
  <c r="H234" i="3"/>
  <c r="H239" i="3"/>
  <c r="H228" i="3"/>
  <c r="H256" i="3"/>
  <c r="H323" i="3"/>
  <c r="H344" i="3"/>
  <c r="H278" i="3"/>
  <c r="H263" i="3"/>
  <c r="H310" i="3"/>
  <c r="H327" i="3"/>
  <c r="H270" i="3"/>
  <c r="H349" i="3"/>
  <c r="H338" i="3"/>
  <c r="H348" i="3"/>
  <c r="H224" i="3"/>
  <c r="H303" i="3"/>
  <c r="H215" i="3"/>
  <c r="H274" i="3"/>
  <c r="H248" i="3"/>
  <c r="H226" i="3"/>
  <c r="H231" i="3"/>
  <c r="H251" i="3"/>
  <c r="H267" i="3"/>
  <c r="H347" i="3"/>
  <c r="H261" i="3"/>
  <c r="H298" i="3"/>
  <c r="H283" i="3"/>
  <c r="H268" i="3"/>
  <c r="H244" i="3"/>
  <c r="H292" i="3"/>
  <c r="H297" i="3"/>
  <c r="H346" i="3"/>
  <c r="H350" i="3"/>
  <c r="H205" i="3"/>
  <c r="H210" i="3"/>
  <c r="H199" i="3"/>
  <c r="H212" i="3"/>
  <c r="H315" i="3"/>
  <c r="H245" i="3"/>
  <c r="H219" i="3"/>
  <c r="H216" i="3"/>
  <c r="H279" i="3"/>
  <c r="H264" i="3"/>
  <c r="H273" i="3"/>
  <c r="H290" i="3"/>
  <c r="H296" i="3"/>
  <c r="H280" i="3"/>
  <c r="H257" i="3"/>
  <c r="H300" i="3"/>
  <c r="H305" i="3"/>
  <c r="H286" i="3"/>
  <c r="H197" i="3"/>
  <c r="H202" i="3"/>
  <c r="H240" i="3"/>
  <c r="H204" i="3"/>
  <c r="H217" i="3"/>
  <c r="H307" i="3"/>
  <c r="H211" i="3"/>
  <c r="H208" i="3"/>
  <c r="H271" i="3"/>
  <c r="H284" i="3"/>
  <c r="H291" i="3"/>
  <c r="H332" i="3"/>
  <c r="H335" i="3"/>
  <c r="H272" i="3"/>
  <c r="H277" i="3"/>
  <c r="H328" i="3"/>
  <c r="H333" i="3"/>
  <c r="H302" i="3"/>
  <c r="U35" i="2"/>
  <c r="H330" i="3"/>
  <c r="H324" i="3"/>
  <c r="H322" i="3"/>
  <c r="H316" i="3"/>
  <c r="H314" i="3"/>
  <c r="H345" i="3"/>
  <c r="H343" i="3"/>
  <c r="H313" i="3"/>
  <c r="H342" i="3"/>
  <c r="H351" i="3"/>
  <c r="H337" i="3"/>
  <c r="L5" i="2"/>
  <c r="Q4" i="4"/>
  <c r="U2" i="4"/>
  <c r="X2" i="4" s="1"/>
  <c r="Q5" i="4"/>
  <c r="U6" i="4"/>
  <c r="X6" i="4" s="1"/>
  <c r="U5" i="4"/>
  <c r="X5" i="4" s="1"/>
  <c r="N5" i="4"/>
  <c r="P5" i="4" s="1"/>
  <c r="U4" i="4"/>
  <c r="X4" i="4" s="1"/>
  <c r="N4" i="4"/>
  <c r="U3" i="4"/>
  <c r="X3" i="4" s="1"/>
  <c r="D2" i="2"/>
  <c r="X30" i="2"/>
  <c r="X31" i="2" s="1"/>
  <c r="AA28" i="2" s="1"/>
  <c r="H9" i="2"/>
  <c r="H12" i="2" s="1"/>
  <c r="P7" i="3"/>
  <c r="P15" i="3"/>
  <c r="P23" i="3"/>
  <c r="P31" i="3"/>
  <c r="P39" i="3"/>
  <c r="P47" i="3"/>
  <c r="P55" i="3"/>
  <c r="P63" i="3"/>
  <c r="P71" i="3"/>
  <c r="P79" i="3"/>
  <c r="P87" i="3"/>
  <c r="P95" i="3"/>
  <c r="P103" i="3"/>
  <c r="P111" i="3"/>
  <c r="P119" i="3"/>
  <c r="P127" i="3"/>
  <c r="P135" i="3"/>
  <c r="P143" i="3"/>
  <c r="P151" i="3"/>
  <c r="P159" i="3"/>
  <c r="P167" i="3"/>
  <c r="P175" i="3"/>
  <c r="P183" i="3"/>
  <c r="P191" i="3"/>
  <c r="P185" i="3"/>
  <c r="P18" i="3"/>
  <c r="P50" i="3"/>
  <c r="P90" i="3"/>
  <c r="P106" i="3"/>
  <c r="P146" i="3"/>
  <c r="P170" i="3"/>
  <c r="P186" i="3"/>
  <c r="P4" i="3"/>
  <c r="P44" i="3"/>
  <c r="P68" i="3"/>
  <c r="P108" i="3"/>
  <c r="P140" i="3"/>
  <c r="P172" i="3"/>
  <c r="P21" i="3"/>
  <c r="P45" i="3"/>
  <c r="P69" i="3"/>
  <c r="P93" i="3"/>
  <c r="P117" i="3"/>
  <c r="P149" i="3"/>
  <c r="P181" i="3"/>
  <c r="P8" i="3"/>
  <c r="P16" i="3"/>
  <c r="P24" i="3"/>
  <c r="P32" i="3"/>
  <c r="P40" i="3"/>
  <c r="P48" i="3"/>
  <c r="P56" i="3"/>
  <c r="P64" i="3"/>
  <c r="P72" i="3"/>
  <c r="P80" i="3"/>
  <c r="P88" i="3"/>
  <c r="P96" i="3"/>
  <c r="P104" i="3"/>
  <c r="P112" i="3"/>
  <c r="P120" i="3"/>
  <c r="P128" i="3"/>
  <c r="P136" i="3"/>
  <c r="P144" i="3"/>
  <c r="P152" i="3"/>
  <c r="P160" i="3"/>
  <c r="P168" i="3"/>
  <c r="P176" i="3"/>
  <c r="P184" i="3"/>
  <c r="P10" i="3"/>
  <c r="P58" i="3"/>
  <c r="P82" i="3"/>
  <c r="P114" i="3"/>
  <c r="P138" i="3"/>
  <c r="P162" i="3"/>
  <c r="P28" i="3"/>
  <c r="P60" i="3"/>
  <c r="P92" i="3"/>
  <c r="P132" i="3"/>
  <c r="P164" i="3"/>
  <c r="P29" i="3"/>
  <c r="P53" i="3"/>
  <c r="P77" i="3"/>
  <c r="P101" i="3"/>
  <c r="P125" i="3"/>
  <c r="P157" i="3"/>
  <c r="P189" i="3"/>
  <c r="P9" i="3"/>
  <c r="P17" i="3"/>
  <c r="P25" i="3"/>
  <c r="P33" i="3"/>
  <c r="P41" i="3"/>
  <c r="P49" i="3"/>
  <c r="P57" i="3"/>
  <c r="P65" i="3"/>
  <c r="P73" i="3"/>
  <c r="P81" i="3"/>
  <c r="P89" i="3"/>
  <c r="P97" i="3"/>
  <c r="P105" i="3"/>
  <c r="P113" i="3"/>
  <c r="P121" i="3"/>
  <c r="P129" i="3"/>
  <c r="P137" i="3"/>
  <c r="P145" i="3"/>
  <c r="P153" i="3"/>
  <c r="P161" i="3"/>
  <c r="P169" i="3"/>
  <c r="P177" i="3"/>
  <c r="P26" i="3"/>
  <c r="P42" i="3"/>
  <c r="P74" i="3"/>
  <c r="P98" i="3"/>
  <c r="P122" i="3"/>
  <c r="P154" i="3"/>
  <c r="P178" i="3"/>
  <c r="P187" i="3"/>
  <c r="P36" i="3"/>
  <c r="P76" i="3"/>
  <c r="P124" i="3"/>
  <c r="P156" i="3"/>
  <c r="P85" i="3"/>
  <c r="P165" i="3"/>
  <c r="P3" i="3"/>
  <c r="P34" i="3"/>
  <c r="P66" i="3"/>
  <c r="P130" i="3"/>
  <c r="P20" i="3"/>
  <c r="P100" i="3"/>
  <c r="P188" i="3"/>
  <c r="P13" i="3"/>
  <c r="P133" i="3"/>
  <c r="P11" i="3"/>
  <c r="P19" i="3"/>
  <c r="P27" i="3"/>
  <c r="P35" i="3"/>
  <c r="P43" i="3"/>
  <c r="P51" i="3"/>
  <c r="P59" i="3"/>
  <c r="P67" i="3"/>
  <c r="P75" i="3"/>
  <c r="P83" i="3"/>
  <c r="P91" i="3"/>
  <c r="P99" i="3"/>
  <c r="P107" i="3"/>
  <c r="P115" i="3"/>
  <c r="P123" i="3"/>
  <c r="P131" i="3"/>
  <c r="P139" i="3"/>
  <c r="P147" i="3"/>
  <c r="P155" i="3"/>
  <c r="P163" i="3"/>
  <c r="P171" i="3"/>
  <c r="P179" i="3"/>
  <c r="P12" i="3"/>
  <c r="P52" i="3"/>
  <c r="P84" i="3"/>
  <c r="P116" i="3"/>
  <c r="P148" i="3"/>
  <c r="P180" i="3"/>
  <c r="P5" i="3"/>
  <c r="P37" i="3"/>
  <c r="P61" i="3"/>
  <c r="P109" i="3"/>
  <c r="P141" i="3"/>
  <c r="P173" i="3"/>
  <c r="P46" i="3"/>
  <c r="P110" i="3"/>
  <c r="P174" i="3"/>
  <c r="P54" i="3"/>
  <c r="P182" i="3"/>
  <c r="P22" i="3"/>
  <c r="P158" i="3"/>
  <c r="P118" i="3"/>
  <c r="P94" i="3"/>
  <c r="P166" i="3"/>
  <c r="P62" i="3"/>
  <c r="P126" i="3"/>
  <c r="P190" i="3"/>
  <c r="P134" i="3"/>
  <c r="P14" i="3"/>
  <c r="P150" i="3"/>
  <c r="P102" i="3"/>
  <c r="P6" i="3"/>
  <c r="P70" i="3"/>
  <c r="P78" i="3"/>
  <c r="P142" i="3"/>
  <c r="P86" i="3"/>
  <c r="P30" i="3"/>
  <c r="P38" i="3"/>
  <c r="X35" i="2" l="1"/>
  <c r="I189" i="3"/>
  <c r="I223" i="3"/>
  <c r="I227" i="3"/>
  <c r="I255" i="3"/>
  <c r="I229" i="3"/>
  <c r="I193" i="3"/>
  <c r="I214" i="3"/>
  <c r="I203" i="3"/>
  <c r="I192" i="3"/>
  <c r="I238" i="3"/>
  <c r="I299" i="3"/>
  <c r="I261" i="3"/>
  <c r="I278" i="3"/>
  <c r="I275" i="3"/>
  <c r="I272" i="3"/>
  <c r="I257" i="3"/>
  <c r="I303" i="3"/>
  <c r="I325" i="3"/>
  <c r="I330" i="3"/>
  <c r="I327" i="3"/>
  <c r="I329" i="3"/>
  <c r="I225" i="3"/>
  <c r="I250" i="3"/>
  <c r="I249" i="3"/>
  <c r="I252" i="3"/>
  <c r="I234" i="3"/>
  <c r="I206" i="3"/>
  <c r="I195" i="3"/>
  <c r="I233" i="3"/>
  <c r="I230" i="3"/>
  <c r="I288" i="3"/>
  <c r="I281" i="3"/>
  <c r="I298" i="3"/>
  <c r="I296" i="3"/>
  <c r="I295" i="3"/>
  <c r="I277" i="3"/>
  <c r="I300" i="3"/>
  <c r="I317" i="3"/>
  <c r="I322" i="3"/>
  <c r="I319" i="3"/>
  <c r="I321" i="3"/>
  <c r="I224" i="3"/>
  <c r="I267" i="3"/>
  <c r="I259" i="3"/>
  <c r="I243" i="3"/>
  <c r="I226" i="3"/>
  <c r="I198" i="3"/>
  <c r="I236" i="3"/>
  <c r="I256" i="3"/>
  <c r="I253" i="3"/>
  <c r="I328" i="3"/>
  <c r="I273" i="3"/>
  <c r="I293" i="3"/>
  <c r="I331" i="3"/>
  <c r="I292" i="3"/>
  <c r="I304" i="3"/>
  <c r="I315" i="3"/>
  <c r="I309" i="3"/>
  <c r="I314" i="3"/>
  <c r="I311" i="3"/>
  <c r="I313" i="3"/>
  <c r="I218" i="3"/>
  <c r="I215" i="3"/>
  <c r="I220" i="3"/>
  <c r="I242" i="3"/>
  <c r="I246" i="3"/>
  <c r="I239" i="3"/>
  <c r="I228" i="3"/>
  <c r="I285" i="3"/>
  <c r="I306" i="3"/>
  <c r="I324" i="3"/>
  <c r="I270" i="3"/>
  <c r="I290" i="3"/>
  <c r="I326" i="3"/>
  <c r="I301" i="3"/>
  <c r="I318" i="3"/>
  <c r="I341" i="3"/>
  <c r="I338" i="3"/>
  <c r="I343" i="3"/>
  <c r="I340" i="3"/>
  <c r="I342" i="3"/>
  <c r="I210" i="3"/>
  <c r="I207" i="3"/>
  <c r="I212" i="3"/>
  <c r="I279" i="3"/>
  <c r="I245" i="3"/>
  <c r="I231" i="3"/>
  <c r="I251" i="3"/>
  <c r="I221" i="3"/>
  <c r="I323" i="3"/>
  <c r="I344" i="3"/>
  <c r="I287" i="3"/>
  <c r="I332" i="3"/>
  <c r="I247" i="3"/>
  <c r="I334" i="3"/>
  <c r="I241" i="3"/>
  <c r="I297" i="3"/>
  <c r="I346" i="3"/>
  <c r="I351" i="3"/>
  <c r="I348" i="3"/>
  <c r="I350" i="3"/>
  <c r="I202" i="3"/>
  <c r="I199" i="3"/>
  <c r="I204" i="3"/>
  <c r="I217" i="3"/>
  <c r="I244" i="3"/>
  <c r="I254" i="3"/>
  <c r="I216" i="3"/>
  <c r="I213" i="3"/>
  <c r="I264" i="3"/>
  <c r="I349" i="3"/>
  <c r="I308" i="3"/>
  <c r="I336" i="3"/>
  <c r="I268" i="3"/>
  <c r="I320" i="3"/>
  <c r="I262" i="3"/>
  <c r="I289" i="3"/>
  <c r="I294" i="3"/>
  <c r="I291" i="3"/>
  <c r="I316" i="3"/>
  <c r="I310" i="3"/>
  <c r="I194" i="3"/>
  <c r="I240" i="3"/>
  <c r="I196" i="3"/>
  <c r="I209" i="3"/>
  <c r="I271" i="3"/>
  <c r="I219" i="3"/>
  <c r="I208" i="3"/>
  <c r="I205" i="3"/>
  <c r="I284" i="3"/>
  <c r="I248" i="3"/>
  <c r="I266" i="3"/>
  <c r="I263" i="3"/>
  <c r="I260" i="3"/>
  <c r="I312" i="3"/>
  <c r="I282" i="3"/>
  <c r="I305" i="3"/>
  <c r="I286" i="3"/>
  <c r="I307" i="3"/>
  <c r="I345" i="3"/>
  <c r="I339" i="3"/>
  <c r="I235" i="3"/>
  <c r="I232" i="3"/>
  <c r="I237" i="3"/>
  <c r="I201" i="3"/>
  <c r="I222" i="3"/>
  <c r="I211" i="3"/>
  <c r="I200" i="3"/>
  <c r="I197" i="3"/>
  <c r="I276" i="3"/>
  <c r="I269" i="3"/>
  <c r="I258" i="3"/>
  <c r="I283" i="3"/>
  <c r="I280" i="3"/>
  <c r="I265" i="3"/>
  <c r="I274" i="3"/>
  <c r="I333" i="3"/>
  <c r="I302" i="3"/>
  <c r="I335" i="3"/>
  <c r="I337" i="3"/>
  <c r="I347" i="3"/>
  <c r="P4" i="4"/>
  <c r="N7" i="4" s="1"/>
  <c r="L9" i="2"/>
  <c r="N9" i="2" s="1"/>
  <c r="L6" i="2"/>
  <c r="N6" i="2" s="1"/>
  <c r="L8" i="2"/>
  <c r="N8" i="2" s="1"/>
  <c r="L7" i="2"/>
  <c r="N7" i="2" s="1"/>
  <c r="I44" i="3"/>
  <c r="I51" i="3"/>
  <c r="I2" i="3"/>
  <c r="I82" i="3"/>
  <c r="I76" i="3"/>
  <c r="I60" i="3"/>
  <c r="I50" i="3"/>
  <c r="I116" i="3"/>
  <c r="I123" i="3"/>
  <c r="I26" i="3"/>
  <c r="I52" i="3"/>
  <c r="I83" i="3"/>
  <c r="I25" i="3"/>
  <c r="I190" i="3"/>
  <c r="I35" i="3"/>
  <c r="I68" i="3"/>
  <c r="I188" i="3"/>
  <c r="I19" i="3"/>
  <c r="I72" i="3"/>
  <c r="I24" i="3"/>
  <c r="I113" i="3"/>
  <c r="I71" i="3"/>
  <c r="I36" i="3"/>
  <c r="I115" i="3"/>
  <c r="I114" i="3"/>
  <c r="I73" i="3"/>
  <c r="I31" i="3"/>
  <c r="I28" i="3"/>
  <c r="I75" i="3"/>
  <c r="I66" i="3"/>
  <c r="I9" i="3"/>
  <c r="I30" i="3"/>
  <c r="I47" i="3"/>
  <c r="I11" i="3"/>
  <c r="I58" i="3"/>
  <c r="I81" i="3"/>
  <c r="I112" i="3"/>
  <c r="I7" i="3"/>
  <c r="I42" i="3"/>
  <c r="I49" i="3"/>
  <c r="I48" i="3"/>
  <c r="I54" i="3"/>
  <c r="I20" i="3"/>
  <c r="I59" i="3"/>
  <c r="I122" i="3"/>
  <c r="I17" i="3"/>
  <c r="I8" i="3"/>
  <c r="I6" i="3"/>
  <c r="H13" i="2"/>
  <c r="L10" i="2" s="1"/>
  <c r="F7" i="1" s="1"/>
  <c r="D13" i="2"/>
  <c r="D24" i="2" s="1"/>
  <c r="D12" i="2"/>
  <c r="D23" i="2" s="1"/>
  <c r="D14" i="2"/>
  <c r="D25" i="2" s="1"/>
  <c r="D11" i="2"/>
  <c r="B11" i="2" s="1"/>
  <c r="D10" i="2"/>
  <c r="F10" i="2" s="1"/>
  <c r="I118" i="3"/>
  <c r="I27" i="3"/>
  <c r="I187" i="3"/>
  <c r="I65" i="3"/>
  <c r="I111" i="3"/>
  <c r="I70" i="3"/>
  <c r="I61" i="3"/>
  <c r="I37" i="3"/>
  <c r="I40" i="3"/>
  <c r="I63" i="3"/>
  <c r="I22" i="3"/>
  <c r="I117" i="3"/>
  <c r="I53" i="3"/>
  <c r="I32" i="3"/>
  <c r="I119" i="3"/>
  <c r="I55" i="3"/>
  <c r="I78" i="3"/>
  <c r="I14" i="3"/>
  <c r="I109" i="3"/>
  <c r="I45" i="3"/>
  <c r="I12" i="3"/>
  <c r="I67" i="3"/>
  <c r="I3" i="3"/>
  <c r="I34" i="3"/>
  <c r="I121" i="3"/>
  <c r="I57" i="3"/>
  <c r="I80" i="3"/>
  <c r="I16" i="3"/>
  <c r="I39" i="3"/>
  <c r="I62" i="3"/>
  <c r="I191" i="3"/>
  <c r="I29" i="3"/>
  <c r="I21" i="3"/>
  <c r="I18" i="3"/>
  <c r="I41" i="3"/>
  <c r="I64" i="3"/>
  <c r="I23" i="3"/>
  <c r="I110" i="3"/>
  <c r="I46" i="3"/>
  <c r="I77" i="3"/>
  <c r="I13" i="3"/>
  <c r="I4" i="3"/>
  <c r="I108" i="3"/>
  <c r="I84" i="3"/>
  <c r="I107" i="3"/>
  <c r="I43" i="3"/>
  <c r="I74" i="3"/>
  <c r="I10" i="3"/>
  <c r="I33" i="3"/>
  <c r="I120" i="3"/>
  <c r="I56" i="3"/>
  <c r="I79" i="3"/>
  <c r="I15" i="3"/>
  <c r="I38" i="3"/>
  <c r="I69" i="3"/>
  <c r="I5" i="3"/>
  <c r="AA32" i="2"/>
  <c r="AA29" i="2"/>
  <c r="D8" i="2"/>
  <c r="F8" i="2" s="1"/>
  <c r="D9" i="2"/>
  <c r="F9" i="2" s="1"/>
  <c r="D7" i="2"/>
  <c r="F7" i="2" s="1"/>
  <c r="O26" i="4" l="1"/>
  <c r="O27" i="4"/>
  <c r="Q25" i="4"/>
  <c r="O23" i="4"/>
  <c r="O22" i="4"/>
  <c r="L12" i="2"/>
  <c r="F11" i="2"/>
  <c r="D49" i="2"/>
  <c r="D51" i="2" s="1"/>
  <c r="D56" i="2"/>
  <c r="I18" i="2"/>
  <c r="F5" i="1"/>
  <c r="D36" i="2"/>
  <c r="D43" i="2"/>
  <c r="I17" i="2"/>
  <c r="F3" i="1"/>
  <c r="I19" i="2"/>
  <c r="F4" i="1"/>
  <c r="F6" i="1"/>
  <c r="I20" i="2"/>
  <c r="V4" i="4"/>
  <c r="Y4" i="4" s="1"/>
  <c r="V3" i="4"/>
  <c r="Y3" i="4" s="1"/>
  <c r="V2" i="4"/>
  <c r="P7" i="4"/>
  <c r="R4" i="4"/>
  <c r="R3" i="4"/>
  <c r="S3" i="4" s="1"/>
  <c r="R2" i="4"/>
  <c r="S2" i="4" s="1"/>
  <c r="V6" i="4"/>
  <c r="Y6" i="4" s="1"/>
  <c r="R5" i="4"/>
  <c r="V5" i="4"/>
  <c r="F14" i="2"/>
  <c r="B14" i="2"/>
  <c r="F12" i="2"/>
  <c r="B12" i="2"/>
  <c r="F13" i="2"/>
  <c r="B13" i="2"/>
  <c r="AA30" i="2"/>
  <c r="AA31" i="2" s="1"/>
  <c r="AD28" i="2" s="1"/>
  <c r="D18" i="2"/>
  <c r="B7" i="2"/>
  <c r="D22" i="2"/>
  <c r="D21" i="2"/>
  <c r="B10" i="2"/>
  <c r="D20" i="2"/>
  <c r="B9" i="2"/>
  <c r="D19" i="2"/>
  <c r="B8" i="2"/>
  <c r="O24" i="4" l="1"/>
  <c r="O25" i="4"/>
  <c r="AA35" i="2"/>
  <c r="D181" i="3"/>
  <c r="D174" i="3"/>
  <c r="D175" i="3"/>
  <c r="D185" i="3"/>
  <c r="D187" i="3"/>
  <c r="D183" i="3"/>
  <c r="D164" i="3"/>
  <c r="D182" i="3"/>
  <c r="D170" i="3"/>
  <c r="D184" i="3"/>
  <c r="D188" i="3"/>
  <c r="D178" i="3"/>
  <c r="D172" i="3"/>
  <c r="D165" i="3"/>
  <c r="D176" i="3"/>
  <c r="D168" i="3"/>
  <c r="D169" i="3"/>
  <c r="D171" i="3"/>
  <c r="D186" i="3"/>
  <c r="D173" i="3"/>
  <c r="D166" i="3"/>
  <c r="D167" i="3"/>
  <c r="D177" i="3"/>
  <c r="D180" i="3"/>
  <c r="D179" i="3"/>
  <c r="J225" i="3"/>
  <c r="J255" i="3"/>
  <c r="J237" i="3"/>
  <c r="J193" i="3"/>
  <c r="J222" i="3"/>
  <c r="J328" i="3"/>
  <c r="J276" i="3"/>
  <c r="J213" i="3"/>
  <c r="J202" i="3"/>
  <c r="J273" i="3"/>
  <c r="J298" i="3"/>
  <c r="J289" i="3"/>
  <c r="J295" i="3"/>
  <c r="J244" i="3"/>
  <c r="J282" i="3"/>
  <c r="J259" i="3"/>
  <c r="J302" i="3"/>
  <c r="J307" i="3"/>
  <c r="J304" i="3"/>
  <c r="J350" i="3"/>
  <c r="J224" i="3"/>
  <c r="J249" i="3"/>
  <c r="J229" i="3"/>
  <c r="J234" i="3"/>
  <c r="J214" i="3"/>
  <c r="J219" i="3"/>
  <c r="J216" i="3"/>
  <c r="J205" i="3"/>
  <c r="J194" i="3"/>
  <c r="J270" i="3"/>
  <c r="J293" i="3"/>
  <c r="J331" i="3"/>
  <c r="J292" i="3"/>
  <c r="J265" i="3"/>
  <c r="J274" i="3"/>
  <c r="J279" i="3"/>
  <c r="J330" i="3"/>
  <c r="J335" i="3"/>
  <c r="J332" i="3"/>
  <c r="J326" i="3"/>
  <c r="J223" i="3"/>
  <c r="J329" i="3"/>
  <c r="J252" i="3"/>
  <c r="J226" i="3"/>
  <c r="J206" i="3"/>
  <c r="J211" i="3"/>
  <c r="J208" i="3"/>
  <c r="J197" i="3"/>
  <c r="J235" i="3"/>
  <c r="J287" i="3"/>
  <c r="J290" i="3"/>
  <c r="J325" i="3"/>
  <c r="J301" i="3"/>
  <c r="J257" i="3"/>
  <c r="J303" i="3"/>
  <c r="J271" i="3"/>
  <c r="J322" i="3"/>
  <c r="J327" i="3"/>
  <c r="J324" i="3"/>
  <c r="J318" i="3"/>
  <c r="J215" i="3"/>
  <c r="J349" i="3"/>
  <c r="J243" i="3"/>
  <c r="J248" i="3"/>
  <c r="J198" i="3"/>
  <c r="J203" i="3"/>
  <c r="J200" i="3"/>
  <c r="J238" i="3"/>
  <c r="J227" i="3"/>
  <c r="J308" i="3"/>
  <c r="J309" i="3"/>
  <c r="J268" i="3"/>
  <c r="J334" i="3"/>
  <c r="J277" i="3"/>
  <c r="J300" i="3"/>
  <c r="J285" i="3"/>
  <c r="J314" i="3"/>
  <c r="J319" i="3"/>
  <c r="J316" i="3"/>
  <c r="J310" i="3"/>
  <c r="J207" i="3"/>
  <c r="J220" i="3"/>
  <c r="J242" i="3"/>
  <c r="J247" i="3"/>
  <c r="J239" i="3"/>
  <c r="J195" i="3"/>
  <c r="J192" i="3"/>
  <c r="J230" i="3"/>
  <c r="J250" i="3"/>
  <c r="J245" i="3"/>
  <c r="J263" i="3"/>
  <c r="J260" i="3"/>
  <c r="J321" i="3"/>
  <c r="J333" i="3"/>
  <c r="J315" i="3"/>
  <c r="J306" i="3"/>
  <c r="J343" i="3"/>
  <c r="J311" i="3"/>
  <c r="J345" i="3"/>
  <c r="J339" i="3"/>
  <c r="J199" i="3"/>
  <c r="J212" i="3"/>
  <c r="J217" i="3"/>
  <c r="J246" i="3"/>
  <c r="J231" i="3"/>
  <c r="J236" i="3"/>
  <c r="J233" i="3"/>
  <c r="J253" i="3"/>
  <c r="J269" i="3"/>
  <c r="J266" i="3"/>
  <c r="J283" i="3"/>
  <c r="J280" i="3"/>
  <c r="J320" i="3"/>
  <c r="J317" i="3"/>
  <c r="J341" i="3"/>
  <c r="J323" i="3"/>
  <c r="J351" i="3"/>
  <c r="J340" i="3"/>
  <c r="J337" i="3"/>
  <c r="J347" i="3"/>
  <c r="J240" i="3"/>
  <c r="J204" i="3"/>
  <c r="J209" i="3"/>
  <c r="J264" i="3"/>
  <c r="J254" i="3"/>
  <c r="J228" i="3"/>
  <c r="J256" i="3"/>
  <c r="J218" i="3"/>
  <c r="J261" i="3"/>
  <c r="J258" i="3"/>
  <c r="J275" i="3"/>
  <c r="J272" i="3"/>
  <c r="J312" i="3"/>
  <c r="J241" i="3"/>
  <c r="J346" i="3"/>
  <c r="J294" i="3"/>
  <c r="J299" i="3"/>
  <c r="J348" i="3"/>
  <c r="J313" i="3"/>
  <c r="J344" i="3"/>
  <c r="J232" i="3"/>
  <c r="J196" i="3"/>
  <c r="J201" i="3"/>
  <c r="J305" i="3"/>
  <c r="J284" i="3"/>
  <c r="J251" i="3"/>
  <c r="J221" i="3"/>
  <c r="J210" i="3"/>
  <c r="J281" i="3"/>
  <c r="J278" i="3"/>
  <c r="J296" i="3"/>
  <c r="J297" i="3"/>
  <c r="J338" i="3"/>
  <c r="J262" i="3"/>
  <c r="J267" i="3"/>
  <c r="J286" i="3"/>
  <c r="J291" i="3"/>
  <c r="J288" i="3"/>
  <c r="J342" i="3"/>
  <c r="J336" i="3"/>
  <c r="Y5" i="4"/>
  <c r="Y2" i="4"/>
  <c r="H138" i="3"/>
  <c r="H143" i="3"/>
  <c r="H134" i="3"/>
  <c r="H137" i="3"/>
  <c r="H136" i="3"/>
  <c r="H132" i="3"/>
  <c r="H131" i="3"/>
  <c r="H128" i="3"/>
  <c r="H130" i="3"/>
  <c r="H127" i="3"/>
  <c r="H140" i="3"/>
  <c r="H135" i="3"/>
  <c r="H142" i="3"/>
  <c r="H139" i="3"/>
  <c r="H124" i="3"/>
  <c r="H141" i="3"/>
  <c r="H144" i="3"/>
  <c r="H133" i="3"/>
  <c r="H126" i="3"/>
  <c r="H125" i="3"/>
  <c r="H129" i="3"/>
  <c r="S5" i="4"/>
  <c r="R13" i="4"/>
  <c r="V11" i="4" s="1"/>
  <c r="D38" i="2"/>
  <c r="C40" i="2" s="1" a="1"/>
  <c r="E7" i="3"/>
  <c r="E4" i="3"/>
  <c r="E18" i="3"/>
  <c r="E10" i="3"/>
  <c r="E15" i="3"/>
  <c r="E14" i="3"/>
  <c r="E19" i="3"/>
  <c r="E13" i="3"/>
  <c r="E5" i="3"/>
  <c r="E8" i="3"/>
  <c r="E6" i="3"/>
  <c r="E11" i="3"/>
  <c r="E12" i="3"/>
  <c r="E9" i="3"/>
  <c r="E21" i="3"/>
  <c r="E3" i="3"/>
  <c r="E17" i="3"/>
  <c r="E16" i="3"/>
  <c r="E2" i="3"/>
  <c r="E20" i="3"/>
  <c r="I158" i="3"/>
  <c r="I181" i="3"/>
  <c r="I164" i="3"/>
  <c r="I177" i="3"/>
  <c r="I170" i="3"/>
  <c r="I163" i="3"/>
  <c r="I159" i="3"/>
  <c r="I183" i="3"/>
  <c r="I178" i="3"/>
  <c r="I174" i="3"/>
  <c r="I169" i="3"/>
  <c r="I175" i="3"/>
  <c r="I172" i="3"/>
  <c r="I168" i="3"/>
  <c r="I180" i="3"/>
  <c r="I160" i="3"/>
  <c r="I182" i="3"/>
  <c r="I165" i="3"/>
  <c r="I167" i="3"/>
  <c r="I176" i="3"/>
  <c r="I186" i="3"/>
  <c r="I161" i="3"/>
  <c r="I162" i="3"/>
  <c r="I173" i="3"/>
  <c r="I166" i="3"/>
  <c r="I179" i="3"/>
  <c r="I184" i="3"/>
  <c r="I185" i="3"/>
  <c r="I171" i="3"/>
  <c r="F60" i="3"/>
  <c r="F57" i="3"/>
  <c r="F56" i="3"/>
  <c r="F62" i="3"/>
  <c r="F59" i="3"/>
  <c r="F58" i="3"/>
  <c r="F61" i="3"/>
  <c r="G103" i="3"/>
  <c r="G99" i="3"/>
  <c r="G100" i="3"/>
  <c r="G97" i="3"/>
  <c r="G92" i="3"/>
  <c r="G91" i="3"/>
  <c r="G98" i="3"/>
  <c r="G93" i="3"/>
  <c r="G94" i="3"/>
  <c r="G90" i="3"/>
  <c r="G95" i="3"/>
  <c r="G96" i="3"/>
  <c r="G101" i="3"/>
  <c r="G102" i="3"/>
  <c r="R14" i="4"/>
  <c r="V10" i="4" s="1"/>
  <c r="S4" i="4"/>
  <c r="D17" i="3"/>
  <c r="D19" i="3"/>
  <c r="D15" i="3"/>
  <c r="D10" i="3"/>
  <c r="D25" i="3"/>
  <c r="D5" i="3"/>
  <c r="D22" i="3"/>
  <c r="D3" i="3"/>
  <c r="D13" i="3"/>
  <c r="D8" i="3"/>
  <c r="D11" i="3"/>
  <c r="D20" i="3"/>
  <c r="D16" i="3"/>
  <c r="D18" i="3"/>
  <c r="D6" i="3"/>
  <c r="D23" i="3"/>
  <c r="D26" i="3"/>
  <c r="D14" i="3"/>
  <c r="D9" i="3"/>
  <c r="D4" i="3"/>
  <c r="D21" i="3"/>
  <c r="D24" i="3"/>
  <c r="D12" i="3"/>
  <c r="D7" i="3"/>
  <c r="D2" i="3"/>
  <c r="J12" i="3"/>
  <c r="J31" i="3"/>
  <c r="J135" i="3"/>
  <c r="J148" i="3"/>
  <c r="J134" i="3"/>
  <c r="J46" i="3"/>
  <c r="J101" i="3"/>
  <c r="J79" i="3"/>
  <c r="J62" i="3"/>
  <c r="J37" i="3"/>
  <c r="J66" i="3"/>
  <c r="J132" i="3"/>
  <c r="J55" i="3"/>
  <c r="J157" i="3"/>
  <c r="J92" i="3"/>
  <c r="J7" i="3"/>
  <c r="J30" i="3"/>
  <c r="J39" i="3"/>
  <c r="J150" i="3"/>
  <c r="J141" i="3"/>
  <c r="J44" i="3"/>
  <c r="J155" i="3"/>
  <c r="J151" i="3"/>
  <c r="J94" i="3"/>
  <c r="J85" i="3"/>
  <c r="J23" i="3"/>
  <c r="J78" i="3"/>
  <c r="J53" i="3"/>
  <c r="J106" i="3"/>
  <c r="J60" i="3"/>
  <c r="J5" i="3"/>
  <c r="J139" i="3"/>
  <c r="J17" i="3"/>
  <c r="J83" i="3"/>
  <c r="J69" i="3"/>
  <c r="J76" i="3"/>
  <c r="J27" i="3"/>
  <c r="J14" i="3"/>
  <c r="J21" i="3"/>
  <c r="J28" i="3"/>
  <c r="J137" i="3"/>
  <c r="J143" i="3"/>
  <c r="J47" i="3"/>
  <c r="J70" i="3"/>
  <c r="J6" i="3"/>
  <c r="J77" i="3"/>
  <c r="J13" i="3"/>
  <c r="J84" i="3"/>
  <c r="J20" i="3"/>
  <c r="J91" i="3"/>
  <c r="J138" i="3"/>
  <c r="J145" i="3"/>
  <c r="J56" i="3"/>
  <c r="J116" i="3"/>
  <c r="J95" i="3"/>
  <c r="J15" i="3"/>
  <c r="J142" i="3"/>
  <c r="J54" i="3"/>
  <c r="J149" i="3"/>
  <c r="J61" i="3"/>
  <c r="J156" i="3"/>
  <c r="J68" i="3"/>
  <c r="J4" i="3"/>
  <c r="J67" i="3"/>
  <c r="J98" i="3"/>
  <c r="J105" i="3"/>
  <c r="J59" i="3"/>
  <c r="J82" i="3"/>
  <c r="J97" i="3"/>
  <c r="J103" i="3"/>
  <c r="J71" i="3"/>
  <c r="J102" i="3"/>
  <c r="J38" i="3"/>
  <c r="J133" i="3"/>
  <c r="J45" i="3"/>
  <c r="J140" i="3"/>
  <c r="J52" i="3"/>
  <c r="J147" i="3"/>
  <c r="J43" i="3"/>
  <c r="J74" i="3"/>
  <c r="J65" i="3"/>
  <c r="J87" i="3"/>
  <c r="J63" i="3"/>
  <c r="J86" i="3"/>
  <c r="J22" i="3"/>
  <c r="J93" i="3"/>
  <c r="J29" i="3"/>
  <c r="J100" i="3"/>
  <c r="J36" i="3"/>
  <c r="J131" i="3"/>
  <c r="J19" i="3"/>
  <c r="J10" i="3"/>
  <c r="J9" i="3"/>
  <c r="J99" i="3"/>
  <c r="J11" i="3"/>
  <c r="J153" i="3"/>
  <c r="J96" i="3"/>
  <c r="J33" i="3"/>
  <c r="J144" i="3"/>
  <c r="J3" i="3"/>
  <c r="J58" i="3"/>
  <c r="J89" i="3"/>
  <c r="J88" i="3"/>
  <c r="J75" i="3"/>
  <c r="J146" i="3"/>
  <c r="J34" i="3"/>
  <c r="J73" i="3"/>
  <c r="J80" i="3"/>
  <c r="J64" i="3"/>
  <c r="J152" i="3"/>
  <c r="J48" i="3"/>
  <c r="J51" i="3"/>
  <c r="J130" i="3"/>
  <c r="J18" i="3"/>
  <c r="J81" i="3"/>
  <c r="J128" i="3"/>
  <c r="J2" i="3"/>
  <c r="J110" i="3"/>
  <c r="J117" i="3"/>
  <c r="J115" i="3"/>
  <c r="J125" i="3"/>
  <c r="J109" i="3"/>
  <c r="J107" i="3"/>
  <c r="J108" i="3"/>
  <c r="J111" i="3"/>
  <c r="H70" i="3"/>
  <c r="H75" i="3"/>
  <c r="H78" i="3"/>
  <c r="H83" i="3"/>
  <c r="H84" i="3"/>
  <c r="H80" i="3"/>
  <c r="H79" i="3"/>
  <c r="H74" i="3"/>
  <c r="H66" i="3"/>
  <c r="H77" i="3"/>
  <c r="H67" i="3"/>
  <c r="H72" i="3"/>
  <c r="H68" i="3"/>
  <c r="H81" i="3"/>
  <c r="H76" i="3"/>
  <c r="H73" i="3"/>
  <c r="H64" i="3"/>
  <c r="H65" i="3"/>
  <c r="H71" i="3"/>
  <c r="H82" i="3"/>
  <c r="H69" i="3"/>
  <c r="J127" i="3"/>
  <c r="J35" i="3"/>
  <c r="J122" i="3"/>
  <c r="J50" i="3"/>
  <c r="J129" i="3"/>
  <c r="J57" i="3"/>
  <c r="J120" i="3"/>
  <c r="J40" i="3"/>
  <c r="G46" i="3"/>
  <c r="G51" i="3"/>
  <c r="G52" i="3"/>
  <c r="G49" i="3"/>
  <c r="G50" i="3"/>
  <c r="G45" i="3"/>
  <c r="G53" i="3"/>
  <c r="G54" i="3"/>
  <c r="G55" i="3"/>
  <c r="G43" i="3"/>
  <c r="G48" i="3"/>
  <c r="G44" i="3"/>
  <c r="G47" i="3"/>
  <c r="J123" i="3"/>
  <c r="I96" i="3"/>
  <c r="I95" i="3"/>
  <c r="I89" i="3"/>
  <c r="I91" i="3"/>
  <c r="I99" i="3"/>
  <c r="I90" i="3"/>
  <c r="I100" i="3"/>
  <c r="I88" i="3"/>
  <c r="I104" i="3"/>
  <c r="I92" i="3"/>
  <c r="I93" i="3"/>
  <c r="I97" i="3"/>
  <c r="I103" i="3"/>
  <c r="I87" i="3"/>
  <c r="I94" i="3"/>
  <c r="I101" i="3"/>
  <c r="I85" i="3"/>
  <c r="I86" i="3"/>
  <c r="I98" i="3"/>
  <c r="I105" i="3"/>
  <c r="I102" i="3"/>
  <c r="I106" i="3"/>
  <c r="J126" i="3"/>
  <c r="J124" i="3"/>
  <c r="J114" i="3"/>
  <c r="J42" i="3"/>
  <c r="J121" i="3"/>
  <c r="J41" i="3"/>
  <c r="J112" i="3"/>
  <c r="J16" i="3"/>
  <c r="J119" i="3"/>
  <c r="J118" i="3"/>
  <c r="AD32" i="2"/>
  <c r="AD29" i="2"/>
  <c r="J25" i="3"/>
  <c r="J104" i="3"/>
  <c r="J32" i="3"/>
  <c r="J24" i="3"/>
  <c r="J154" i="3"/>
  <c r="J90" i="3"/>
  <c r="J26" i="3"/>
  <c r="J113" i="3"/>
  <c r="J49" i="3"/>
  <c r="J136" i="3"/>
  <c r="J72" i="3"/>
  <c r="J8" i="3"/>
  <c r="J163" i="3"/>
  <c r="J171" i="3"/>
  <c r="J179" i="3"/>
  <c r="J187" i="3"/>
  <c r="J186" i="3"/>
  <c r="J164" i="3"/>
  <c r="J172" i="3"/>
  <c r="J180" i="3"/>
  <c r="J188" i="3"/>
  <c r="J165" i="3"/>
  <c r="J173" i="3"/>
  <c r="J181" i="3"/>
  <c r="J189" i="3"/>
  <c r="J158" i="3"/>
  <c r="J166" i="3"/>
  <c r="J174" i="3"/>
  <c r="J182" i="3"/>
  <c r="J190" i="3"/>
  <c r="J159" i="3"/>
  <c r="J167" i="3"/>
  <c r="J175" i="3"/>
  <c r="J183" i="3"/>
  <c r="J191" i="3"/>
  <c r="J162" i="3"/>
  <c r="J160" i="3"/>
  <c r="J168" i="3"/>
  <c r="J176" i="3"/>
  <c r="J184" i="3"/>
  <c r="J170" i="3"/>
  <c r="J161" i="3"/>
  <c r="J169" i="3"/>
  <c r="J177" i="3"/>
  <c r="J185" i="3"/>
  <c r="J178" i="3"/>
  <c r="I126" i="3"/>
  <c r="I134" i="3"/>
  <c r="I142" i="3"/>
  <c r="I150" i="3"/>
  <c r="I127" i="3"/>
  <c r="I135" i="3"/>
  <c r="I143" i="3"/>
  <c r="I151" i="3"/>
  <c r="I128" i="3"/>
  <c r="I136" i="3"/>
  <c r="I144" i="3"/>
  <c r="I152" i="3"/>
  <c r="I129" i="3"/>
  <c r="I137" i="3"/>
  <c r="I145" i="3"/>
  <c r="I153" i="3"/>
  <c r="I130" i="3"/>
  <c r="I138" i="3"/>
  <c r="I146" i="3"/>
  <c r="I154" i="3"/>
  <c r="I131" i="3"/>
  <c r="I139" i="3"/>
  <c r="I147" i="3"/>
  <c r="I155" i="3"/>
  <c r="I124" i="3"/>
  <c r="I132" i="3"/>
  <c r="I140" i="3"/>
  <c r="I148" i="3"/>
  <c r="I156" i="3"/>
  <c r="I125" i="3"/>
  <c r="I133" i="3"/>
  <c r="I141" i="3"/>
  <c r="I149" i="3"/>
  <c r="I157" i="3"/>
  <c r="H97" i="3"/>
  <c r="H105" i="3"/>
  <c r="H113" i="3"/>
  <c r="H121" i="3"/>
  <c r="H90" i="3"/>
  <c r="H98" i="3"/>
  <c r="H106" i="3"/>
  <c r="H114" i="3"/>
  <c r="H122" i="3"/>
  <c r="H91" i="3"/>
  <c r="H99" i="3"/>
  <c r="H107" i="3"/>
  <c r="H115" i="3"/>
  <c r="H123" i="3"/>
  <c r="H92" i="3"/>
  <c r="H100" i="3"/>
  <c r="H108" i="3"/>
  <c r="H116" i="3"/>
  <c r="H93" i="3"/>
  <c r="H101" i="3"/>
  <c r="H109" i="3"/>
  <c r="H117" i="3"/>
  <c r="H94" i="3"/>
  <c r="H102" i="3"/>
  <c r="H110" i="3"/>
  <c r="H118" i="3"/>
  <c r="H95" i="3"/>
  <c r="H103" i="3"/>
  <c r="H111" i="3"/>
  <c r="H119" i="3"/>
  <c r="H96" i="3"/>
  <c r="H104" i="3"/>
  <c r="H112" i="3"/>
  <c r="H120" i="3"/>
  <c r="G60" i="3"/>
  <c r="G68" i="3"/>
  <c r="G76" i="3"/>
  <c r="G84" i="3"/>
  <c r="G61" i="3"/>
  <c r="G69" i="3"/>
  <c r="G77" i="3"/>
  <c r="G85" i="3"/>
  <c r="G62" i="3"/>
  <c r="G70" i="3"/>
  <c r="G78" i="3"/>
  <c r="G86" i="3"/>
  <c r="G63" i="3"/>
  <c r="G71" i="3"/>
  <c r="G79" i="3"/>
  <c r="G87" i="3"/>
  <c r="G56" i="3"/>
  <c r="G64" i="3"/>
  <c r="G72" i="3"/>
  <c r="G80" i="3"/>
  <c r="G88" i="3"/>
  <c r="G57" i="3"/>
  <c r="G65" i="3"/>
  <c r="G73" i="3"/>
  <c r="G81" i="3"/>
  <c r="G89" i="3"/>
  <c r="G58" i="3"/>
  <c r="G66" i="3"/>
  <c r="G74" i="3"/>
  <c r="G82" i="3"/>
  <c r="G59" i="3"/>
  <c r="G67" i="3"/>
  <c r="G75" i="3"/>
  <c r="G83" i="3"/>
  <c r="F23" i="3"/>
  <c r="F31" i="3"/>
  <c r="F39" i="3"/>
  <c r="F47" i="3"/>
  <c r="F55" i="3"/>
  <c r="F52" i="3"/>
  <c r="F24" i="3"/>
  <c r="F32" i="3"/>
  <c r="F40" i="3"/>
  <c r="F48" i="3"/>
  <c r="F28" i="3"/>
  <c r="F25" i="3"/>
  <c r="F33" i="3"/>
  <c r="F41" i="3"/>
  <c r="F49" i="3"/>
  <c r="F44" i="3"/>
  <c r="F26" i="3"/>
  <c r="F34" i="3"/>
  <c r="F42" i="3"/>
  <c r="F50" i="3"/>
  <c r="F27" i="3"/>
  <c r="F35" i="3"/>
  <c r="F43" i="3"/>
  <c r="F51" i="3"/>
  <c r="F36" i="3"/>
  <c r="F29" i="3"/>
  <c r="F37" i="3"/>
  <c r="F45" i="3"/>
  <c r="F53" i="3"/>
  <c r="F22" i="3"/>
  <c r="F30" i="3"/>
  <c r="F38" i="3"/>
  <c r="F46" i="3"/>
  <c r="F54" i="3"/>
  <c r="C53" i="2" a="1"/>
  <c r="D53" i="2" s="1"/>
  <c r="N8" i="4" l="1"/>
  <c r="D40" i="2"/>
  <c r="C40" i="2"/>
  <c r="E40" i="2"/>
  <c r="AD30" i="2"/>
  <c r="AD31" i="2" s="1"/>
  <c r="AG28" i="2" s="1"/>
  <c r="AG29" i="2" s="1"/>
  <c r="E53" i="2"/>
  <c r="C53" i="2"/>
  <c r="K265" i="3" l="1"/>
  <c r="AD35" i="2"/>
  <c r="C43" i="2"/>
  <c r="B2" i="3"/>
  <c r="K267" i="3"/>
  <c r="K242" i="3"/>
  <c r="K230" i="3"/>
  <c r="K244" i="3"/>
  <c r="K266" i="3"/>
  <c r="K240" i="3"/>
  <c r="K342" i="3"/>
  <c r="K302" i="3"/>
  <c r="K286" i="3"/>
  <c r="K189" i="3"/>
  <c r="K337" i="3"/>
  <c r="K305" i="3"/>
  <c r="K273" i="3"/>
  <c r="K215" i="3"/>
  <c r="K332" i="3"/>
  <c r="K300" i="3"/>
  <c r="K227" i="3"/>
  <c r="K173" i="3"/>
  <c r="K331" i="3"/>
  <c r="K299" i="3"/>
  <c r="K207" i="3"/>
  <c r="K199" i="3"/>
  <c r="K117" i="3"/>
  <c r="K53" i="3"/>
  <c r="K218" i="3"/>
  <c r="K154" i="3"/>
  <c r="K90" i="3"/>
  <c r="K26" i="3"/>
  <c r="K151" i="3"/>
  <c r="K87" i="3"/>
  <c r="K23" i="3"/>
  <c r="K180" i="3"/>
  <c r="K116" i="3"/>
  <c r="K52" i="3"/>
  <c r="K201" i="3"/>
  <c r="K137" i="3"/>
  <c r="K73" i="3"/>
  <c r="K9" i="3"/>
  <c r="K166" i="3"/>
  <c r="K102" i="3"/>
  <c r="K38" i="3"/>
  <c r="K187" i="3"/>
  <c r="K123" i="3"/>
  <c r="K59" i="3"/>
  <c r="K229" i="3"/>
  <c r="K310" i="3"/>
  <c r="K270" i="3"/>
  <c r="K157" i="3"/>
  <c r="K333" i="3"/>
  <c r="K301" i="3"/>
  <c r="K269" i="3"/>
  <c r="K165" i="3"/>
  <c r="K328" i="3"/>
  <c r="K296" i="3"/>
  <c r="K223" i="3"/>
  <c r="K96" i="3"/>
  <c r="K327" i="3"/>
  <c r="K295" i="3"/>
  <c r="K192" i="3"/>
  <c r="K181" i="3"/>
  <c r="K109" i="3"/>
  <c r="K45" i="3"/>
  <c r="K210" i="3"/>
  <c r="K146" i="3"/>
  <c r="K82" i="3"/>
  <c r="K18" i="3"/>
  <c r="K143" i="3"/>
  <c r="K79" i="3"/>
  <c r="K15" i="3"/>
  <c r="K172" i="3"/>
  <c r="K108" i="3"/>
  <c r="K44" i="3"/>
  <c r="K193" i="3"/>
  <c r="K129" i="3"/>
  <c r="K65" i="3"/>
  <c r="K222" i="3"/>
  <c r="K158" i="3"/>
  <c r="K94" i="3"/>
  <c r="K30" i="3"/>
  <c r="K179" i="3"/>
  <c r="K115" i="3"/>
  <c r="K51" i="3"/>
  <c r="K254" i="3"/>
  <c r="K257" i="3"/>
  <c r="K248" i="3"/>
  <c r="K259" i="3"/>
  <c r="K228" i="3"/>
  <c r="K235" i="3"/>
  <c r="K278" i="3"/>
  <c r="K88" i="3"/>
  <c r="K290" i="3"/>
  <c r="K128" i="3"/>
  <c r="K329" i="3"/>
  <c r="K297" i="3"/>
  <c r="K224" i="3"/>
  <c r="K80" i="3"/>
  <c r="K324" i="3"/>
  <c r="K292" i="3"/>
  <c r="K208" i="3"/>
  <c r="K32" i="3"/>
  <c r="K323" i="3"/>
  <c r="K291" i="3"/>
  <c r="K160" i="3"/>
  <c r="K149" i="3"/>
  <c r="K101" i="3"/>
  <c r="K37" i="3"/>
  <c r="K202" i="3"/>
  <c r="K138" i="3"/>
  <c r="K74" i="3"/>
  <c r="K10" i="3"/>
  <c r="K135" i="3"/>
  <c r="K71" i="3"/>
  <c r="K7" i="3"/>
  <c r="K164" i="3"/>
  <c r="K100" i="3"/>
  <c r="K36" i="3"/>
  <c r="K185" i="3"/>
  <c r="K121" i="3"/>
  <c r="K57" i="3"/>
  <c r="K214" i="3"/>
  <c r="K150" i="3"/>
  <c r="K86" i="3"/>
  <c r="K22" i="3"/>
  <c r="K171" i="3"/>
  <c r="K107" i="3"/>
  <c r="K43" i="3"/>
  <c r="K268" i="3"/>
  <c r="K247" i="3"/>
  <c r="K322" i="3"/>
  <c r="K253" i="3"/>
  <c r="K250" i="3"/>
  <c r="K238" i="3"/>
  <c r="K252" i="3"/>
  <c r="K232" i="3"/>
  <c r="K262" i="3"/>
  <c r="K318" i="3"/>
  <c r="K338" i="3"/>
  <c r="K330" i="3"/>
  <c r="K225" i="3"/>
  <c r="K64" i="3"/>
  <c r="K325" i="3"/>
  <c r="K293" i="3"/>
  <c r="K176" i="3"/>
  <c r="K16" i="3"/>
  <c r="K320" i="3"/>
  <c r="K288" i="3"/>
  <c r="K184" i="3"/>
  <c r="K351" i="3"/>
  <c r="K319" i="3"/>
  <c r="K287" i="3"/>
  <c r="K136" i="3"/>
  <c r="K112" i="3"/>
  <c r="K93" i="3"/>
  <c r="K29" i="3"/>
  <c r="K194" i="3"/>
  <c r="K130" i="3"/>
  <c r="K66" i="3"/>
  <c r="K191" i="3"/>
  <c r="K127" i="3"/>
  <c r="K63" i="3"/>
  <c r="K220" i="3"/>
  <c r="K156" i="3"/>
  <c r="K92" i="3"/>
  <c r="K28" i="3"/>
  <c r="K177" i="3"/>
  <c r="K113" i="3"/>
  <c r="K49" i="3"/>
  <c r="K206" i="3"/>
  <c r="K142" i="3"/>
  <c r="K78" i="3"/>
  <c r="K14" i="3"/>
  <c r="K163" i="3"/>
  <c r="K99" i="3"/>
  <c r="K35" i="3"/>
  <c r="K233" i="3"/>
  <c r="AG32" i="2"/>
  <c r="K231" i="3"/>
  <c r="K237" i="3"/>
  <c r="K241" i="3"/>
  <c r="K255" i="3"/>
  <c r="K243" i="3"/>
  <c r="K221" i="3"/>
  <c r="K306" i="3"/>
  <c r="K298" i="3"/>
  <c r="K168" i="3"/>
  <c r="K2" i="3"/>
  <c r="K321" i="3"/>
  <c r="K289" i="3"/>
  <c r="K144" i="3"/>
  <c r="K348" i="3"/>
  <c r="K316" i="3"/>
  <c r="K284" i="3"/>
  <c r="K152" i="3"/>
  <c r="K347" i="3"/>
  <c r="K315" i="3"/>
  <c r="K283" i="3"/>
  <c r="K72" i="3"/>
  <c r="K48" i="3"/>
  <c r="K85" i="3"/>
  <c r="K21" i="3"/>
  <c r="K186" i="3"/>
  <c r="K122" i="3"/>
  <c r="K58" i="3"/>
  <c r="K183" i="3"/>
  <c r="K119" i="3"/>
  <c r="K55" i="3"/>
  <c r="K212" i="3"/>
  <c r="K148" i="3"/>
  <c r="K84" i="3"/>
  <c r="K20" i="3"/>
  <c r="K169" i="3"/>
  <c r="K105" i="3"/>
  <c r="K41" i="3"/>
  <c r="K198" i="3"/>
  <c r="K134" i="3"/>
  <c r="K70" i="3"/>
  <c r="K6" i="3"/>
  <c r="K155" i="3"/>
  <c r="K91" i="3"/>
  <c r="K27" i="3"/>
  <c r="K261" i="3"/>
  <c r="K350" i="3"/>
  <c r="K24" i="3"/>
  <c r="K285" i="3"/>
  <c r="K104" i="3"/>
  <c r="K344" i="3"/>
  <c r="K312" i="3"/>
  <c r="K280" i="3"/>
  <c r="K120" i="3"/>
  <c r="K343" i="3"/>
  <c r="K311" i="3"/>
  <c r="K279" i="3"/>
  <c r="K8" i="3"/>
  <c r="K141" i="3"/>
  <c r="K77" i="3"/>
  <c r="K13" i="3"/>
  <c r="K178" i="3"/>
  <c r="K114" i="3"/>
  <c r="K50" i="3"/>
  <c r="K175" i="3"/>
  <c r="K111" i="3"/>
  <c r="K47" i="3"/>
  <c r="K204" i="3"/>
  <c r="K140" i="3"/>
  <c r="K76" i="3"/>
  <c r="K12" i="3"/>
  <c r="K161" i="3"/>
  <c r="K97" i="3"/>
  <c r="K33" i="3"/>
  <c r="K190" i="3"/>
  <c r="K126" i="3"/>
  <c r="K62" i="3"/>
  <c r="K211" i="3"/>
  <c r="K147" i="3"/>
  <c r="K83" i="3"/>
  <c r="K19" i="3"/>
  <c r="K236" i="3"/>
  <c r="K274" i="3"/>
  <c r="K349" i="3"/>
  <c r="K246" i="3"/>
  <c r="K260" i="3"/>
  <c r="K264" i="3"/>
  <c r="K256" i="3"/>
  <c r="K258" i="3"/>
  <c r="K314" i="3"/>
  <c r="K205" i="3"/>
  <c r="K326" i="3"/>
  <c r="K216" i="3"/>
  <c r="K345" i="3"/>
  <c r="K313" i="3"/>
  <c r="K281" i="3"/>
  <c r="K40" i="3"/>
  <c r="K340" i="3"/>
  <c r="K308" i="3"/>
  <c r="K276" i="3"/>
  <c r="K56" i="3"/>
  <c r="K339" i="3"/>
  <c r="K307" i="3"/>
  <c r="K275" i="3"/>
  <c r="K217" i="3"/>
  <c r="K133" i="3"/>
  <c r="K69" i="3"/>
  <c r="K5" i="3"/>
  <c r="K170" i="3"/>
  <c r="K106" i="3"/>
  <c r="K42" i="3"/>
  <c r="K167" i="3"/>
  <c r="K103" i="3"/>
  <c r="K39" i="3"/>
  <c r="K196" i="3"/>
  <c r="K132" i="3"/>
  <c r="K68" i="3"/>
  <c r="K4" i="3"/>
  <c r="K153" i="3"/>
  <c r="K89" i="3"/>
  <c r="K25" i="3"/>
  <c r="K182" i="3"/>
  <c r="K118" i="3"/>
  <c r="K54" i="3"/>
  <c r="K203" i="3"/>
  <c r="K139" i="3"/>
  <c r="K75" i="3"/>
  <c r="K11" i="3"/>
  <c r="K234" i="3"/>
  <c r="K346" i="3"/>
  <c r="K317" i="3"/>
  <c r="K245" i="3"/>
  <c r="K249" i="3"/>
  <c r="K263" i="3"/>
  <c r="K251" i="3"/>
  <c r="K239" i="3"/>
  <c r="K282" i="3"/>
  <c r="K334" i="3"/>
  <c r="K294" i="3"/>
  <c r="K197" i="3"/>
  <c r="K341" i="3"/>
  <c r="K309" i="3"/>
  <c r="K277" i="3"/>
  <c r="K219" i="3"/>
  <c r="K336" i="3"/>
  <c r="K304" i="3"/>
  <c r="K272" i="3"/>
  <c r="K200" i="3"/>
  <c r="K335" i="3"/>
  <c r="K303" i="3"/>
  <c r="K271" i="3"/>
  <c r="K213" i="3"/>
  <c r="K125" i="3"/>
  <c r="K61" i="3"/>
  <c r="K226" i="3"/>
  <c r="K162" i="3"/>
  <c r="K98" i="3"/>
  <c r="K34" i="3"/>
  <c r="K159" i="3"/>
  <c r="K95" i="3"/>
  <c r="K31" i="3"/>
  <c r="K188" i="3"/>
  <c r="K124" i="3"/>
  <c r="K60" i="3"/>
  <c r="K209" i="3"/>
  <c r="K145" i="3"/>
  <c r="K81" i="3"/>
  <c r="K17" i="3"/>
  <c r="K174" i="3"/>
  <c r="K110" i="3"/>
  <c r="K46" i="3"/>
  <c r="K195" i="3"/>
  <c r="K131" i="3"/>
  <c r="K67" i="3"/>
  <c r="K3" i="3"/>
  <c r="C346" i="3"/>
  <c r="C348" i="3"/>
  <c r="C341" i="3"/>
  <c r="C317" i="3"/>
  <c r="C319" i="3"/>
  <c r="C321" i="3"/>
  <c r="C304" i="3"/>
  <c r="C293" i="3"/>
  <c r="C270" i="3"/>
  <c r="C272" i="3"/>
  <c r="C283" i="3"/>
  <c r="C262" i="3"/>
  <c r="C264" i="3"/>
  <c r="C266" i="3"/>
  <c r="C244" i="3"/>
  <c r="C253" i="3"/>
  <c r="C231" i="3"/>
  <c r="C197" i="3"/>
  <c r="C199" i="3"/>
  <c r="C201" i="3"/>
  <c r="C203" i="3"/>
  <c r="C343" i="3"/>
  <c r="C345" i="3"/>
  <c r="C310" i="3"/>
  <c r="C312" i="3"/>
  <c r="C314" i="3"/>
  <c r="C323" i="3"/>
  <c r="C306" i="3"/>
  <c r="C308" i="3"/>
  <c r="C286" i="3"/>
  <c r="C288" i="3"/>
  <c r="C295" i="3"/>
  <c r="C274" i="3"/>
  <c r="C268" i="3"/>
  <c r="C233" i="3"/>
  <c r="C235" i="3"/>
  <c r="C237" i="3"/>
  <c r="C205" i="3"/>
  <c r="C207" i="3"/>
  <c r="C209" i="3"/>
  <c r="C211" i="3"/>
  <c r="C220" i="3"/>
  <c r="C350" i="3"/>
  <c r="C325" i="3"/>
  <c r="C327" i="3"/>
  <c r="C329" i="3"/>
  <c r="C290" i="3"/>
  <c r="C297" i="3"/>
  <c r="C276" i="3"/>
  <c r="C257" i="3"/>
  <c r="C259" i="3"/>
  <c r="C246" i="3"/>
  <c r="C255" i="3"/>
  <c r="C226" i="3"/>
  <c r="C228" i="3"/>
  <c r="C239" i="3"/>
  <c r="C222" i="3"/>
  <c r="C224" i="3"/>
  <c r="C336" i="3"/>
  <c r="C338" i="3"/>
  <c r="C316" i="3"/>
  <c r="C331" i="3"/>
  <c r="C333" i="3"/>
  <c r="C335" i="3"/>
  <c r="C301" i="3"/>
  <c r="C303" i="3"/>
  <c r="C292" i="3"/>
  <c r="C278" i="3"/>
  <c r="C280" i="3"/>
  <c r="C241" i="3"/>
  <c r="C243" i="3"/>
  <c r="C248" i="3"/>
  <c r="C250" i="3"/>
  <c r="C230" i="3"/>
  <c r="C192" i="3"/>
  <c r="C194" i="3"/>
  <c r="C213" i="3"/>
  <c r="C215" i="3"/>
  <c r="C347" i="3"/>
  <c r="C340" i="3"/>
  <c r="C318" i="3"/>
  <c r="C320" i="3"/>
  <c r="C322" i="3"/>
  <c r="C305" i="3"/>
  <c r="C299" i="3"/>
  <c r="C271" i="3"/>
  <c r="C273" i="3"/>
  <c r="C282" i="3"/>
  <c r="C261" i="3"/>
  <c r="C263" i="3"/>
  <c r="C265" i="3"/>
  <c r="C267" i="3"/>
  <c r="C252" i="3"/>
  <c r="C196" i="3"/>
  <c r="C198" i="3"/>
  <c r="C200" i="3"/>
  <c r="C202" i="3"/>
  <c r="C217" i="3"/>
  <c r="C219" i="3"/>
  <c r="C349" i="3"/>
  <c r="C342" i="3"/>
  <c r="C344" i="3"/>
  <c r="C309" i="3"/>
  <c r="C311" i="3"/>
  <c r="C313" i="3"/>
  <c r="C307" i="3"/>
  <c r="C285" i="3"/>
  <c r="C287" i="3"/>
  <c r="C294" i="3"/>
  <c r="C296" i="3"/>
  <c r="C275" i="3"/>
  <c r="C284" i="3"/>
  <c r="C245" i="3"/>
  <c r="C254" i="3"/>
  <c r="C232" i="3"/>
  <c r="C234" i="3"/>
  <c r="C236" i="3"/>
  <c r="C204" i="3"/>
  <c r="C206" i="3"/>
  <c r="C208" i="3"/>
  <c r="C210" i="3"/>
  <c r="C351" i="3"/>
  <c r="C315" i="3"/>
  <c r="C324" i="3"/>
  <c r="C326" i="3"/>
  <c r="C328" i="3"/>
  <c r="C330" i="3"/>
  <c r="C289" i="3"/>
  <c r="C277" i="3"/>
  <c r="C258" i="3"/>
  <c r="C269" i="3"/>
  <c r="C256" i="3"/>
  <c r="C227" i="3"/>
  <c r="C229" i="3"/>
  <c r="C238" i="3"/>
  <c r="C212" i="3"/>
  <c r="C221" i="3"/>
  <c r="C223" i="3"/>
  <c r="C218" i="3"/>
  <c r="C337" i="3"/>
  <c r="C339" i="3"/>
  <c r="C332" i="3"/>
  <c r="C334" i="3"/>
  <c r="C300" i="3"/>
  <c r="C302" i="3"/>
  <c r="C291" i="3"/>
  <c r="C298" i="3"/>
  <c r="C279" i="3"/>
  <c r="C281" i="3"/>
  <c r="C260" i="3"/>
  <c r="C242" i="3"/>
  <c r="C247" i="3"/>
  <c r="C249" i="3"/>
  <c r="C251" i="3"/>
  <c r="C240" i="3"/>
  <c r="C193" i="3"/>
  <c r="C195" i="3"/>
  <c r="C214" i="3"/>
  <c r="C216" i="3"/>
  <c r="C225" i="3"/>
  <c r="B346" i="3"/>
  <c r="B349" i="3"/>
  <c r="B339" i="3"/>
  <c r="B345" i="3"/>
  <c r="B320" i="3"/>
  <c r="B323" i="3"/>
  <c r="B326" i="3"/>
  <c r="B301" i="3"/>
  <c r="B304" i="3"/>
  <c r="B307" i="3"/>
  <c r="B289" i="3"/>
  <c r="B292" i="3"/>
  <c r="B282" i="3"/>
  <c r="B264" i="3"/>
  <c r="B245" i="3"/>
  <c r="B251" i="3"/>
  <c r="B233" i="3"/>
  <c r="B196" i="3"/>
  <c r="B207" i="3"/>
  <c r="B213" i="3"/>
  <c r="B222" i="3"/>
  <c r="B225" i="3"/>
  <c r="B336" i="3"/>
  <c r="B342" i="3"/>
  <c r="B317" i="3"/>
  <c r="B334" i="3"/>
  <c r="B299" i="3"/>
  <c r="B272" i="3"/>
  <c r="B275" i="3"/>
  <c r="B261" i="3"/>
  <c r="B241" i="3"/>
  <c r="B248" i="3"/>
  <c r="B254" i="3"/>
  <c r="B226" i="3"/>
  <c r="B229" i="3"/>
  <c r="B201" i="3"/>
  <c r="B204" i="3"/>
  <c r="B296" i="3"/>
  <c r="B276" i="3"/>
  <c r="B258" i="3"/>
  <c r="B267" i="3"/>
  <c r="B236" i="3"/>
  <c r="B193" i="3"/>
  <c r="B216" i="3"/>
  <c r="B348" i="3"/>
  <c r="B310" i="3"/>
  <c r="B313" i="3"/>
  <c r="B322" i="3"/>
  <c r="B328" i="3"/>
  <c r="B331" i="3"/>
  <c r="B303" i="3"/>
  <c r="B285" i="3"/>
  <c r="B288" i="3"/>
  <c r="B295" i="3"/>
  <c r="B278" i="3"/>
  <c r="B281" i="3"/>
  <c r="B257" i="3"/>
  <c r="B266" i="3"/>
  <c r="B244" i="3"/>
  <c r="B235" i="3"/>
  <c r="B238" i="3"/>
  <c r="B192" i="3"/>
  <c r="B195" i="3"/>
  <c r="B198" i="3"/>
  <c r="B209" i="3"/>
  <c r="B212" i="3"/>
  <c r="B215" i="3"/>
  <c r="B218" i="3"/>
  <c r="B224" i="3"/>
  <c r="B311" i="3"/>
  <c r="B329" i="3"/>
  <c r="B286" i="3"/>
  <c r="B255" i="3"/>
  <c r="B199" i="3"/>
  <c r="B219" i="3"/>
  <c r="B351" i="3"/>
  <c r="B338" i="3"/>
  <c r="B341" i="3"/>
  <c r="B344" i="3"/>
  <c r="B316" i="3"/>
  <c r="B319" i="3"/>
  <c r="B325" i="3"/>
  <c r="B300" i="3"/>
  <c r="B306" i="3"/>
  <c r="B291" i="3"/>
  <c r="B298" i="3"/>
  <c r="B271" i="3"/>
  <c r="B260" i="3"/>
  <c r="B263" i="3"/>
  <c r="B269" i="3"/>
  <c r="B250" i="3"/>
  <c r="B253" i="3"/>
  <c r="B232" i="3"/>
  <c r="B203" i="3"/>
  <c r="B206" i="3"/>
  <c r="B221" i="3"/>
  <c r="B312" i="3"/>
  <c r="B330" i="3"/>
  <c r="B333" i="3"/>
  <c r="B294" i="3"/>
  <c r="B274" i="3"/>
  <c r="B277" i="3"/>
  <c r="B284" i="3"/>
  <c r="B243" i="3"/>
  <c r="B247" i="3"/>
  <c r="B256" i="3"/>
  <c r="B228" i="3"/>
  <c r="B237" i="3"/>
  <c r="B200" i="3"/>
  <c r="B211" i="3"/>
  <c r="B347" i="3"/>
  <c r="B309" i="3"/>
  <c r="B315" i="3"/>
  <c r="B321" i="3"/>
  <c r="B327" i="3"/>
  <c r="B302" i="3"/>
  <c r="B305" i="3"/>
  <c r="B308" i="3"/>
  <c r="B287" i="3"/>
  <c r="B290" i="3"/>
  <c r="B297" i="3"/>
  <c r="B280" i="3"/>
  <c r="B259" i="3"/>
  <c r="B265" i="3"/>
  <c r="B268" i="3"/>
  <c r="B231" i="3"/>
  <c r="B234" i="3"/>
  <c r="B240" i="3"/>
  <c r="B194" i="3"/>
  <c r="B197" i="3"/>
  <c r="B208" i="3"/>
  <c r="B214" i="3"/>
  <c r="B217" i="3"/>
  <c r="B220" i="3"/>
  <c r="B223" i="3"/>
  <c r="B279" i="3"/>
  <c r="B230" i="3"/>
  <c r="B350" i="3"/>
  <c r="B337" i="3"/>
  <c r="B340" i="3"/>
  <c r="B343" i="3"/>
  <c r="B318" i="3"/>
  <c r="B324" i="3"/>
  <c r="B335" i="3"/>
  <c r="B293" i="3"/>
  <c r="B270" i="3"/>
  <c r="B273" i="3"/>
  <c r="B283" i="3"/>
  <c r="B262" i="3"/>
  <c r="B242" i="3"/>
  <c r="B246" i="3"/>
  <c r="B249" i="3"/>
  <c r="B252" i="3"/>
  <c r="B227" i="3"/>
  <c r="B202" i="3"/>
  <c r="B205" i="3"/>
  <c r="B314" i="3"/>
  <c r="B332" i="3"/>
  <c r="B239" i="3"/>
  <c r="B210" i="3"/>
  <c r="B53" i="3"/>
  <c r="B117" i="3"/>
  <c r="B181" i="3"/>
  <c r="B54" i="3"/>
  <c r="B118" i="3"/>
  <c r="B182" i="3"/>
  <c r="B55" i="3"/>
  <c r="B119" i="3"/>
  <c r="B183" i="3"/>
  <c r="B56" i="3"/>
  <c r="B120" i="3"/>
  <c r="B184" i="3"/>
  <c r="B57" i="3"/>
  <c r="B121" i="3"/>
  <c r="B185" i="3"/>
  <c r="B66" i="3"/>
  <c r="B130" i="3"/>
  <c r="B3" i="3"/>
  <c r="B67" i="3"/>
  <c r="B131" i="3"/>
  <c r="B4" i="3"/>
  <c r="B68" i="3"/>
  <c r="B132" i="3"/>
  <c r="B21" i="3"/>
  <c r="B22" i="3"/>
  <c r="B23" i="3"/>
  <c r="B151" i="3"/>
  <c r="B152" i="3"/>
  <c r="B153" i="3"/>
  <c r="B98" i="3"/>
  <c r="B99" i="3"/>
  <c r="B100" i="3"/>
  <c r="B37" i="3"/>
  <c r="B39" i="3"/>
  <c r="B168" i="3"/>
  <c r="B169" i="3"/>
  <c r="B115" i="3"/>
  <c r="B174" i="3"/>
  <c r="B175" i="3"/>
  <c r="B49" i="3"/>
  <c r="B59" i="3"/>
  <c r="B61" i="3"/>
  <c r="B125" i="3"/>
  <c r="B189" i="3"/>
  <c r="B62" i="3"/>
  <c r="B126" i="3"/>
  <c r="B190" i="3"/>
  <c r="B63" i="3"/>
  <c r="B127" i="3"/>
  <c r="B191" i="3"/>
  <c r="B64" i="3"/>
  <c r="B128" i="3"/>
  <c r="B65" i="3"/>
  <c r="B129" i="3"/>
  <c r="B10" i="3"/>
  <c r="B74" i="3"/>
  <c r="B138" i="3"/>
  <c r="B11" i="3"/>
  <c r="B75" i="3"/>
  <c r="B139" i="3"/>
  <c r="B12" i="3"/>
  <c r="B76" i="3"/>
  <c r="B140" i="3"/>
  <c r="B163" i="3"/>
  <c r="B38" i="3"/>
  <c r="B40" i="3"/>
  <c r="B105" i="3"/>
  <c r="B51" i="3"/>
  <c r="B180" i="3"/>
  <c r="B173" i="3"/>
  <c r="B48" i="3"/>
  <c r="B122" i="3"/>
  <c r="B60" i="3"/>
  <c r="B5" i="3"/>
  <c r="B69" i="3"/>
  <c r="B133" i="3"/>
  <c r="B6" i="3"/>
  <c r="B70" i="3"/>
  <c r="B134" i="3"/>
  <c r="B7" i="3"/>
  <c r="B71" i="3"/>
  <c r="B135" i="3"/>
  <c r="B8" i="3"/>
  <c r="B72" i="3"/>
  <c r="B136" i="3"/>
  <c r="B9" i="3"/>
  <c r="B73" i="3"/>
  <c r="B137" i="3"/>
  <c r="B18" i="3"/>
  <c r="B82" i="3"/>
  <c r="B146" i="3"/>
  <c r="B19" i="3"/>
  <c r="B83" i="3"/>
  <c r="B147" i="3"/>
  <c r="B20" i="3"/>
  <c r="B84" i="3"/>
  <c r="B148" i="3"/>
  <c r="B88" i="3"/>
  <c r="B89" i="3"/>
  <c r="B162" i="3"/>
  <c r="B36" i="3"/>
  <c r="B102" i="3"/>
  <c r="B104" i="3"/>
  <c r="B50" i="3"/>
  <c r="B52" i="3"/>
  <c r="B109" i="3"/>
  <c r="B47" i="3"/>
  <c r="B176" i="3"/>
  <c r="B186" i="3"/>
  <c r="B188" i="3"/>
  <c r="B13" i="3"/>
  <c r="B77" i="3"/>
  <c r="B141" i="3"/>
  <c r="B14" i="3"/>
  <c r="B78" i="3"/>
  <c r="B142" i="3"/>
  <c r="B15" i="3"/>
  <c r="B79" i="3"/>
  <c r="B143" i="3"/>
  <c r="B16" i="3"/>
  <c r="B80" i="3"/>
  <c r="B144" i="3"/>
  <c r="B17" i="3"/>
  <c r="B81" i="3"/>
  <c r="B145" i="3"/>
  <c r="B26" i="3"/>
  <c r="B90" i="3"/>
  <c r="B154" i="3"/>
  <c r="B27" i="3"/>
  <c r="B91" i="3"/>
  <c r="B155" i="3"/>
  <c r="B28" i="3"/>
  <c r="B92" i="3"/>
  <c r="B156" i="3"/>
  <c r="B149" i="3"/>
  <c r="B86" i="3"/>
  <c r="B87" i="3"/>
  <c r="B25" i="3"/>
  <c r="B35" i="3"/>
  <c r="B101" i="3"/>
  <c r="B167" i="3"/>
  <c r="B114" i="3"/>
  <c r="B46" i="3"/>
  <c r="B177" i="3"/>
  <c r="B124" i="3"/>
  <c r="B85" i="3"/>
  <c r="B150" i="3"/>
  <c r="B24" i="3"/>
  <c r="B34" i="3"/>
  <c r="B164" i="3"/>
  <c r="B179" i="3"/>
  <c r="B45" i="3"/>
  <c r="B111" i="3"/>
  <c r="B113" i="3"/>
  <c r="B123" i="3"/>
  <c r="B29" i="3"/>
  <c r="B93" i="3"/>
  <c r="B157" i="3"/>
  <c r="B30" i="3"/>
  <c r="B94" i="3"/>
  <c r="B158" i="3"/>
  <c r="B31" i="3"/>
  <c r="B95" i="3"/>
  <c r="B159" i="3"/>
  <c r="B32" i="3"/>
  <c r="B96" i="3"/>
  <c r="B160" i="3"/>
  <c r="B33" i="3"/>
  <c r="B97" i="3"/>
  <c r="B161" i="3"/>
  <c r="B42" i="3"/>
  <c r="B106" i="3"/>
  <c r="B170" i="3"/>
  <c r="B43" i="3"/>
  <c r="B107" i="3"/>
  <c r="B171" i="3"/>
  <c r="B44" i="3"/>
  <c r="B108" i="3"/>
  <c r="B172" i="3"/>
  <c r="B165" i="3"/>
  <c r="B166" i="3"/>
  <c r="B103" i="3"/>
  <c r="B41" i="3"/>
  <c r="B178" i="3"/>
  <c r="B116" i="3"/>
  <c r="B110" i="3"/>
  <c r="B112" i="3"/>
  <c r="B58" i="3"/>
  <c r="B187" i="3"/>
  <c r="AG30" i="2"/>
  <c r="AG31" i="2" s="1"/>
  <c r="AJ28" i="2" s="1"/>
  <c r="AJ32" i="2" s="1"/>
  <c r="C56" i="2"/>
  <c r="C3" i="3"/>
  <c r="C11" i="3"/>
  <c r="C19" i="3"/>
  <c r="C27" i="3"/>
  <c r="C35" i="3"/>
  <c r="C43" i="3"/>
  <c r="C51" i="3"/>
  <c r="C59" i="3"/>
  <c r="C67" i="3"/>
  <c r="C75" i="3"/>
  <c r="C83" i="3"/>
  <c r="C91" i="3"/>
  <c r="C99" i="3"/>
  <c r="C107" i="3"/>
  <c r="C115" i="3"/>
  <c r="C123" i="3"/>
  <c r="C131" i="3"/>
  <c r="C139" i="3"/>
  <c r="C147" i="3"/>
  <c r="C155" i="3"/>
  <c r="C163" i="3"/>
  <c r="C171" i="3"/>
  <c r="C179" i="3"/>
  <c r="C187" i="3"/>
  <c r="C76" i="3"/>
  <c r="C108" i="3"/>
  <c r="C124" i="3"/>
  <c r="C140" i="3"/>
  <c r="C156" i="3"/>
  <c r="C164" i="3"/>
  <c r="C180" i="3"/>
  <c r="C4" i="3"/>
  <c r="C12" i="3"/>
  <c r="C20" i="3"/>
  <c r="C28" i="3"/>
  <c r="C36" i="3"/>
  <c r="C44" i="3"/>
  <c r="C52" i="3"/>
  <c r="C60" i="3"/>
  <c r="C68" i="3"/>
  <c r="C84" i="3"/>
  <c r="C92" i="3"/>
  <c r="C100" i="3"/>
  <c r="C116" i="3"/>
  <c r="C132" i="3"/>
  <c r="C148" i="3"/>
  <c r="C172" i="3"/>
  <c r="C188" i="3"/>
  <c r="C5" i="3"/>
  <c r="C13" i="3"/>
  <c r="C21" i="3"/>
  <c r="C29" i="3"/>
  <c r="C37" i="3"/>
  <c r="C45" i="3"/>
  <c r="C53" i="3"/>
  <c r="C61" i="3"/>
  <c r="C69" i="3"/>
  <c r="C77" i="3"/>
  <c r="C85" i="3"/>
  <c r="C93" i="3"/>
  <c r="C101" i="3"/>
  <c r="C109" i="3"/>
  <c r="C117" i="3"/>
  <c r="C125" i="3"/>
  <c r="C133" i="3"/>
  <c r="C141" i="3"/>
  <c r="C149" i="3"/>
  <c r="C157" i="3"/>
  <c r="C165" i="3"/>
  <c r="C173" i="3"/>
  <c r="C181" i="3"/>
  <c r="C189" i="3"/>
  <c r="C38" i="3"/>
  <c r="C94" i="3"/>
  <c r="C110" i="3"/>
  <c r="C126" i="3"/>
  <c r="C134" i="3"/>
  <c r="C150" i="3"/>
  <c r="C158" i="3"/>
  <c r="C174" i="3"/>
  <c r="C190" i="3"/>
  <c r="C6" i="3"/>
  <c r="C14" i="3"/>
  <c r="C22" i="3"/>
  <c r="C30" i="3"/>
  <c r="C46" i="3"/>
  <c r="C54" i="3"/>
  <c r="C62" i="3"/>
  <c r="C70" i="3"/>
  <c r="C78" i="3"/>
  <c r="C86" i="3"/>
  <c r="C102" i="3"/>
  <c r="C118" i="3"/>
  <c r="C142" i="3"/>
  <c r="C166" i="3"/>
  <c r="C182" i="3"/>
  <c r="C7" i="3"/>
  <c r="C15" i="3"/>
  <c r="C23" i="3"/>
  <c r="C31" i="3"/>
  <c r="C39" i="3"/>
  <c r="C47" i="3"/>
  <c r="C55" i="3"/>
  <c r="C63" i="3"/>
  <c r="C71" i="3"/>
  <c r="C79" i="3"/>
  <c r="C87" i="3"/>
  <c r="C95" i="3"/>
  <c r="C103" i="3"/>
  <c r="C111" i="3"/>
  <c r="C119" i="3"/>
  <c r="C127" i="3"/>
  <c r="C135" i="3"/>
  <c r="C143" i="3"/>
  <c r="C151" i="3"/>
  <c r="C159" i="3"/>
  <c r="C167" i="3"/>
  <c r="C175" i="3"/>
  <c r="C183" i="3"/>
  <c r="C191" i="3"/>
  <c r="C18" i="3"/>
  <c r="C42" i="3"/>
  <c r="C58" i="3"/>
  <c r="C74" i="3"/>
  <c r="C90" i="3"/>
  <c r="C106" i="3"/>
  <c r="C122" i="3"/>
  <c r="C146" i="3"/>
  <c r="C162" i="3"/>
  <c r="C186" i="3"/>
  <c r="C8" i="3"/>
  <c r="C16" i="3"/>
  <c r="C24" i="3"/>
  <c r="C32" i="3"/>
  <c r="C40" i="3"/>
  <c r="C48" i="3"/>
  <c r="C56" i="3"/>
  <c r="C64" i="3"/>
  <c r="C72" i="3"/>
  <c r="C80" i="3"/>
  <c r="C88" i="3"/>
  <c r="C96" i="3"/>
  <c r="C104" i="3"/>
  <c r="C112" i="3"/>
  <c r="C120" i="3"/>
  <c r="C128" i="3"/>
  <c r="C136" i="3"/>
  <c r="C144" i="3"/>
  <c r="C152" i="3"/>
  <c r="C160" i="3"/>
  <c r="C168" i="3"/>
  <c r="C176" i="3"/>
  <c r="C184" i="3"/>
  <c r="C2" i="3"/>
  <c r="C26" i="3"/>
  <c r="C138" i="3"/>
  <c r="C178" i="3"/>
  <c r="C9" i="3"/>
  <c r="C17" i="3"/>
  <c r="C25" i="3"/>
  <c r="C33" i="3"/>
  <c r="C41" i="3"/>
  <c r="C49" i="3"/>
  <c r="C57" i="3"/>
  <c r="C65" i="3"/>
  <c r="C73" i="3"/>
  <c r="C81" i="3"/>
  <c r="C89" i="3"/>
  <c r="C97" i="3"/>
  <c r="C105" i="3"/>
  <c r="C113" i="3"/>
  <c r="C121" i="3"/>
  <c r="C129" i="3"/>
  <c r="C137" i="3"/>
  <c r="C145" i="3"/>
  <c r="C153" i="3"/>
  <c r="C161" i="3"/>
  <c r="C169" i="3"/>
  <c r="C177" i="3"/>
  <c r="C185" i="3"/>
  <c r="C10" i="3"/>
  <c r="C34" i="3"/>
  <c r="C50" i="3"/>
  <c r="C66" i="3"/>
  <c r="C82" i="3"/>
  <c r="C98" i="3"/>
  <c r="C114" i="3"/>
  <c r="C130" i="3"/>
  <c r="C154" i="3"/>
  <c r="C170" i="3"/>
  <c r="L300" i="3" l="1"/>
  <c r="L283" i="3"/>
  <c r="L297" i="3"/>
  <c r="AG35" i="2"/>
  <c r="L303" i="3"/>
  <c r="L276" i="3"/>
  <c r="L242" i="3"/>
  <c r="L262" i="3"/>
  <c r="L333" i="3"/>
  <c r="L204" i="3"/>
  <c r="L253" i="3"/>
  <c r="L165" i="3"/>
  <c r="L332" i="3"/>
  <c r="L154" i="3"/>
  <c r="L248" i="3"/>
  <c r="L141" i="3"/>
  <c r="L331" i="3"/>
  <c r="L162" i="3"/>
  <c r="L247" i="3"/>
  <c r="L149" i="3"/>
  <c r="L330" i="3"/>
  <c r="L170" i="3"/>
  <c r="L106" i="3"/>
  <c r="L42" i="3"/>
  <c r="L207" i="3"/>
  <c r="L143" i="3"/>
  <c r="L79" i="3"/>
  <c r="L15" i="3"/>
  <c r="L140" i="3"/>
  <c r="L76" i="3"/>
  <c r="L12" i="3"/>
  <c r="L185" i="3"/>
  <c r="L121" i="3"/>
  <c r="L57" i="3"/>
  <c r="L198" i="3"/>
  <c r="L134" i="3"/>
  <c r="L70" i="3"/>
  <c r="L6" i="3"/>
  <c r="L171" i="3"/>
  <c r="L107" i="3"/>
  <c r="L43" i="3"/>
  <c r="L192" i="3"/>
  <c r="L128" i="3"/>
  <c r="L64" i="3"/>
  <c r="L293" i="3"/>
  <c r="L274" i="3"/>
  <c r="L269" i="3"/>
  <c r="L301" i="3"/>
  <c r="L294" i="3"/>
  <c r="L109" i="3"/>
  <c r="L230" i="3"/>
  <c r="L329" i="3"/>
  <c r="L178" i="3"/>
  <c r="L249" i="3"/>
  <c r="L125" i="3"/>
  <c r="L328" i="3"/>
  <c r="L101" i="3"/>
  <c r="L244" i="3"/>
  <c r="L77" i="3"/>
  <c r="L327" i="3"/>
  <c r="L117" i="3"/>
  <c r="L243" i="3"/>
  <c r="L93" i="3"/>
  <c r="L326" i="3"/>
  <c r="L133" i="3"/>
  <c r="L98" i="3"/>
  <c r="L34" i="3"/>
  <c r="L199" i="3"/>
  <c r="L135" i="3"/>
  <c r="L71" i="3"/>
  <c r="L7" i="3"/>
  <c r="L132" i="3"/>
  <c r="L68" i="3"/>
  <c r="L4" i="3"/>
  <c r="L177" i="3"/>
  <c r="L113" i="3"/>
  <c r="L49" i="3"/>
  <c r="L190" i="3"/>
  <c r="L126" i="3"/>
  <c r="L62" i="3"/>
  <c r="L227" i="3"/>
  <c r="L163" i="3"/>
  <c r="L99" i="3"/>
  <c r="L35" i="3"/>
  <c r="L184" i="3"/>
  <c r="L120" i="3"/>
  <c r="L56" i="3"/>
  <c r="L298" i="3"/>
  <c r="L278" i="3"/>
  <c r="L308" i="3"/>
  <c r="L309" i="3"/>
  <c r="L279" i="3"/>
  <c r="L307" i="3"/>
  <c r="L238" i="3"/>
  <c r="L45" i="3"/>
  <c r="L325" i="3"/>
  <c r="L146" i="3"/>
  <c r="L245" i="3"/>
  <c r="L61" i="3"/>
  <c r="L324" i="3"/>
  <c r="L37" i="3"/>
  <c r="L240" i="3"/>
  <c r="L13" i="3"/>
  <c r="L323" i="3"/>
  <c r="L53" i="3"/>
  <c r="L239" i="3"/>
  <c r="L29" i="3"/>
  <c r="L322" i="3"/>
  <c r="L69" i="3"/>
  <c r="L90" i="3"/>
  <c r="L26" i="3"/>
  <c r="L191" i="3"/>
  <c r="L127" i="3"/>
  <c r="L63" i="3"/>
  <c r="L188" i="3"/>
  <c r="L124" i="3"/>
  <c r="L60" i="3"/>
  <c r="L228" i="3"/>
  <c r="L169" i="3"/>
  <c r="L105" i="3"/>
  <c r="L41" i="3"/>
  <c r="L182" i="3"/>
  <c r="L118" i="3"/>
  <c r="L54" i="3"/>
  <c r="L219" i="3"/>
  <c r="L155" i="3"/>
  <c r="L91" i="3"/>
  <c r="L27" i="3"/>
  <c r="L176" i="3"/>
  <c r="L112" i="3"/>
  <c r="L48" i="3"/>
  <c r="L277" i="3"/>
  <c r="L291" i="3"/>
  <c r="L273" i="3"/>
  <c r="L272" i="3"/>
  <c r="L284" i="3"/>
  <c r="L250" i="3"/>
  <c r="L197" i="3"/>
  <c r="L258" i="3"/>
  <c r="L321" i="3"/>
  <c r="L85" i="3"/>
  <c r="L241" i="3"/>
  <c r="L2" i="3"/>
  <c r="L320" i="3"/>
  <c r="L268" i="3"/>
  <c r="L236" i="3"/>
  <c r="L351" i="3"/>
  <c r="L319" i="3"/>
  <c r="L267" i="3"/>
  <c r="L235" i="3"/>
  <c r="L350" i="3"/>
  <c r="L318" i="3"/>
  <c r="L5" i="3"/>
  <c r="L82" i="3"/>
  <c r="L18" i="3"/>
  <c r="L183" i="3"/>
  <c r="L119" i="3"/>
  <c r="L55" i="3"/>
  <c r="L180" i="3"/>
  <c r="L116" i="3"/>
  <c r="L52" i="3"/>
  <c r="L225" i="3"/>
  <c r="L161" i="3"/>
  <c r="L97" i="3"/>
  <c r="L33" i="3"/>
  <c r="L174" i="3"/>
  <c r="L110" i="3"/>
  <c r="L46" i="3"/>
  <c r="L211" i="3"/>
  <c r="L147" i="3"/>
  <c r="L83" i="3"/>
  <c r="L19" i="3"/>
  <c r="L168" i="3"/>
  <c r="L104" i="3"/>
  <c r="L40" i="3"/>
  <c r="L288" i="3"/>
  <c r="L282" i="3"/>
  <c r="L296" i="3"/>
  <c r="L280" i="3"/>
  <c r="L302" i="3"/>
  <c r="L216" i="3"/>
  <c r="L266" i="3"/>
  <c r="L349" i="3"/>
  <c r="L317" i="3"/>
  <c r="L21" i="3"/>
  <c r="L237" i="3"/>
  <c r="L348" i="3"/>
  <c r="L316" i="3"/>
  <c r="L264" i="3"/>
  <c r="L232" i="3"/>
  <c r="L347" i="3"/>
  <c r="L315" i="3"/>
  <c r="L263" i="3"/>
  <c r="L231" i="3"/>
  <c r="L346" i="3"/>
  <c r="L314" i="3"/>
  <c r="L138" i="3"/>
  <c r="L74" i="3"/>
  <c r="L10" i="3"/>
  <c r="L175" i="3"/>
  <c r="L111" i="3"/>
  <c r="L47" i="3"/>
  <c r="L172" i="3"/>
  <c r="L108" i="3"/>
  <c r="L44" i="3"/>
  <c r="L217" i="3"/>
  <c r="L153" i="3"/>
  <c r="L89" i="3"/>
  <c r="L25" i="3"/>
  <c r="L166" i="3"/>
  <c r="L102" i="3"/>
  <c r="L38" i="3"/>
  <c r="L203" i="3"/>
  <c r="L139" i="3"/>
  <c r="L75" i="3"/>
  <c r="L11" i="3"/>
  <c r="L160" i="3"/>
  <c r="L96" i="3"/>
  <c r="L32" i="3"/>
  <c r="L286" i="3"/>
  <c r="L287" i="3"/>
  <c r="L275" i="3"/>
  <c r="L295" i="3"/>
  <c r="L281" i="3"/>
  <c r="L246" i="3"/>
  <c r="L234" i="3"/>
  <c r="L345" i="3"/>
  <c r="L313" i="3"/>
  <c r="L265" i="3"/>
  <c r="L233" i="3"/>
  <c r="L344" i="3"/>
  <c r="L312" i="3"/>
  <c r="L260" i="3"/>
  <c r="L214" i="3"/>
  <c r="L343" i="3"/>
  <c r="L311" i="3"/>
  <c r="L259" i="3"/>
  <c r="L226" i="3"/>
  <c r="L342" i="3"/>
  <c r="L310" i="3"/>
  <c r="L130" i="3"/>
  <c r="L66" i="3"/>
  <c r="L229" i="3"/>
  <c r="L167" i="3"/>
  <c r="L103" i="3"/>
  <c r="L39" i="3"/>
  <c r="L164" i="3"/>
  <c r="L100" i="3"/>
  <c r="L36" i="3"/>
  <c r="L209" i="3"/>
  <c r="L145" i="3"/>
  <c r="L81" i="3"/>
  <c r="L17" i="3"/>
  <c r="L158" i="3"/>
  <c r="L94" i="3"/>
  <c r="L30" i="3"/>
  <c r="L195" i="3"/>
  <c r="L131" i="3"/>
  <c r="L67" i="3"/>
  <c r="L3" i="3"/>
  <c r="L152" i="3"/>
  <c r="L88" i="3"/>
  <c r="L24" i="3"/>
  <c r="L299" i="3"/>
  <c r="L305" i="3"/>
  <c r="L285" i="3"/>
  <c r="L292" i="3"/>
  <c r="L306" i="3"/>
  <c r="L212" i="3"/>
  <c r="L189" i="3"/>
  <c r="L341" i="3"/>
  <c r="L224" i="3"/>
  <c r="L261" i="3"/>
  <c r="L210" i="3"/>
  <c r="L340" i="3"/>
  <c r="L202" i="3"/>
  <c r="L256" i="3"/>
  <c r="L194" i="3"/>
  <c r="L339" i="3"/>
  <c r="L222" i="3"/>
  <c r="L255" i="3"/>
  <c r="L213" i="3"/>
  <c r="L338" i="3"/>
  <c r="L221" i="3"/>
  <c r="L122" i="3"/>
  <c r="L58" i="3"/>
  <c r="L223" i="3"/>
  <c r="L159" i="3"/>
  <c r="L95" i="3"/>
  <c r="L31" i="3"/>
  <c r="L156" i="3"/>
  <c r="L92" i="3"/>
  <c r="L28" i="3"/>
  <c r="L201" i="3"/>
  <c r="L137" i="3"/>
  <c r="L73" i="3"/>
  <c r="L9" i="3"/>
  <c r="L150" i="3"/>
  <c r="L86" i="3"/>
  <c r="L22" i="3"/>
  <c r="L187" i="3"/>
  <c r="L123" i="3"/>
  <c r="L59" i="3"/>
  <c r="L208" i="3"/>
  <c r="L144" i="3"/>
  <c r="L80" i="3"/>
  <c r="L16" i="3"/>
  <c r="L290" i="3"/>
  <c r="L270" i="3"/>
  <c r="L304" i="3"/>
  <c r="L289" i="3"/>
  <c r="L271" i="3"/>
  <c r="L254" i="3"/>
  <c r="L157" i="3"/>
  <c r="L337" i="3"/>
  <c r="L220" i="3"/>
  <c r="L257" i="3"/>
  <c r="L196" i="3"/>
  <c r="L336" i="3"/>
  <c r="L186" i="3"/>
  <c r="L252" i="3"/>
  <c r="L173" i="3"/>
  <c r="L335" i="3"/>
  <c r="L218" i="3"/>
  <c r="L251" i="3"/>
  <c r="L181" i="3"/>
  <c r="L334" i="3"/>
  <c r="L205" i="3"/>
  <c r="L114" i="3"/>
  <c r="L50" i="3"/>
  <c r="L215" i="3"/>
  <c r="L151" i="3"/>
  <c r="L87" i="3"/>
  <c r="L23" i="3"/>
  <c r="L148" i="3"/>
  <c r="L84" i="3"/>
  <c r="L20" i="3"/>
  <c r="L193" i="3"/>
  <c r="L129" i="3"/>
  <c r="L65" i="3"/>
  <c r="L206" i="3"/>
  <c r="L142" i="3"/>
  <c r="L78" i="3"/>
  <c r="L14" i="3"/>
  <c r="L179" i="3"/>
  <c r="L115" i="3"/>
  <c r="L51" i="3"/>
  <c r="L200" i="3"/>
  <c r="L136" i="3"/>
  <c r="L72" i="3"/>
  <c r="L8" i="3"/>
  <c r="AJ29" i="2"/>
  <c r="AJ30" i="2" s="1"/>
  <c r="AJ31" i="2" s="1"/>
  <c r="AJ35" i="2" l="1"/>
  <c r="M5" i="3"/>
  <c r="M13" i="3"/>
  <c r="M21" i="3"/>
  <c r="M29" i="3"/>
  <c r="N29" i="3" s="1"/>
  <c r="M37" i="3"/>
  <c r="N37" i="3" s="1"/>
  <c r="M45" i="3"/>
  <c r="N45" i="3" s="1"/>
  <c r="M53" i="3"/>
  <c r="N53" i="3" s="1"/>
  <c r="M61" i="3"/>
  <c r="N61" i="3" s="1"/>
  <c r="Q61" i="3" s="1"/>
  <c r="M69" i="3"/>
  <c r="M77" i="3"/>
  <c r="N77" i="3" s="1"/>
  <c r="T77" i="3" s="1"/>
  <c r="M85" i="3"/>
  <c r="M93" i="3"/>
  <c r="N93" i="3" s="1"/>
  <c r="Q93" i="3" s="1"/>
  <c r="M101" i="3"/>
  <c r="N101" i="3" s="1"/>
  <c r="Q101" i="3" s="1"/>
  <c r="M109" i="3"/>
  <c r="N109" i="3" s="1"/>
  <c r="Q109" i="3" s="1"/>
  <c r="M117" i="3"/>
  <c r="N117" i="3" s="1"/>
  <c r="Q117" i="3" s="1"/>
  <c r="M125" i="3"/>
  <c r="N125" i="3" s="1"/>
  <c r="T125" i="3" s="1"/>
  <c r="M133" i="3"/>
  <c r="M141" i="3"/>
  <c r="N141" i="3" s="1"/>
  <c r="T141" i="3" s="1"/>
  <c r="M149" i="3"/>
  <c r="N149" i="3" s="1"/>
  <c r="Q149" i="3" s="1"/>
  <c r="M157" i="3"/>
  <c r="N157" i="3" s="1"/>
  <c r="T157" i="3" s="1"/>
  <c r="M165" i="3"/>
  <c r="N165" i="3" s="1"/>
  <c r="Q165" i="3" s="1"/>
  <c r="M173" i="3"/>
  <c r="N173" i="3" s="1"/>
  <c r="Q173" i="3" s="1"/>
  <c r="M181" i="3"/>
  <c r="N181" i="3" s="1"/>
  <c r="Q181" i="3" s="1"/>
  <c r="M189" i="3"/>
  <c r="N189" i="3" s="1"/>
  <c r="Q189" i="3" s="1"/>
  <c r="M197" i="3"/>
  <c r="M205" i="3"/>
  <c r="N205" i="3" s="1"/>
  <c r="M8" i="3"/>
  <c r="M16" i="3"/>
  <c r="N16" i="3" s="1"/>
  <c r="M24" i="3"/>
  <c r="N24" i="3" s="1"/>
  <c r="M32" i="3"/>
  <c r="N32" i="3" s="1"/>
  <c r="M40" i="3"/>
  <c r="N40" i="3" s="1"/>
  <c r="T40" i="3" s="1"/>
  <c r="M48" i="3"/>
  <c r="N48" i="3" s="1"/>
  <c r="M56" i="3"/>
  <c r="M64" i="3"/>
  <c r="N64" i="3" s="1"/>
  <c r="T64" i="3" s="1"/>
  <c r="M72" i="3"/>
  <c r="N72" i="3" s="1"/>
  <c r="Q72" i="3" s="1"/>
  <c r="M80" i="3"/>
  <c r="N80" i="3" s="1"/>
  <c r="M88" i="3"/>
  <c r="N88" i="3" s="1"/>
  <c r="T88" i="3" s="1"/>
  <c r="M96" i="3"/>
  <c r="N96" i="3" s="1"/>
  <c r="M104" i="3"/>
  <c r="N104" i="3" s="1"/>
  <c r="T104" i="3" s="1"/>
  <c r="M112" i="3"/>
  <c r="N112" i="3" s="1"/>
  <c r="T112" i="3" s="1"/>
  <c r="M120" i="3"/>
  <c r="M128" i="3"/>
  <c r="N128" i="3" s="1"/>
  <c r="M136" i="3"/>
  <c r="M144" i="3"/>
  <c r="N144" i="3" s="1"/>
  <c r="M152" i="3"/>
  <c r="N152" i="3" s="1"/>
  <c r="M160" i="3"/>
  <c r="N160" i="3" s="1"/>
  <c r="T160" i="3" s="1"/>
  <c r="M168" i="3"/>
  <c r="N168" i="3" s="1"/>
  <c r="M176" i="3"/>
  <c r="N176" i="3" s="1"/>
  <c r="T176" i="3" s="1"/>
  <c r="M184" i="3"/>
  <c r="M192" i="3"/>
  <c r="M200" i="3"/>
  <c r="N200" i="3" s="1"/>
  <c r="M208" i="3"/>
  <c r="N208" i="3" s="1"/>
  <c r="M216" i="3"/>
  <c r="N216" i="3" s="1"/>
  <c r="M224" i="3"/>
  <c r="N224" i="3" s="1"/>
  <c r="M3" i="3"/>
  <c r="N3" i="3" s="1"/>
  <c r="Q3" i="3" s="1"/>
  <c r="M11" i="3"/>
  <c r="N11" i="3" s="1"/>
  <c r="M19" i="3"/>
  <c r="M27" i="3"/>
  <c r="M35" i="3"/>
  <c r="N35" i="3" s="1"/>
  <c r="Q35" i="3" s="1"/>
  <c r="M43" i="3"/>
  <c r="N43" i="3" s="1"/>
  <c r="Q43" i="3" s="1"/>
  <c r="M51" i="3"/>
  <c r="N51" i="3" s="1"/>
  <c r="T51" i="3" s="1"/>
  <c r="M59" i="3"/>
  <c r="N59" i="3" s="1"/>
  <c r="Q59" i="3" s="1"/>
  <c r="M67" i="3"/>
  <c r="N67" i="3" s="1"/>
  <c r="M75" i="3"/>
  <c r="N75" i="3" s="1"/>
  <c r="M83" i="3"/>
  <c r="M91" i="3"/>
  <c r="N91" i="3" s="1"/>
  <c r="Q91" i="3" s="1"/>
  <c r="M99" i="3"/>
  <c r="M107" i="3"/>
  <c r="N107" i="3" s="1"/>
  <c r="Q107" i="3" s="1"/>
  <c r="M115" i="3"/>
  <c r="M123" i="3"/>
  <c r="N123" i="3" s="1"/>
  <c r="Q123" i="3" s="1"/>
  <c r="M131" i="3"/>
  <c r="N131" i="3" s="1"/>
  <c r="M139" i="3"/>
  <c r="N139" i="3" s="1"/>
  <c r="M147" i="3"/>
  <c r="M155" i="3"/>
  <c r="N155" i="3" s="1"/>
  <c r="T155" i="3" s="1"/>
  <c r="M163" i="3"/>
  <c r="N163" i="3" s="1"/>
  <c r="M171" i="3"/>
  <c r="N171" i="3" s="1"/>
  <c r="Q171" i="3" s="1"/>
  <c r="M179" i="3"/>
  <c r="N179" i="3" s="1"/>
  <c r="T179" i="3" s="1"/>
  <c r="M187" i="3"/>
  <c r="N187" i="3" s="1"/>
  <c r="M195" i="3"/>
  <c r="N195" i="3" s="1"/>
  <c r="M203" i="3"/>
  <c r="N203" i="3" s="1"/>
  <c r="M211" i="3"/>
  <c r="M6" i="3"/>
  <c r="M14" i="3"/>
  <c r="N14" i="3" s="1"/>
  <c r="T14" i="3" s="1"/>
  <c r="M22" i="3"/>
  <c r="N22" i="3" s="1"/>
  <c r="Q22" i="3" s="1"/>
  <c r="M30" i="3"/>
  <c r="N30" i="3" s="1"/>
  <c r="M38" i="3"/>
  <c r="N38" i="3" s="1"/>
  <c r="Q38" i="3" s="1"/>
  <c r="M46" i="3"/>
  <c r="N46" i="3" s="1"/>
  <c r="Q46" i="3" s="1"/>
  <c r="M54" i="3"/>
  <c r="N54" i="3" s="1"/>
  <c r="M62" i="3"/>
  <c r="M70" i="3"/>
  <c r="N70" i="3" s="1"/>
  <c r="T70" i="3" s="1"/>
  <c r="M78" i="3"/>
  <c r="N78" i="3" s="1"/>
  <c r="Q78" i="3" s="1"/>
  <c r="M86" i="3"/>
  <c r="N86" i="3" s="1"/>
  <c r="M94" i="3"/>
  <c r="N94" i="3" s="1"/>
  <c r="Q94" i="3" s="1"/>
  <c r="M102" i="3"/>
  <c r="N102" i="3" s="1"/>
  <c r="Q102" i="3" s="1"/>
  <c r="M110" i="3"/>
  <c r="N110" i="3" s="1"/>
  <c r="T110" i="3" s="1"/>
  <c r="M118" i="3"/>
  <c r="N118" i="3" s="1"/>
  <c r="M126" i="3"/>
  <c r="M134" i="3"/>
  <c r="N134" i="3" s="1"/>
  <c r="T134" i="3" s="1"/>
  <c r="M142" i="3"/>
  <c r="M150" i="3"/>
  <c r="N150" i="3" s="1"/>
  <c r="M158" i="3"/>
  <c r="N158" i="3" s="1"/>
  <c r="M166" i="3"/>
  <c r="N166" i="3" s="1"/>
  <c r="Q166" i="3" s="1"/>
  <c r="M174" i="3"/>
  <c r="N174" i="3" s="1"/>
  <c r="T174" i="3" s="1"/>
  <c r="M182" i="3"/>
  <c r="N182" i="3" s="1"/>
  <c r="T182" i="3" s="1"/>
  <c r="M190" i="3"/>
  <c r="M198" i="3"/>
  <c r="N198" i="3" s="1"/>
  <c r="M206" i="3"/>
  <c r="M214" i="3"/>
  <c r="N214" i="3" s="1"/>
  <c r="M222" i="3"/>
  <c r="M9" i="3"/>
  <c r="N9" i="3" s="1"/>
  <c r="Q9" i="3" s="1"/>
  <c r="M17" i="3"/>
  <c r="N17" i="3" s="1"/>
  <c r="Q17" i="3" s="1"/>
  <c r="M25" i="3"/>
  <c r="N25" i="3" s="1"/>
  <c r="T25" i="3" s="1"/>
  <c r="M33" i="3"/>
  <c r="N33" i="3" s="1"/>
  <c r="Q33" i="3" s="1"/>
  <c r="M41" i="3"/>
  <c r="N41" i="3" s="1"/>
  <c r="Q41" i="3" s="1"/>
  <c r="M49" i="3"/>
  <c r="M57" i="3"/>
  <c r="N57" i="3" s="1"/>
  <c r="M65" i="3"/>
  <c r="M73" i="3"/>
  <c r="N73" i="3" s="1"/>
  <c r="T73" i="3" s="1"/>
  <c r="M81" i="3"/>
  <c r="N81" i="3" s="1"/>
  <c r="M89" i="3"/>
  <c r="N89" i="3" s="1"/>
  <c r="M97" i="3"/>
  <c r="M105" i="3"/>
  <c r="M113" i="3"/>
  <c r="N113" i="3" s="1"/>
  <c r="Q113" i="3" s="1"/>
  <c r="M121" i="3"/>
  <c r="N121" i="3" s="1"/>
  <c r="M129" i="3"/>
  <c r="N129" i="3" s="1"/>
  <c r="Q129" i="3" s="1"/>
  <c r="M137" i="3"/>
  <c r="N137" i="3" s="1"/>
  <c r="M145" i="3"/>
  <c r="N145" i="3" s="1"/>
  <c r="Q145" i="3" s="1"/>
  <c r="M153" i="3"/>
  <c r="N153" i="3" s="1"/>
  <c r="M161" i="3"/>
  <c r="N161" i="3" s="1"/>
  <c r="T161" i="3" s="1"/>
  <c r="M169" i="3"/>
  <c r="M177" i="3"/>
  <c r="M185" i="3"/>
  <c r="N185" i="3" s="1"/>
  <c r="Q185" i="3" s="1"/>
  <c r="M4" i="3"/>
  <c r="N4" i="3" s="1"/>
  <c r="Q4" i="3" s="1"/>
  <c r="M12" i="3"/>
  <c r="N12" i="3" s="1"/>
  <c r="Q12" i="3" s="1"/>
  <c r="M20" i="3"/>
  <c r="N20" i="3" s="1"/>
  <c r="T20" i="3" s="1"/>
  <c r="M28" i="3"/>
  <c r="N28" i="3" s="1"/>
  <c r="Q28" i="3" s="1"/>
  <c r="M36" i="3"/>
  <c r="M44" i="3"/>
  <c r="M52" i="3"/>
  <c r="N52" i="3" s="1"/>
  <c r="T52" i="3" s="1"/>
  <c r="M60" i="3"/>
  <c r="N60" i="3" s="1"/>
  <c r="Q60" i="3" s="1"/>
  <c r="M68" i="3"/>
  <c r="N68" i="3" s="1"/>
  <c r="T68" i="3" s="1"/>
  <c r="M76" i="3"/>
  <c r="N76" i="3" s="1"/>
  <c r="M84" i="3"/>
  <c r="N84" i="3" s="1"/>
  <c r="T84" i="3" s="1"/>
  <c r="M92" i="3"/>
  <c r="N92" i="3" s="1"/>
  <c r="T92" i="3" s="1"/>
  <c r="M100" i="3"/>
  <c r="M108" i="3"/>
  <c r="N108" i="3" s="1"/>
  <c r="T108" i="3" s="1"/>
  <c r="M116" i="3"/>
  <c r="N116" i="3" s="1"/>
  <c r="T116" i="3" s="1"/>
  <c r="M124" i="3"/>
  <c r="N124" i="3" s="1"/>
  <c r="Q124" i="3" s="1"/>
  <c r="M132" i="3"/>
  <c r="N132" i="3" s="1"/>
  <c r="T132" i="3" s="1"/>
  <c r="M140" i="3"/>
  <c r="N140" i="3" s="1"/>
  <c r="T140" i="3" s="1"/>
  <c r="M148" i="3"/>
  <c r="N148" i="3" s="1"/>
  <c r="Q148" i="3" s="1"/>
  <c r="M156" i="3"/>
  <c r="N156" i="3" s="1"/>
  <c r="Q156" i="3" s="1"/>
  <c r="M164" i="3"/>
  <c r="N164" i="3" s="1"/>
  <c r="T164" i="3" s="1"/>
  <c r="M172" i="3"/>
  <c r="N172" i="3" s="1"/>
  <c r="T172" i="3" s="1"/>
  <c r="M180" i="3"/>
  <c r="N180" i="3" s="1"/>
  <c r="T180" i="3" s="1"/>
  <c r="M188" i="3"/>
  <c r="N188" i="3" s="1"/>
  <c r="Q188" i="3" s="1"/>
  <c r="M196" i="3"/>
  <c r="N196" i="3" s="1"/>
  <c r="M204" i="3"/>
  <c r="N204" i="3" s="1"/>
  <c r="M212" i="3"/>
  <c r="N212" i="3" s="1"/>
  <c r="M220" i="3"/>
  <c r="N220" i="3" s="1"/>
  <c r="M7" i="3"/>
  <c r="N7" i="3" s="1"/>
  <c r="Q7" i="3" s="1"/>
  <c r="M15" i="3"/>
  <c r="M23" i="3"/>
  <c r="N23" i="3" s="1"/>
  <c r="M31" i="3"/>
  <c r="N31" i="3" s="1"/>
  <c r="Q31" i="3" s="1"/>
  <c r="M39" i="3"/>
  <c r="N39" i="3" s="1"/>
  <c r="T39" i="3" s="1"/>
  <c r="M47" i="3"/>
  <c r="N47" i="3" s="1"/>
  <c r="Q47" i="3" s="1"/>
  <c r="M55" i="3"/>
  <c r="N55" i="3" s="1"/>
  <c r="Q55" i="3" s="1"/>
  <c r="M63" i="3"/>
  <c r="N63" i="3" s="1"/>
  <c r="Q63" i="3" s="1"/>
  <c r="M71" i="3"/>
  <c r="N71" i="3" s="1"/>
  <c r="Q71" i="3" s="1"/>
  <c r="M79" i="3"/>
  <c r="N79" i="3" s="1"/>
  <c r="T79" i="3" s="1"/>
  <c r="M87" i="3"/>
  <c r="N87" i="3" s="1"/>
  <c r="Q87" i="3" s="1"/>
  <c r="M95" i="3"/>
  <c r="N95" i="3" s="1"/>
  <c r="T95" i="3" s="1"/>
  <c r="M103" i="3"/>
  <c r="N103" i="3" s="1"/>
  <c r="T103" i="3" s="1"/>
  <c r="M111" i="3"/>
  <c r="N111" i="3" s="1"/>
  <c r="Q111" i="3" s="1"/>
  <c r="M119" i="3"/>
  <c r="N119" i="3" s="1"/>
  <c r="T119" i="3" s="1"/>
  <c r="M127" i="3"/>
  <c r="N127" i="3" s="1"/>
  <c r="T127" i="3" s="1"/>
  <c r="M135" i="3"/>
  <c r="N135" i="3" s="1"/>
  <c r="Q135" i="3" s="1"/>
  <c r="M26" i="3"/>
  <c r="N26" i="3" s="1"/>
  <c r="M90" i="3"/>
  <c r="M159" i="3"/>
  <c r="N159" i="3" s="1"/>
  <c r="T159" i="3" s="1"/>
  <c r="M191" i="3"/>
  <c r="N191" i="3" s="1"/>
  <c r="Q191" i="3" s="1"/>
  <c r="M225" i="3"/>
  <c r="N225" i="3" s="1"/>
  <c r="M230" i="3"/>
  <c r="N230" i="3" s="1"/>
  <c r="M234" i="3"/>
  <c r="N234" i="3" s="1"/>
  <c r="M238" i="3"/>
  <c r="M242" i="3"/>
  <c r="N242" i="3" s="1"/>
  <c r="M246" i="3"/>
  <c r="N246" i="3" s="1"/>
  <c r="M250" i="3"/>
  <c r="N250" i="3" s="1"/>
  <c r="M254" i="3"/>
  <c r="N254" i="3" s="1"/>
  <c r="M258" i="3"/>
  <c r="N258" i="3" s="1"/>
  <c r="M262" i="3"/>
  <c r="N262" i="3" s="1"/>
  <c r="M266" i="3"/>
  <c r="N266" i="3" s="1"/>
  <c r="M270" i="3"/>
  <c r="M274" i="3"/>
  <c r="N274" i="3" s="1"/>
  <c r="M278" i="3"/>
  <c r="N278" i="3" s="1"/>
  <c r="M282" i="3"/>
  <c r="N282" i="3" s="1"/>
  <c r="T282" i="3" s="1"/>
  <c r="M286" i="3"/>
  <c r="N286" i="3" s="1"/>
  <c r="M290" i="3"/>
  <c r="N290" i="3" s="1"/>
  <c r="M294" i="3"/>
  <c r="N294" i="3" s="1"/>
  <c r="M298" i="3"/>
  <c r="N298" i="3" s="1"/>
  <c r="M302" i="3"/>
  <c r="N302" i="3" s="1"/>
  <c r="M306" i="3"/>
  <c r="N306" i="3" s="1"/>
  <c r="M50" i="3"/>
  <c r="N50" i="3" s="1"/>
  <c r="Q50" i="3" s="1"/>
  <c r="M114" i="3"/>
  <c r="N114" i="3" s="1"/>
  <c r="T114" i="3" s="1"/>
  <c r="M170" i="3"/>
  <c r="N170" i="3" s="1"/>
  <c r="Q170" i="3" s="1"/>
  <c r="M199" i="3"/>
  <c r="N199" i="3" s="1"/>
  <c r="M217" i="3"/>
  <c r="N217" i="3" s="1"/>
  <c r="M221" i="3"/>
  <c r="N221" i="3" s="1"/>
  <c r="M10" i="3"/>
  <c r="N10" i="3" s="1"/>
  <c r="M74" i="3"/>
  <c r="N74" i="3" s="1"/>
  <c r="T74" i="3" s="1"/>
  <c r="M138" i="3"/>
  <c r="N138" i="3" s="1"/>
  <c r="T138" i="3" s="1"/>
  <c r="M151" i="3"/>
  <c r="N151" i="3" s="1"/>
  <c r="Q151" i="3" s="1"/>
  <c r="M183" i="3"/>
  <c r="N183" i="3" s="1"/>
  <c r="Q183" i="3" s="1"/>
  <c r="M193" i="3"/>
  <c r="N193" i="3" s="1"/>
  <c r="M207" i="3"/>
  <c r="N207" i="3" s="1"/>
  <c r="M213" i="3"/>
  <c r="N213" i="3" s="1"/>
  <c r="M226" i="3"/>
  <c r="N226" i="3" s="1"/>
  <c r="M231" i="3"/>
  <c r="N231" i="3" s="1"/>
  <c r="M235" i="3"/>
  <c r="N235" i="3" s="1"/>
  <c r="M239" i="3"/>
  <c r="N239" i="3" s="1"/>
  <c r="Q239" i="3" s="1"/>
  <c r="M243" i="3"/>
  <c r="N243" i="3" s="1"/>
  <c r="M247" i="3"/>
  <c r="N247" i="3" s="1"/>
  <c r="M251" i="3"/>
  <c r="N251" i="3" s="1"/>
  <c r="M255" i="3"/>
  <c r="N255" i="3" s="1"/>
  <c r="M259" i="3"/>
  <c r="N259" i="3" s="1"/>
  <c r="M263" i="3"/>
  <c r="N263" i="3" s="1"/>
  <c r="M267" i="3"/>
  <c r="N267" i="3" s="1"/>
  <c r="M271" i="3"/>
  <c r="N271" i="3" s="1"/>
  <c r="M275" i="3"/>
  <c r="N275" i="3" s="1"/>
  <c r="M279" i="3"/>
  <c r="N279" i="3" s="1"/>
  <c r="M283" i="3"/>
  <c r="N283" i="3" s="1"/>
  <c r="M287" i="3"/>
  <c r="N287" i="3" s="1"/>
  <c r="M291" i="3"/>
  <c r="M295" i="3"/>
  <c r="N295" i="3" s="1"/>
  <c r="Q295" i="3" s="1"/>
  <c r="M299" i="3"/>
  <c r="N299" i="3" s="1"/>
  <c r="M303" i="3"/>
  <c r="N303" i="3" s="1"/>
  <c r="M307" i="3"/>
  <c r="N307" i="3" s="1"/>
  <c r="M34" i="3"/>
  <c r="N34" i="3" s="1"/>
  <c r="T34" i="3" s="1"/>
  <c r="M98" i="3"/>
  <c r="N98" i="3" s="1"/>
  <c r="Q98" i="3" s="1"/>
  <c r="M162" i="3"/>
  <c r="N162" i="3" s="1"/>
  <c r="Q162" i="3" s="1"/>
  <c r="M201" i="3"/>
  <c r="M218" i="3"/>
  <c r="N218" i="3" s="1"/>
  <c r="M2" i="3"/>
  <c r="N2" i="3" s="1"/>
  <c r="Q2" i="3" s="1"/>
  <c r="M58" i="3"/>
  <c r="N58" i="3" s="1"/>
  <c r="Q58" i="3" s="1"/>
  <c r="M122" i="3"/>
  <c r="N122" i="3" s="1"/>
  <c r="T122" i="3" s="1"/>
  <c r="M143" i="3"/>
  <c r="N143" i="3" s="1"/>
  <c r="Q143" i="3" s="1"/>
  <c r="M175" i="3"/>
  <c r="N175" i="3" s="1"/>
  <c r="Q175" i="3" s="1"/>
  <c r="M194" i="3"/>
  <c r="N194" i="3" s="1"/>
  <c r="M209" i="3"/>
  <c r="N209" i="3" s="1"/>
  <c r="M223" i="3"/>
  <c r="N223" i="3" s="1"/>
  <c r="M227" i="3"/>
  <c r="N227" i="3" s="1"/>
  <c r="M232" i="3"/>
  <c r="N232" i="3" s="1"/>
  <c r="M236" i="3"/>
  <c r="N236" i="3" s="1"/>
  <c r="M240" i="3"/>
  <c r="N240" i="3" s="1"/>
  <c r="M244" i="3"/>
  <c r="N244" i="3" s="1"/>
  <c r="M248" i="3"/>
  <c r="N248" i="3" s="1"/>
  <c r="T248" i="3" s="1"/>
  <c r="M252" i="3"/>
  <c r="N252" i="3" s="1"/>
  <c r="M256" i="3"/>
  <c r="N256" i="3" s="1"/>
  <c r="M260" i="3"/>
  <c r="N260" i="3" s="1"/>
  <c r="Q260" i="3" s="1"/>
  <c r="M264" i="3"/>
  <c r="N264" i="3" s="1"/>
  <c r="M268" i="3"/>
  <c r="N268" i="3" s="1"/>
  <c r="M272" i="3"/>
  <c r="N272" i="3" s="1"/>
  <c r="M276" i="3"/>
  <c r="N276" i="3" s="1"/>
  <c r="M280" i="3"/>
  <c r="N280" i="3" s="1"/>
  <c r="M284" i="3"/>
  <c r="M288" i="3"/>
  <c r="N288" i="3" s="1"/>
  <c r="M292" i="3"/>
  <c r="N292" i="3" s="1"/>
  <c r="M296" i="3"/>
  <c r="N296" i="3" s="1"/>
  <c r="M300" i="3"/>
  <c r="N300" i="3" s="1"/>
  <c r="M304" i="3"/>
  <c r="N304" i="3" s="1"/>
  <c r="M308" i="3"/>
  <c r="N308" i="3" s="1"/>
  <c r="M18" i="3"/>
  <c r="N18" i="3" s="1"/>
  <c r="Q18" i="3" s="1"/>
  <c r="M82" i="3"/>
  <c r="M154" i="3"/>
  <c r="N154" i="3" s="1"/>
  <c r="Q154" i="3" s="1"/>
  <c r="M186" i="3"/>
  <c r="N186" i="3" s="1"/>
  <c r="Q186" i="3" s="1"/>
  <c r="M202" i="3"/>
  <c r="N202" i="3" s="1"/>
  <c r="M215" i="3"/>
  <c r="N215" i="3" s="1"/>
  <c r="M219" i="3"/>
  <c r="N219" i="3" s="1"/>
  <c r="M228" i="3"/>
  <c r="N228" i="3" s="1"/>
  <c r="M42" i="3"/>
  <c r="N42" i="3" s="1"/>
  <c r="T42" i="3" s="1"/>
  <c r="M106" i="3"/>
  <c r="M167" i="3"/>
  <c r="N167" i="3" s="1"/>
  <c r="T167" i="3" s="1"/>
  <c r="M210" i="3"/>
  <c r="N210" i="3" s="1"/>
  <c r="M229" i="3"/>
  <c r="N229" i="3" s="1"/>
  <c r="M233" i="3"/>
  <c r="N233" i="3" s="1"/>
  <c r="M237" i="3"/>
  <c r="N237" i="3" s="1"/>
  <c r="M241" i="3"/>
  <c r="N241" i="3" s="1"/>
  <c r="Q241" i="3" s="1"/>
  <c r="M245" i="3"/>
  <c r="N245" i="3" s="1"/>
  <c r="M249" i="3"/>
  <c r="N249" i="3" s="1"/>
  <c r="M253" i="3"/>
  <c r="N253" i="3" s="1"/>
  <c r="M257" i="3"/>
  <c r="N257" i="3" s="1"/>
  <c r="M261" i="3"/>
  <c r="N261" i="3" s="1"/>
  <c r="M265" i="3"/>
  <c r="N265" i="3" s="1"/>
  <c r="M269" i="3"/>
  <c r="N269" i="3" s="1"/>
  <c r="M273" i="3"/>
  <c r="N273" i="3" s="1"/>
  <c r="M277" i="3"/>
  <c r="N277" i="3" s="1"/>
  <c r="M281" i="3"/>
  <c r="N281" i="3" s="1"/>
  <c r="M285" i="3"/>
  <c r="N285" i="3" s="1"/>
  <c r="M289" i="3"/>
  <c r="N289" i="3" s="1"/>
  <c r="M293" i="3"/>
  <c r="N293" i="3" s="1"/>
  <c r="M297" i="3"/>
  <c r="N297" i="3" s="1"/>
  <c r="M301" i="3"/>
  <c r="N301" i="3" s="1"/>
  <c r="M305" i="3"/>
  <c r="N305" i="3" s="1"/>
  <c r="M309" i="3"/>
  <c r="N309" i="3" s="1"/>
  <c r="M178" i="3"/>
  <c r="M66" i="3"/>
  <c r="N66" i="3" s="1"/>
  <c r="T66" i="3" s="1"/>
  <c r="M130" i="3"/>
  <c r="N130" i="3" s="1"/>
  <c r="Q130" i="3" s="1"/>
  <c r="M146" i="3"/>
  <c r="N146" i="3" s="1"/>
  <c r="T146" i="3" s="1"/>
  <c r="M315" i="3"/>
  <c r="N315" i="3" s="1"/>
  <c r="M318" i="3"/>
  <c r="N318" i="3" s="1"/>
  <c r="M321" i="3"/>
  <c r="N321" i="3" s="1"/>
  <c r="M348" i="3"/>
  <c r="N348" i="3" s="1"/>
  <c r="M351" i="3"/>
  <c r="M312" i="3"/>
  <c r="N312" i="3" s="1"/>
  <c r="M323" i="3"/>
  <c r="N323" i="3" s="1"/>
  <c r="M326" i="3"/>
  <c r="N326" i="3" s="1"/>
  <c r="M329" i="3"/>
  <c r="N329" i="3" s="1"/>
  <c r="M346" i="3"/>
  <c r="N346" i="3" s="1"/>
  <c r="M330" i="3"/>
  <c r="N330" i="3" s="1"/>
  <c r="M320" i="3"/>
  <c r="N320" i="3" s="1"/>
  <c r="M331" i="3"/>
  <c r="N331" i="3" s="1"/>
  <c r="M334" i="3"/>
  <c r="N334" i="3" s="1"/>
  <c r="Q334" i="3" s="1"/>
  <c r="M337" i="3"/>
  <c r="N337" i="3" s="1"/>
  <c r="M325" i="3"/>
  <c r="N325" i="3" s="1"/>
  <c r="M333" i="3"/>
  <c r="N333" i="3" s="1"/>
  <c r="M328" i="3"/>
  <c r="N328" i="3" s="1"/>
  <c r="Q328" i="3" s="1"/>
  <c r="M339" i="3"/>
  <c r="N339" i="3" s="1"/>
  <c r="M342" i="3"/>
  <c r="N342" i="3" s="1"/>
  <c r="M345" i="3"/>
  <c r="N345" i="3" s="1"/>
  <c r="M311" i="3"/>
  <c r="N311" i="3" s="1"/>
  <c r="T311" i="3" s="1"/>
  <c r="M336" i="3"/>
  <c r="N336" i="3" s="1"/>
  <c r="M347" i="3"/>
  <c r="N347" i="3" s="1"/>
  <c r="M350" i="3"/>
  <c r="N350" i="3" s="1"/>
  <c r="M316" i="3"/>
  <c r="N316" i="3" s="1"/>
  <c r="M319" i="3"/>
  <c r="N319" i="3" s="1"/>
  <c r="M344" i="3"/>
  <c r="N344" i="3" s="1"/>
  <c r="T344" i="3" s="1"/>
  <c r="M338" i="3"/>
  <c r="N338" i="3" s="1"/>
  <c r="M314" i="3"/>
  <c r="N314" i="3" s="1"/>
  <c r="M324" i="3"/>
  <c r="N324" i="3" s="1"/>
  <c r="M327" i="3"/>
  <c r="N327" i="3" s="1"/>
  <c r="M322" i="3"/>
  <c r="N322" i="3" s="1"/>
  <c r="M349" i="3"/>
  <c r="N349" i="3" s="1"/>
  <c r="M317" i="3"/>
  <c r="N317" i="3" s="1"/>
  <c r="M332" i="3"/>
  <c r="N332" i="3" s="1"/>
  <c r="M335" i="3"/>
  <c r="N335" i="3" s="1"/>
  <c r="M341" i="3"/>
  <c r="N341" i="3" s="1"/>
  <c r="M310" i="3"/>
  <c r="N310" i="3" s="1"/>
  <c r="M313" i="3"/>
  <c r="N313" i="3" s="1"/>
  <c r="M340" i="3"/>
  <c r="N340" i="3" s="1"/>
  <c r="M343" i="3"/>
  <c r="N343" i="3" s="1"/>
  <c r="N351" i="3"/>
  <c r="N270" i="3"/>
  <c r="N284" i="3"/>
  <c r="N291" i="3"/>
  <c r="N201" i="3"/>
  <c r="N238" i="3"/>
  <c r="N197" i="3"/>
  <c r="N192" i="3"/>
  <c r="N211" i="3"/>
  <c r="N206" i="3"/>
  <c r="N222" i="3"/>
  <c r="N100" i="3"/>
  <c r="T100" i="3" s="1"/>
  <c r="N85" i="3"/>
  <c r="Q85" i="3" s="1"/>
  <c r="N44" i="3"/>
  <c r="Q44" i="3" s="1"/>
  <c r="N105" i="3"/>
  <c r="T105" i="3" s="1"/>
  <c r="N133" i="3"/>
  <c r="T133" i="3" s="1"/>
  <c r="N90" i="3"/>
  <c r="Q90" i="3" s="1"/>
  <c r="N69" i="3"/>
  <c r="N82" i="3"/>
  <c r="T82" i="3" s="1"/>
  <c r="N36" i="3"/>
  <c r="T36" i="3" s="1"/>
  <c r="N97" i="3"/>
  <c r="T97" i="3" s="1"/>
  <c r="N190" i="3"/>
  <c r="T190" i="3" s="1"/>
  <c r="N178" i="3"/>
  <c r="N6" i="3"/>
  <c r="N115" i="3"/>
  <c r="T115" i="3" s="1"/>
  <c r="N62" i="3"/>
  <c r="T62" i="3" s="1"/>
  <c r="N177" i="3"/>
  <c r="Q177" i="3" s="1"/>
  <c r="N15" i="3"/>
  <c r="T15" i="3" s="1"/>
  <c r="N147" i="3"/>
  <c r="Q147" i="3" s="1"/>
  <c r="N27" i="3"/>
  <c r="T27" i="3" s="1"/>
  <c r="N106" i="3"/>
  <c r="Q106" i="3" s="1"/>
  <c r="N65" i="3"/>
  <c r="T65" i="3" s="1"/>
  <c r="N126" i="3"/>
  <c r="T126" i="3" s="1"/>
  <c r="N184" i="3"/>
  <c r="Q184" i="3" s="1"/>
  <c r="N99" i="3"/>
  <c r="Q99" i="3" s="1"/>
  <c r="N19" i="3"/>
  <c r="N169" i="3"/>
  <c r="N49" i="3"/>
  <c r="Q49" i="3" s="1"/>
  <c r="N142" i="3"/>
  <c r="Q142" i="3" s="1"/>
  <c r="N8" i="3"/>
  <c r="N83" i="3"/>
  <c r="N120" i="3"/>
  <c r="T120" i="3" s="1"/>
  <c r="N136" i="3"/>
  <c r="T136" i="3" s="1"/>
  <c r="N5" i="3"/>
  <c r="T5" i="3" s="1"/>
  <c r="N56" i="3"/>
  <c r="N21" i="3"/>
  <c r="N13" i="3"/>
  <c r="R2" i="3" l="1"/>
  <c r="R3" i="3" s="1"/>
  <c r="R4" i="3" s="1"/>
  <c r="Y12" i="3"/>
  <c r="N12" i="2" s="1"/>
  <c r="T334" i="3"/>
  <c r="T295" i="3"/>
  <c r="T328" i="3"/>
  <c r="Q282" i="3"/>
  <c r="Q344" i="3"/>
  <c r="Q39" i="3"/>
  <c r="T186" i="3"/>
  <c r="Q79" i="3"/>
  <c r="Q159" i="3"/>
  <c r="T188" i="3"/>
  <c r="Q248" i="3"/>
  <c r="Q127" i="3"/>
  <c r="T185" i="3"/>
  <c r="T135" i="3"/>
  <c r="T156" i="3"/>
  <c r="T241" i="3"/>
  <c r="T254" i="3"/>
  <c r="Q254" i="3"/>
  <c r="Q230" i="3"/>
  <c r="T230" i="3"/>
  <c r="Q279" i="3"/>
  <c r="T279" i="3"/>
  <c r="Q313" i="3"/>
  <c r="T313" i="3"/>
  <c r="T319" i="3"/>
  <c r="Q319" i="3"/>
  <c r="Q296" i="3"/>
  <c r="T296" i="3"/>
  <c r="T327" i="3"/>
  <c r="Q327" i="3"/>
  <c r="Q322" i="3"/>
  <c r="T322" i="3"/>
  <c r="T307" i="3"/>
  <c r="Q307" i="3"/>
  <c r="T293" i="3"/>
  <c r="Q293" i="3"/>
  <c r="T298" i="3"/>
  <c r="Q298" i="3"/>
  <c r="T347" i="3"/>
  <c r="Q347" i="3"/>
  <c r="T283" i="3"/>
  <c r="Q283" i="3"/>
  <c r="Q291" i="3"/>
  <c r="T291" i="3"/>
  <c r="T348" i="3"/>
  <c r="Q348" i="3"/>
  <c r="T211" i="3"/>
  <c r="Q211" i="3"/>
  <c r="Q240" i="3"/>
  <c r="T240" i="3"/>
  <c r="T217" i="3"/>
  <c r="Q217" i="3"/>
  <c r="T275" i="3"/>
  <c r="Q275" i="3"/>
  <c r="T330" i="3"/>
  <c r="Q330" i="3"/>
  <c r="T335" i="3"/>
  <c r="Q335" i="3"/>
  <c r="Q269" i="3"/>
  <c r="T269" i="3"/>
  <c r="T197" i="3"/>
  <c r="Q197" i="3"/>
  <c r="T232" i="3"/>
  <c r="Q232" i="3"/>
  <c r="Q267" i="3"/>
  <c r="T267" i="3"/>
  <c r="Q264" i="3"/>
  <c r="T264" i="3"/>
  <c r="Q258" i="3"/>
  <c r="T258" i="3"/>
  <c r="Q349" i="3"/>
  <c r="T349" i="3"/>
  <c r="T351" i="3"/>
  <c r="Q351" i="3"/>
  <c r="Q199" i="3"/>
  <c r="T199" i="3"/>
  <c r="Q242" i="3"/>
  <c r="T242" i="3"/>
  <c r="T294" i="3"/>
  <c r="Q294" i="3"/>
  <c r="T194" i="3"/>
  <c r="Q194" i="3"/>
  <c r="T231" i="3"/>
  <c r="Q231" i="3"/>
  <c r="Q227" i="3"/>
  <c r="T227" i="3"/>
  <c r="T201" i="3"/>
  <c r="Q201" i="3"/>
  <c r="T244" i="3"/>
  <c r="Q244" i="3"/>
  <c r="Q320" i="3"/>
  <c r="T320" i="3"/>
  <c r="T281" i="3"/>
  <c r="Q281" i="3"/>
  <c r="Q278" i="3"/>
  <c r="T278" i="3"/>
  <c r="Q331" i="3"/>
  <c r="T331" i="3"/>
  <c r="T236" i="3"/>
  <c r="Q236" i="3"/>
  <c r="Q280" i="3"/>
  <c r="T280" i="3"/>
  <c r="Q340" i="3"/>
  <c r="T340" i="3"/>
  <c r="T276" i="3"/>
  <c r="Q276" i="3"/>
  <c r="T223" i="3"/>
  <c r="Q223" i="3"/>
  <c r="Q256" i="3"/>
  <c r="T256" i="3"/>
  <c r="T324" i="3"/>
  <c r="Q324" i="3"/>
  <c r="T263" i="3"/>
  <c r="Q263" i="3"/>
  <c r="T234" i="3"/>
  <c r="Q234" i="3"/>
  <c r="Q257" i="3"/>
  <c r="T257" i="3"/>
  <c r="T270" i="3"/>
  <c r="Q270" i="3"/>
  <c r="Q342" i="3"/>
  <c r="T342" i="3"/>
  <c r="Q310" i="3"/>
  <c r="T310" i="3"/>
  <c r="Q252" i="3"/>
  <c r="T252" i="3"/>
  <c r="Q304" i="3"/>
  <c r="T304" i="3"/>
  <c r="Q350" i="3"/>
  <c r="T350" i="3"/>
  <c r="T339" i="3"/>
  <c r="Q339" i="3"/>
  <c r="T198" i="3"/>
  <c r="Q198" i="3"/>
  <c r="T208" i="3"/>
  <c r="Q208" i="3"/>
  <c r="Q205" i="3"/>
  <c r="T205" i="3"/>
  <c r="T212" i="3"/>
  <c r="Q212" i="3"/>
  <c r="T333" i="3"/>
  <c r="Q333" i="3"/>
  <c r="T243" i="3"/>
  <c r="Q243" i="3"/>
  <c r="Q266" i="3"/>
  <c r="T266" i="3"/>
  <c r="T301" i="3"/>
  <c r="Q301" i="3"/>
  <c r="T287" i="3"/>
  <c r="Q287" i="3"/>
  <c r="Q341" i="3"/>
  <c r="T341" i="3"/>
  <c r="Q343" i="3"/>
  <c r="T343" i="3"/>
  <c r="T203" i="3"/>
  <c r="Q203" i="3"/>
  <c r="Q200" i="3"/>
  <c r="T200" i="3"/>
  <c r="Q235" i="3"/>
  <c r="T235" i="3"/>
  <c r="T204" i="3"/>
  <c r="Q204" i="3"/>
  <c r="Q209" i="3"/>
  <c r="T209" i="3"/>
  <c r="Q268" i="3"/>
  <c r="T268" i="3"/>
  <c r="Q316" i="3"/>
  <c r="T316" i="3"/>
  <c r="Q332" i="3"/>
  <c r="T332" i="3"/>
  <c r="Q261" i="3"/>
  <c r="T261" i="3"/>
  <c r="Q329" i="3"/>
  <c r="T329" i="3"/>
  <c r="T224" i="3"/>
  <c r="Q224" i="3"/>
  <c r="Q195" i="3"/>
  <c r="T195" i="3"/>
  <c r="T192" i="3"/>
  <c r="Q192" i="3"/>
  <c r="Q238" i="3"/>
  <c r="T238" i="3"/>
  <c r="T255" i="3"/>
  <c r="Q255" i="3"/>
  <c r="Q196" i="3"/>
  <c r="T196" i="3"/>
  <c r="T259" i="3"/>
  <c r="Q259" i="3"/>
  <c r="T284" i="3"/>
  <c r="Q284" i="3"/>
  <c r="T321" i="3"/>
  <c r="Q321" i="3"/>
  <c r="T326" i="3"/>
  <c r="Q326" i="3"/>
  <c r="Q325" i="3"/>
  <c r="T325" i="3"/>
  <c r="Q323" i="3"/>
  <c r="T323" i="3"/>
  <c r="T306" i="3"/>
  <c r="Q306" i="3"/>
  <c r="T222" i="3"/>
  <c r="Q222" i="3"/>
  <c r="Q233" i="3"/>
  <c r="T233" i="3"/>
  <c r="Q250" i="3"/>
  <c r="T250" i="3"/>
  <c r="T237" i="3"/>
  <c r="Q237" i="3"/>
  <c r="Q193" i="3"/>
  <c r="T193" i="3"/>
  <c r="T265" i="3"/>
  <c r="Q265" i="3"/>
  <c r="Q273" i="3"/>
  <c r="T273" i="3"/>
  <c r="Q299" i="3"/>
  <c r="T299" i="3"/>
  <c r="Q318" i="3"/>
  <c r="T318" i="3"/>
  <c r="T317" i="3"/>
  <c r="Q317" i="3"/>
  <c r="T260" i="3"/>
  <c r="Q247" i="3"/>
  <c r="T247" i="3"/>
  <c r="T228" i="3"/>
  <c r="Q228" i="3"/>
  <c r="Q253" i="3"/>
  <c r="T253" i="3"/>
  <c r="T229" i="3"/>
  <c r="Q229" i="3"/>
  <c r="T272" i="3"/>
  <c r="Q272" i="3"/>
  <c r="T262" i="3"/>
  <c r="Q262" i="3"/>
  <c r="Q271" i="3"/>
  <c r="T271" i="3"/>
  <c r="T305" i="3"/>
  <c r="Q305" i="3"/>
  <c r="T286" i="3"/>
  <c r="Q286" i="3"/>
  <c r="T315" i="3"/>
  <c r="Q315" i="3"/>
  <c r="Q311" i="3"/>
  <c r="T225" i="3"/>
  <c r="Q225" i="3"/>
  <c r="T246" i="3"/>
  <c r="Q246" i="3"/>
  <c r="Q251" i="3"/>
  <c r="T251" i="3"/>
  <c r="Q289" i="3"/>
  <c r="T289" i="3"/>
  <c r="T218" i="3"/>
  <c r="Q218" i="3"/>
  <c r="T215" i="3"/>
  <c r="Q215" i="3"/>
  <c r="T288" i="3"/>
  <c r="Q288" i="3"/>
  <c r="T226" i="3"/>
  <c r="Q226" i="3"/>
  <c r="Q297" i="3"/>
  <c r="T297" i="3"/>
  <c r="Q277" i="3"/>
  <c r="T277" i="3"/>
  <c r="T302" i="3"/>
  <c r="Q302" i="3"/>
  <c r="T308" i="3"/>
  <c r="Q308" i="3"/>
  <c r="T337" i="3"/>
  <c r="Q337" i="3"/>
  <c r="T338" i="3"/>
  <c r="Q338" i="3"/>
  <c r="Q214" i="3"/>
  <c r="T214" i="3"/>
  <c r="Q245" i="3"/>
  <c r="T245" i="3"/>
  <c r="T221" i="3"/>
  <c r="Q221" i="3"/>
  <c r="T210" i="3"/>
  <c r="Q210" i="3"/>
  <c r="Q207" i="3"/>
  <c r="T207" i="3"/>
  <c r="Q249" i="3"/>
  <c r="T249" i="3"/>
  <c r="T292" i="3"/>
  <c r="Q292" i="3"/>
  <c r="T274" i="3"/>
  <c r="Q274" i="3"/>
  <c r="T336" i="3"/>
  <c r="Q336" i="3"/>
  <c r="Q346" i="3"/>
  <c r="T346" i="3"/>
  <c r="T309" i="3"/>
  <c r="Q309" i="3"/>
  <c r="Q303" i="3"/>
  <c r="T303" i="3"/>
  <c r="T239" i="3"/>
  <c r="Q206" i="3"/>
  <c r="T206" i="3"/>
  <c r="T219" i="3"/>
  <c r="Q219" i="3"/>
  <c r="T216" i="3"/>
  <c r="Q216" i="3"/>
  <c r="T213" i="3"/>
  <c r="Q213" i="3"/>
  <c r="T202" i="3"/>
  <c r="Q202" i="3"/>
  <c r="T220" i="3"/>
  <c r="Q220" i="3"/>
  <c r="T300" i="3"/>
  <c r="Q300" i="3"/>
  <c r="Q345" i="3"/>
  <c r="T345" i="3"/>
  <c r="T285" i="3"/>
  <c r="Q285" i="3"/>
  <c r="Q290" i="3"/>
  <c r="T290" i="3"/>
  <c r="Q312" i="3"/>
  <c r="T312" i="3"/>
  <c r="T314" i="3"/>
  <c r="Q314" i="3"/>
  <c r="T85" i="3"/>
  <c r="T151" i="3"/>
  <c r="T173" i="3"/>
  <c r="Q108" i="3"/>
  <c r="T87" i="3"/>
  <c r="Q138" i="3"/>
  <c r="T63" i="3"/>
  <c r="T109" i="3"/>
  <c r="T143" i="3"/>
  <c r="T191" i="3"/>
  <c r="Q140" i="3"/>
  <c r="T175" i="3"/>
  <c r="T162" i="3"/>
  <c r="Q114" i="3"/>
  <c r="T17" i="3"/>
  <c r="T165" i="3"/>
  <c r="Q125" i="3"/>
  <c r="T71" i="3"/>
  <c r="Q157" i="3"/>
  <c r="Q25" i="3"/>
  <c r="T33" i="3"/>
  <c r="T4" i="3"/>
  <c r="T31" i="3"/>
  <c r="T55" i="3"/>
  <c r="T44" i="3"/>
  <c r="Q116" i="3"/>
  <c r="Q20" i="3"/>
  <c r="Q133" i="3"/>
  <c r="T154" i="3"/>
  <c r="Q141" i="3"/>
  <c r="T149" i="3"/>
  <c r="Q119" i="3"/>
  <c r="Q74" i="3"/>
  <c r="Q77" i="3"/>
  <c r="Q103" i="3"/>
  <c r="T18" i="3"/>
  <c r="T60" i="3"/>
  <c r="T94" i="3"/>
  <c r="T47" i="3"/>
  <c r="Q172" i="3"/>
  <c r="T130" i="3"/>
  <c r="Q164" i="3"/>
  <c r="T148" i="3"/>
  <c r="T184" i="3"/>
  <c r="T129" i="3"/>
  <c r="T183" i="3"/>
  <c r="T2" i="3"/>
  <c r="Q104" i="3"/>
  <c r="Q110" i="3"/>
  <c r="T38" i="3"/>
  <c r="T7" i="3"/>
  <c r="T28" i="3"/>
  <c r="Q182" i="3"/>
  <c r="T181" i="3"/>
  <c r="T9" i="3"/>
  <c r="T41" i="3"/>
  <c r="T111" i="3"/>
  <c r="T59" i="3"/>
  <c r="T58" i="3"/>
  <c r="T171" i="3"/>
  <c r="T145" i="3"/>
  <c r="Q69" i="3"/>
  <c r="T69" i="3"/>
  <c r="Q97" i="3"/>
  <c r="Q122" i="3"/>
  <c r="Q167" i="3"/>
  <c r="T117" i="3"/>
  <c r="T123" i="3"/>
  <c r="T78" i="3"/>
  <c r="Q14" i="3"/>
  <c r="Q36" i="3"/>
  <c r="Q15" i="3"/>
  <c r="T99" i="3"/>
  <c r="T35" i="3"/>
  <c r="T101" i="3"/>
  <c r="T106" i="3"/>
  <c r="Q92" i="3"/>
  <c r="Q66" i="3"/>
  <c r="Q160" i="3"/>
  <c r="Q132" i="3"/>
  <c r="T46" i="3"/>
  <c r="T50" i="3"/>
  <c r="T98" i="3"/>
  <c r="Q105" i="3"/>
  <c r="Q82" i="3"/>
  <c r="T3" i="3"/>
  <c r="Q190" i="3"/>
  <c r="T12" i="3"/>
  <c r="Q100" i="3"/>
  <c r="T43" i="3"/>
  <c r="Q88" i="3"/>
  <c r="T170" i="3"/>
  <c r="Q81" i="3"/>
  <c r="T81" i="3"/>
  <c r="Q76" i="3"/>
  <c r="T76" i="3"/>
  <c r="Q84" i="3"/>
  <c r="Q34" i="3"/>
  <c r="T93" i="3"/>
  <c r="Q174" i="3"/>
  <c r="T124" i="3"/>
  <c r="T90" i="3"/>
  <c r="T189" i="3"/>
  <c r="Q155" i="3"/>
  <c r="T142" i="3"/>
  <c r="Q187" i="3"/>
  <c r="T187" i="3"/>
  <c r="T26" i="3"/>
  <c r="Q26" i="3"/>
  <c r="T121" i="3"/>
  <c r="Q121" i="3"/>
  <c r="Q158" i="3"/>
  <c r="T158" i="3"/>
  <c r="T137" i="3"/>
  <c r="Q137" i="3"/>
  <c r="Q146" i="3"/>
  <c r="Q73" i="3"/>
  <c r="Q176" i="3"/>
  <c r="Q42" i="3"/>
  <c r="Q95" i="3"/>
  <c r="Q51" i="3"/>
  <c r="Q68" i="3"/>
  <c r="Q179" i="3"/>
  <c r="Q136" i="3"/>
  <c r="Q115" i="3"/>
  <c r="Q163" i="3"/>
  <c r="T163" i="3"/>
  <c r="Q89" i="3"/>
  <c r="T89" i="3"/>
  <c r="Q70" i="3"/>
  <c r="Q52" i="3"/>
  <c r="T61" i="3"/>
  <c r="T113" i="3"/>
  <c r="Q161" i="3"/>
  <c r="T49" i="3"/>
  <c r="Q27" i="3"/>
  <c r="T177" i="3"/>
  <c r="Q112" i="3"/>
  <c r="T72" i="3"/>
  <c r="T102" i="3"/>
  <c r="T107" i="3"/>
  <c r="Q134" i="3"/>
  <c r="Q65" i="3"/>
  <c r="T166" i="3"/>
  <c r="T91" i="3"/>
  <c r="T147" i="3"/>
  <c r="T22" i="3"/>
  <c r="Q64" i="3"/>
  <c r="Q57" i="3"/>
  <c r="T57" i="3"/>
  <c r="Q118" i="3"/>
  <c r="T118" i="3"/>
  <c r="Q62" i="3"/>
  <c r="Q180" i="3"/>
  <c r="Q10" i="3"/>
  <c r="T10" i="3"/>
  <c r="Q126" i="3"/>
  <c r="T178" i="3"/>
  <c r="Q178" i="3"/>
  <c r="T23" i="3"/>
  <c r="Q23" i="3"/>
  <c r="Q150" i="3"/>
  <c r="T150" i="3"/>
  <c r="Q120" i="3"/>
  <c r="T30" i="3"/>
  <c r="Q30" i="3"/>
  <c r="Q40" i="3"/>
  <c r="T153" i="3"/>
  <c r="Q153" i="3"/>
  <c r="Q54" i="3"/>
  <c r="T54" i="3"/>
  <c r="Q86" i="3"/>
  <c r="T86" i="3"/>
  <c r="T128" i="3"/>
  <c r="Q128" i="3"/>
  <c r="Q152" i="3"/>
  <c r="T152" i="3"/>
  <c r="T67" i="3"/>
  <c r="Q67" i="3"/>
  <c r="T8" i="3"/>
  <c r="Q8" i="3"/>
  <c r="T168" i="3"/>
  <c r="Q168" i="3"/>
  <c r="Q169" i="3"/>
  <c r="T169" i="3"/>
  <c r="Q83" i="3"/>
  <c r="T83" i="3"/>
  <c r="Q5" i="3"/>
  <c r="T37" i="3"/>
  <c r="Q37" i="3"/>
  <c r="Q131" i="3"/>
  <c r="T131" i="3"/>
  <c r="T6" i="3"/>
  <c r="Q6" i="3"/>
  <c r="Q19" i="3"/>
  <c r="T19" i="3"/>
  <c r="Q56" i="3"/>
  <c r="T56" i="3"/>
  <c r="T139" i="3"/>
  <c r="Q139" i="3"/>
  <c r="T13" i="3"/>
  <c r="Q13" i="3"/>
  <c r="Q29" i="3"/>
  <c r="T29" i="3"/>
  <c r="T24" i="3"/>
  <c r="Q24" i="3"/>
  <c r="T16" i="3"/>
  <c r="Q16" i="3"/>
  <c r="Q80" i="3"/>
  <c r="T80" i="3"/>
  <c r="Q32" i="3"/>
  <c r="T32" i="3"/>
  <c r="T53" i="3"/>
  <c r="Q53" i="3"/>
  <c r="T96" i="3"/>
  <c r="Q96" i="3"/>
  <c r="T144" i="3"/>
  <c r="Q144" i="3"/>
  <c r="T45" i="3"/>
  <c r="Q45" i="3"/>
  <c r="Q21" i="3"/>
  <c r="T21" i="3"/>
  <c r="Q11" i="3"/>
  <c r="T11" i="3"/>
  <c r="Q75" i="3"/>
  <c r="T75" i="3"/>
  <c r="T48" i="3"/>
  <c r="Q48" i="3"/>
  <c r="S2" i="3" l="1"/>
  <c r="S3" i="3" s="1"/>
  <c r="S4" i="3" s="1"/>
  <c r="R5" i="3"/>
  <c r="R6" i="3" s="1"/>
  <c r="R7" i="3" s="1"/>
  <c r="R8" i="3" s="1"/>
  <c r="R9" i="3" s="1"/>
  <c r="R10" i="3" s="1"/>
  <c r="R11" i="3" s="1"/>
  <c r="R12" i="3" s="1"/>
  <c r="R13" i="3" s="1"/>
  <c r="R14" i="3" s="1"/>
  <c r="R15" i="3" s="1"/>
  <c r="R16" i="3" s="1"/>
  <c r="R17" i="3" s="1"/>
  <c r="R18" i="3" s="1"/>
  <c r="R19" i="3" s="1"/>
  <c r="R20" i="3" s="1"/>
  <c r="R21" i="3" s="1"/>
  <c r="R22" i="3" s="1"/>
  <c r="R23" i="3" s="1"/>
  <c r="R24" i="3" s="1"/>
  <c r="R25" i="3" s="1"/>
  <c r="R26" i="3" s="1"/>
  <c r="R27" i="3" s="1"/>
  <c r="R28" i="3" s="1"/>
  <c r="R29" i="3" s="1"/>
  <c r="R30" i="3" s="1"/>
  <c r="R31" i="3" s="1"/>
  <c r="R32" i="3" s="1"/>
  <c r="R33" i="3" s="1"/>
  <c r="R34" i="3" s="1"/>
  <c r="R35" i="3" s="1"/>
  <c r="R36" i="3" s="1"/>
  <c r="R37" i="3" s="1"/>
  <c r="R38" i="3" s="1"/>
  <c r="R39" i="3" s="1"/>
  <c r="R40" i="3" s="1"/>
  <c r="R41" i="3" s="1"/>
  <c r="R42" i="3" s="1"/>
  <c r="R43" i="3" s="1"/>
  <c r="R44" i="3" s="1"/>
  <c r="R45" i="3" s="1"/>
  <c r="R46" i="3" s="1"/>
  <c r="R47" i="3" s="1"/>
  <c r="R48" i="3" s="1"/>
  <c r="R49" i="3" s="1"/>
  <c r="R50" i="3" s="1"/>
  <c r="R51" i="3" s="1"/>
  <c r="R52" i="3" s="1"/>
  <c r="R53" i="3" s="1"/>
  <c r="R54" i="3" s="1"/>
  <c r="R55" i="3" s="1"/>
  <c r="R56" i="3" s="1"/>
  <c r="R57" i="3" s="1"/>
  <c r="R58" i="3" s="1"/>
  <c r="R59" i="3" s="1"/>
  <c r="R60" i="3" s="1"/>
  <c r="R61" i="3" s="1"/>
  <c r="R62" i="3" s="1"/>
  <c r="R63" i="3" s="1"/>
  <c r="R64" i="3" s="1"/>
  <c r="R65" i="3" s="1"/>
  <c r="R66" i="3" s="1"/>
  <c r="R67" i="3" s="1"/>
  <c r="R68" i="3" s="1"/>
  <c r="R69" i="3" s="1"/>
  <c r="R70" i="3" s="1"/>
  <c r="R71" i="3" s="1"/>
  <c r="R72" i="3" s="1"/>
  <c r="R73" i="3" s="1"/>
  <c r="R74" i="3" s="1"/>
  <c r="R75" i="3" s="1"/>
  <c r="R76" i="3" s="1"/>
  <c r="R77" i="3" s="1"/>
  <c r="R78" i="3" s="1"/>
  <c r="R79" i="3" s="1"/>
  <c r="R80" i="3" s="1"/>
  <c r="R81" i="3" s="1"/>
  <c r="R82" i="3" s="1"/>
  <c r="R83" i="3" s="1"/>
  <c r="R84" i="3" s="1"/>
  <c r="R85" i="3" s="1"/>
  <c r="R86" i="3" s="1"/>
  <c r="R87" i="3" s="1"/>
  <c r="R88" i="3" s="1"/>
  <c r="R89" i="3" s="1"/>
  <c r="R90" i="3" s="1"/>
  <c r="R91" i="3" s="1"/>
  <c r="R92" i="3" s="1"/>
  <c r="R93" i="3" s="1"/>
  <c r="R94" i="3" s="1"/>
  <c r="R95" i="3" s="1"/>
  <c r="R96" i="3" s="1"/>
  <c r="R97" i="3" s="1"/>
  <c r="R98" i="3" s="1"/>
  <c r="R99" i="3" s="1"/>
  <c r="R100" i="3" s="1"/>
  <c r="R101" i="3" s="1"/>
  <c r="R102" i="3" s="1"/>
  <c r="R103" i="3" s="1"/>
  <c r="R104" i="3" s="1"/>
  <c r="R105" i="3" s="1"/>
  <c r="R106" i="3" s="1"/>
  <c r="R107" i="3" s="1"/>
  <c r="R108" i="3" s="1"/>
  <c r="R109" i="3" s="1"/>
  <c r="R110" i="3" s="1"/>
  <c r="R111" i="3" s="1"/>
  <c r="R112" i="3" s="1"/>
  <c r="R113" i="3" s="1"/>
  <c r="R114" i="3" s="1"/>
  <c r="R115" i="3" s="1"/>
  <c r="R116" i="3" s="1"/>
  <c r="R117" i="3" s="1"/>
  <c r="R118" i="3" s="1"/>
  <c r="R119" i="3" s="1"/>
  <c r="R120" i="3" s="1"/>
  <c r="R121" i="3" s="1"/>
  <c r="R122" i="3" s="1"/>
  <c r="R123" i="3" s="1"/>
  <c r="R124" i="3" s="1"/>
  <c r="R125" i="3" s="1"/>
  <c r="R126" i="3" s="1"/>
  <c r="R127" i="3" s="1"/>
  <c r="R128" i="3" s="1"/>
  <c r="R129" i="3" s="1"/>
  <c r="R130" i="3" s="1"/>
  <c r="R131" i="3" s="1"/>
  <c r="R132" i="3" s="1"/>
  <c r="R133" i="3" s="1"/>
  <c r="R134" i="3" s="1"/>
  <c r="R135" i="3" s="1"/>
  <c r="R136" i="3" s="1"/>
  <c r="R137" i="3" s="1"/>
  <c r="R138" i="3" s="1"/>
  <c r="R139" i="3" s="1"/>
  <c r="R140" i="3" s="1"/>
  <c r="R141" i="3" s="1"/>
  <c r="R142" i="3" s="1"/>
  <c r="R143" i="3" s="1"/>
  <c r="R144" i="3" s="1"/>
  <c r="R145" i="3" s="1"/>
  <c r="R146" i="3" s="1"/>
  <c r="R147" i="3" s="1"/>
  <c r="R148" i="3" s="1"/>
  <c r="R149" i="3" s="1"/>
  <c r="R150" i="3" s="1"/>
  <c r="R151" i="3" s="1"/>
  <c r="R152" i="3" s="1"/>
  <c r="R153" i="3" s="1"/>
  <c r="R154" i="3" s="1"/>
  <c r="R155" i="3" s="1"/>
  <c r="R156" i="3" s="1"/>
  <c r="R157" i="3" s="1"/>
  <c r="R158" i="3" s="1"/>
  <c r="R159" i="3" s="1"/>
  <c r="R160" i="3" s="1"/>
  <c r="R161" i="3" s="1"/>
  <c r="R162" i="3" s="1"/>
  <c r="R163" i="3" s="1"/>
  <c r="R164" i="3" s="1"/>
  <c r="R165" i="3" s="1"/>
  <c r="R166" i="3" s="1"/>
  <c r="R167" i="3" s="1"/>
  <c r="R168" i="3" s="1"/>
  <c r="R169" i="3" s="1"/>
  <c r="R170" i="3" s="1"/>
  <c r="R171" i="3" s="1"/>
  <c r="R172" i="3" s="1"/>
  <c r="R173" i="3" s="1"/>
  <c r="R174" i="3" s="1"/>
  <c r="R175" i="3" s="1"/>
  <c r="R176" i="3" s="1"/>
  <c r="R177" i="3" s="1"/>
  <c r="R178" i="3" s="1"/>
  <c r="R179" i="3" s="1"/>
  <c r="R180" i="3" s="1"/>
  <c r="R181" i="3" s="1"/>
  <c r="R182" i="3" s="1"/>
  <c r="R183" i="3" s="1"/>
  <c r="R184" i="3" s="1"/>
  <c r="R185" i="3" s="1"/>
  <c r="R186" i="3" s="1"/>
  <c r="R187" i="3" s="1"/>
  <c r="R188" i="3" s="1"/>
  <c r="R189" i="3" s="1"/>
  <c r="R190" i="3" s="1"/>
  <c r="R191" i="3" s="1"/>
  <c r="R192" i="3" s="1"/>
  <c r="R193" i="3" s="1"/>
  <c r="R194" i="3" s="1"/>
  <c r="R195" i="3" s="1"/>
  <c r="R196" i="3" s="1"/>
  <c r="R197" i="3" s="1"/>
  <c r="R198" i="3" s="1"/>
  <c r="R199" i="3" s="1"/>
  <c r="R200" i="3" s="1"/>
  <c r="R201" i="3" s="1"/>
  <c r="R202" i="3" s="1"/>
  <c r="R203" i="3" s="1"/>
  <c r="R204" i="3" s="1"/>
  <c r="R205" i="3" s="1"/>
  <c r="R206" i="3" s="1"/>
  <c r="R207" i="3" s="1"/>
  <c r="R208" i="3" s="1"/>
  <c r="R209" i="3" s="1"/>
  <c r="R210" i="3" s="1"/>
  <c r="R211" i="3" s="1"/>
  <c r="R212" i="3" s="1"/>
  <c r="R213" i="3" s="1"/>
  <c r="R214" i="3" s="1"/>
  <c r="R215" i="3" s="1"/>
  <c r="R216" i="3" s="1"/>
  <c r="R217" i="3" s="1"/>
  <c r="R218" i="3" s="1"/>
  <c r="R219" i="3" s="1"/>
  <c r="R220" i="3" s="1"/>
  <c r="R221" i="3" s="1"/>
  <c r="R222" i="3" s="1"/>
  <c r="R223" i="3" s="1"/>
  <c r="R224" i="3" s="1"/>
  <c r="R225" i="3" s="1"/>
  <c r="R226" i="3" s="1"/>
  <c r="R227" i="3" s="1"/>
  <c r="R228" i="3" s="1"/>
  <c r="R229" i="3" s="1"/>
  <c r="R230" i="3" s="1"/>
  <c r="R231" i="3" s="1"/>
  <c r="R232" i="3" s="1"/>
  <c r="R233" i="3" s="1"/>
  <c r="R234" i="3" s="1"/>
  <c r="R235" i="3" s="1"/>
  <c r="R236" i="3" s="1"/>
  <c r="R237" i="3" s="1"/>
  <c r="R238" i="3" s="1"/>
  <c r="R239" i="3" s="1"/>
  <c r="R240" i="3" s="1"/>
  <c r="R241" i="3" s="1"/>
  <c r="R242" i="3" s="1"/>
  <c r="R243" i="3" s="1"/>
  <c r="R244" i="3" s="1"/>
  <c r="R245" i="3" s="1"/>
  <c r="R246" i="3" s="1"/>
  <c r="R247" i="3" s="1"/>
  <c r="R248" i="3" s="1"/>
  <c r="R249" i="3" s="1"/>
  <c r="R250" i="3" s="1"/>
  <c r="R251" i="3" s="1"/>
  <c r="R252" i="3" s="1"/>
  <c r="R253" i="3" s="1"/>
  <c r="R254" i="3" s="1"/>
  <c r="R255" i="3" s="1"/>
  <c r="R256" i="3" s="1"/>
  <c r="R257" i="3" s="1"/>
  <c r="R258" i="3" s="1"/>
  <c r="R259" i="3" s="1"/>
  <c r="R260" i="3" s="1"/>
  <c r="R261" i="3" s="1"/>
  <c r="R262" i="3" s="1"/>
  <c r="R263" i="3" s="1"/>
  <c r="R264" i="3" s="1"/>
  <c r="R265" i="3" s="1"/>
  <c r="R266" i="3" s="1"/>
  <c r="R267" i="3" s="1"/>
  <c r="R268" i="3" s="1"/>
  <c r="R269" i="3" s="1"/>
  <c r="R270" i="3" s="1"/>
  <c r="R271" i="3" s="1"/>
  <c r="R272" i="3" s="1"/>
  <c r="R273" i="3" s="1"/>
  <c r="R274" i="3" s="1"/>
  <c r="R275" i="3" s="1"/>
  <c r="R276" i="3" s="1"/>
  <c r="R277" i="3" s="1"/>
  <c r="R278" i="3" s="1"/>
  <c r="R279" i="3" s="1"/>
  <c r="R280" i="3" s="1"/>
  <c r="R281" i="3" s="1"/>
  <c r="R282" i="3" s="1"/>
  <c r="R283" i="3" s="1"/>
  <c r="R284" i="3" s="1"/>
  <c r="R285" i="3" s="1"/>
  <c r="R286" i="3" s="1"/>
  <c r="R287" i="3" s="1"/>
  <c r="R288" i="3" s="1"/>
  <c r="R289" i="3" s="1"/>
  <c r="R290" i="3" s="1"/>
  <c r="R291" i="3" s="1"/>
  <c r="R292" i="3" s="1"/>
  <c r="R293" i="3" s="1"/>
  <c r="R294" i="3" s="1"/>
  <c r="R295" i="3" s="1"/>
  <c r="R296" i="3" s="1"/>
  <c r="R297" i="3" s="1"/>
  <c r="R298" i="3" s="1"/>
  <c r="R299" i="3" s="1"/>
  <c r="R300" i="3" s="1"/>
  <c r="R301" i="3" s="1"/>
  <c r="R302" i="3" s="1"/>
  <c r="R303" i="3" s="1"/>
  <c r="R304" i="3" s="1"/>
  <c r="R305" i="3" s="1"/>
  <c r="R306" i="3" s="1"/>
  <c r="R307" i="3" s="1"/>
  <c r="R308" i="3" s="1"/>
  <c r="R309" i="3" s="1"/>
  <c r="R310" i="3" s="1"/>
  <c r="R311" i="3" s="1"/>
  <c r="R312" i="3" s="1"/>
  <c r="R313" i="3" s="1"/>
  <c r="R314" i="3" s="1"/>
  <c r="R315" i="3" s="1"/>
  <c r="R316" i="3" s="1"/>
  <c r="R317" i="3" s="1"/>
  <c r="R318" i="3" s="1"/>
  <c r="R319" i="3" s="1"/>
  <c r="R320" i="3" s="1"/>
  <c r="R321" i="3" s="1"/>
  <c r="R322" i="3" s="1"/>
  <c r="R323" i="3" s="1"/>
  <c r="R324" i="3" s="1"/>
  <c r="R325" i="3" s="1"/>
  <c r="R326" i="3" s="1"/>
  <c r="R327" i="3" s="1"/>
  <c r="R328" i="3" s="1"/>
  <c r="R329" i="3" s="1"/>
  <c r="R330" i="3" s="1"/>
  <c r="R331" i="3" s="1"/>
  <c r="R332" i="3" s="1"/>
  <c r="R333" i="3" s="1"/>
  <c r="R334" i="3" s="1"/>
  <c r="R335" i="3" s="1"/>
  <c r="R336" i="3" s="1"/>
  <c r="R337" i="3" s="1"/>
  <c r="R338" i="3" s="1"/>
  <c r="R339" i="3" s="1"/>
  <c r="R340" i="3" s="1"/>
  <c r="R341" i="3" s="1"/>
  <c r="R342" i="3" s="1"/>
  <c r="R343" i="3" s="1"/>
  <c r="R344" i="3" s="1"/>
  <c r="R345" i="3" s="1"/>
  <c r="R346" i="3" s="1"/>
  <c r="R347" i="3" s="1"/>
  <c r="R348" i="3" s="1"/>
  <c r="R349" i="3" s="1"/>
  <c r="R350" i="3" s="1"/>
  <c r="R351" i="3" s="1"/>
  <c r="C7" i="1"/>
  <c r="Y14" i="3"/>
  <c r="AB16" i="3" l="1"/>
  <c r="AC16" i="3" s="1"/>
  <c r="AB17" i="3"/>
  <c r="AC17" i="3" s="1"/>
  <c r="S5" i="3"/>
  <c r="S6" i="3" s="1"/>
  <c r="S7" i="3" s="1"/>
  <c r="S8" i="3" s="1"/>
  <c r="S9" i="3" s="1"/>
  <c r="S10" i="3" s="1"/>
  <c r="S11" i="3" s="1"/>
  <c r="S12" i="3" s="1"/>
  <c r="S13" i="3" s="1"/>
  <c r="S14" i="3" s="1"/>
  <c r="S15" i="3" s="1"/>
  <c r="S16" i="3" s="1"/>
  <c r="S17" i="3" s="1"/>
  <c r="S18" i="3" s="1"/>
  <c r="S19" i="3" s="1"/>
  <c r="S20" i="3" s="1"/>
  <c r="S21" i="3" s="1"/>
  <c r="S22" i="3" s="1"/>
  <c r="S23" i="3" s="1"/>
  <c r="S24" i="3" s="1"/>
  <c r="S25" i="3" s="1"/>
  <c r="S26" i="3" s="1"/>
  <c r="S27" i="3" s="1"/>
  <c r="S28" i="3" s="1"/>
  <c r="S29" i="3" s="1"/>
  <c r="S30" i="3" s="1"/>
  <c r="S31" i="3" s="1"/>
  <c r="S32" i="3" s="1"/>
  <c r="S33" i="3" s="1"/>
  <c r="S34" i="3" s="1"/>
  <c r="S35" i="3" s="1"/>
  <c r="S36" i="3" s="1"/>
  <c r="S37" i="3" s="1"/>
  <c r="S38" i="3" s="1"/>
  <c r="S39" i="3" s="1"/>
  <c r="S40" i="3" s="1"/>
  <c r="S41" i="3" s="1"/>
  <c r="S42" i="3" s="1"/>
  <c r="S43" i="3" s="1"/>
  <c r="S44" i="3" s="1"/>
  <c r="S45" i="3" s="1"/>
  <c r="S46" i="3" s="1"/>
  <c r="S47" i="3" s="1"/>
  <c r="S48" i="3" s="1"/>
  <c r="S49" i="3" s="1"/>
  <c r="S50" i="3" s="1"/>
  <c r="S51" i="3" s="1"/>
  <c r="S52" i="3" s="1"/>
  <c r="S53" i="3" s="1"/>
  <c r="S54" i="3" s="1"/>
  <c r="S55" i="3" s="1"/>
  <c r="S56" i="3" s="1"/>
  <c r="S57" i="3" s="1"/>
  <c r="S58" i="3" s="1"/>
  <c r="S59" i="3" s="1"/>
  <c r="S60" i="3" s="1"/>
  <c r="S61" i="3" s="1"/>
  <c r="S62" i="3" s="1"/>
  <c r="S63" i="3" s="1"/>
  <c r="S64" i="3" s="1"/>
  <c r="S65" i="3" s="1"/>
  <c r="S66" i="3" s="1"/>
  <c r="S67" i="3" s="1"/>
  <c r="S68" i="3" s="1"/>
  <c r="S69" i="3" s="1"/>
  <c r="S70" i="3" s="1"/>
  <c r="S71" i="3" s="1"/>
  <c r="S72" i="3" s="1"/>
  <c r="S73" i="3" s="1"/>
  <c r="S74" i="3" s="1"/>
  <c r="S75" i="3" s="1"/>
  <c r="S76" i="3" s="1"/>
  <c r="S77" i="3" s="1"/>
  <c r="S78" i="3" s="1"/>
  <c r="S79" i="3" s="1"/>
  <c r="S80" i="3" s="1"/>
  <c r="S81" i="3" s="1"/>
  <c r="S82" i="3" s="1"/>
  <c r="S83" i="3" s="1"/>
  <c r="S84" i="3" s="1"/>
  <c r="S85" i="3" s="1"/>
  <c r="S86" i="3" s="1"/>
  <c r="S87" i="3" s="1"/>
  <c r="S88" i="3" s="1"/>
  <c r="S89" i="3" s="1"/>
  <c r="S90" i="3" s="1"/>
  <c r="S91" i="3" s="1"/>
  <c r="S92" i="3" s="1"/>
  <c r="S93" i="3" s="1"/>
  <c r="S94" i="3" s="1"/>
  <c r="S95" i="3" s="1"/>
  <c r="Z9" i="3"/>
  <c r="AC18" i="3" l="1"/>
  <c r="S96" i="3"/>
  <c r="S97" i="3" s="1"/>
  <c r="S98" i="3" s="1"/>
  <c r="S99" i="3" s="1"/>
  <c r="S100" i="3" s="1"/>
  <c r="S101" i="3" s="1"/>
  <c r="S102" i="3" s="1"/>
  <c r="S103" i="3" s="1"/>
  <c r="S104" i="3" s="1"/>
  <c r="S105" i="3" s="1"/>
  <c r="S106" i="3" s="1"/>
  <c r="S107" i="3" s="1"/>
  <c r="S108" i="3" s="1"/>
  <c r="S109" i="3" s="1"/>
  <c r="S110" i="3" s="1"/>
  <c r="S111" i="3" s="1"/>
  <c r="S112" i="3" s="1"/>
  <c r="S113" i="3" s="1"/>
  <c r="S114" i="3" s="1"/>
  <c r="S115" i="3" s="1"/>
  <c r="S116" i="3" s="1"/>
  <c r="S117" i="3" s="1"/>
  <c r="S118" i="3" s="1"/>
  <c r="S119" i="3" s="1"/>
  <c r="S120" i="3" s="1"/>
  <c r="S121" i="3" s="1"/>
  <c r="S122" i="3" s="1"/>
  <c r="S123" i="3" s="1"/>
  <c r="S124" i="3" s="1"/>
  <c r="S125" i="3" s="1"/>
  <c r="S126" i="3" s="1"/>
  <c r="S127" i="3" s="1"/>
  <c r="S128" i="3" s="1"/>
  <c r="S129" i="3" s="1"/>
  <c r="P23" i="4" l="1"/>
  <c r="R23" i="4" s="1"/>
  <c r="R24" i="4" s="1"/>
  <c r="P27" i="4"/>
  <c r="R27" i="4" s="1"/>
  <c r="P22" i="4"/>
  <c r="R22" i="4" s="1"/>
  <c r="P26" i="4"/>
  <c r="R26" i="4" s="1"/>
  <c r="R28" i="4" s="1"/>
  <c r="P24" i="4"/>
  <c r="P25" i="4"/>
  <c r="R25" i="4" s="1"/>
  <c r="S130" i="3"/>
  <c r="S131" i="3" s="1"/>
  <c r="S132" i="3" s="1"/>
  <c r="S133" i="3" s="1"/>
  <c r="S134" i="3" s="1"/>
  <c r="S135" i="3" s="1"/>
  <c r="S136" i="3" s="1"/>
  <c r="S137" i="3" s="1"/>
  <c r="S138" i="3" s="1"/>
  <c r="S139" i="3" s="1"/>
  <c r="S140" i="3" s="1"/>
  <c r="S141" i="3" s="1"/>
  <c r="S142" i="3" s="1"/>
  <c r="S143" i="3" s="1"/>
  <c r="S144" i="3" s="1"/>
  <c r="S145" i="3" s="1"/>
  <c r="S146" i="3" s="1"/>
  <c r="S147" i="3" s="1"/>
  <c r="S148" i="3" s="1"/>
  <c r="S149" i="3" s="1"/>
  <c r="S150" i="3" s="1"/>
  <c r="S151" i="3" s="1"/>
  <c r="S152" i="3" s="1"/>
  <c r="S153" i="3" s="1"/>
  <c r="S154" i="3" s="1"/>
  <c r="S155" i="3" s="1"/>
  <c r="S156" i="3" s="1"/>
  <c r="S157" i="3" s="1"/>
  <c r="S158" i="3" s="1"/>
  <c r="S159" i="3" s="1"/>
  <c r="S160" i="3" s="1"/>
  <c r="S161" i="3" s="1"/>
  <c r="S162" i="3" s="1"/>
  <c r="S163" i="3" s="1"/>
  <c r="S164" i="3" s="1"/>
  <c r="S165" i="3" s="1"/>
  <c r="S166" i="3" s="1"/>
  <c r="S167" i="3" s="1"/>
  <c r="S168" i="3" s="1"/>
  <c r="S169" i="3" s="1"/>
  <c r="S170" i="3" s="1"/>
  <c r="S171" i="3" s="1"/>
  <c r="S172" i="3" s="1"/>
  <c r="S173" i="3" s="1"/>
  <c r="S174" i="3" s="1"/>
  <c r="S175" i="3" s="1"/>
  <c r="S176" i="3" s="1"/>
  <c r="S177" i="3" s="1"/>
  <c r="S178" i="3" s="1"/>
  <c r="S179" i="3" s="1"/>
  <c r="S180" i="3" s="1"/>
  <c r="S181" i="3" s="1"/>
  <c r="S182" i="3" s="1"/>
  <c r="S183" i="3" s="1"/>
  <c r="S184" i="3" s="1"/>
  <c r="S185" i="3" s="1"/>
  <c r="S186" i="3" s="1"/>
  <c r="S187" i="3" s="1"/>
  <c r="S188" i="3" s="1"/>
  <c r="S189" i="3" s="1"/>
  <c r="S190" i="3" s="1"/>
  <c r="S191" i="3" s="1"/>
  <c r="S192" i="3" s="1"/>
  <c r="S193" i="3" s="1"/>
  <c r="S194" i="3" s="1"/>
  <c r="S195" i="3" s="1"/>
  <c r="S196" i="3" s="1"/>
  <c r="S197" i="3" s="1"/>
  <c r="S198" i="3" s="1"/>
  <c r="S199" i="3" s="1"/>
  <c r="S200" i="3" s="1"/>
  <c r="S201" i="3" s="1"/>
  <c r="S202" i="3" s="1"/>
  <c r="S203" i="3" s="1"/>
  <c r="S204" i="3" s="1"/>
  <c r="S205" i="3" s="1"/>
  <c r="S206" i="3" s="1"/>
  <c r="S207" i="3" s="1"/>
  <c r="S208" i="3" s="1"/>
  <c r="S209" i="3" s="1"/>
  <c r="S210" i="3" s="1"/>
  <c r="S211" i="3" s="1"/>
  <c r="S212" i="3" s="1"/>
  <c r="S213" i="3" s="1"/>
  <c r="S214" i="3" s="1"/>
  <c r="S215" i="3" s="1"/>
  <c r="S216" i="3" s="1"/>
  <c r="S217" i="3" s="1"/>
  <c r="S218" i="3" s="1"/>
  <c r="S219" i="3" s="1"/>
  <c r="S220" i="3" s="1"/>
  <c r="S221" i="3" s="1"/>
  <c r="S222" i="3" s="1"/>
  <c r="S223" i="3" s="1"/>
  <c r="S224" i="3" s="1"/>
  <c r="S225" i="3" s="1"/>
  <c r="S226" i="3" s="1"/>
  <c r="S227" i="3" s="1"/>
  <c r="S228" i="3" s="1"/>
  <c r="S229" i="3" s="1"/>
  <c r="S230" i="3" s="1"/>
  <c r="S231" i="3" s="1"/>
  <c r="S232" i="3" s="1"/>
  <c r="S233" i="3" s="1"/>
  <c r="S234" i="3" s="1"/>
  <c r="S235" i="3" s="1"/>
  <c r="S236" i="3" s="1"/>
  <c r="S237" i="3" s="1"/>
  <c r="S238" i="3" s="1"/>
  <c r="S239" i="3" s="1"/>
  <c r="S240" i="3" s="1"/>
  <c r="S241" i="3" s="1"/>
  <c r="S242" i="3" s="1"/>
  <c r="S243" i="3" s="1"/>
  <c r="S244" i="3" s="1"/>
  <c r="S245" i="3" s="1"/>
  <c r="S246" i="3" s="1"/>
  <c r="S247" i="3" s="1"/>
  <c r="S248" i="3" s="1"/>
  <c r="S249" i="3" s="1"/>
  <c r="S250" i="3" s="1"/>
  <c r="S251" i="3" s="1"/>
  <c r="S252" i="3" s="1"/>
  <c r="S253" i="3" s="1"/>
  <c r="S254" i="3" s="1"/>
  <c r="S255" i="3" s="1"/>
  <c r="S256" i="3" s="1"/>
  <c r="S257" i="3" s="1"/>
  <c r="S258" i="3" s="1"/>
  <c r="S259" i="3" s="1"/>
  <c r="S260" i="3" s="1"/>
  <c r="S261" i="3" s="1"/>
  <c r="S262" i="3" s="1"/>
  <c r="S263" i="3" s="1"/>
  <c r="S264" i="3" s="1"/>
  <c r="S265" i="3" s="1"/>
  <c r="S266" i="3" s="1"/>
  <c r="S267" i="3" s="1"/>
  <c r="S268" i="3" s="1"/>
  <c r="S269" i="3" s="1"/>
  <c r="S270" i="3" s="1"/>
  <c r="S271" i="3" s="1"/>
  <c r="S272" i="3" s="1"/>
  <c r="S273" i="3" s="1"/>
  <c r="S274" i="3" s="1"/>
  <c r="S275" i="3" s="1"/>
  <c r="S276" i="3" s="1"/>
  <c r="S277" i="3" s="1"/>
  <c r="S278" i="3" s="1"/>
  <c r="S279" i="3" s="1"/>
  <c r="S280" i="3" s="1"/>
  <c r="S281" i="3" s="1"/>
  <c r="S282" i="3" s="1"/>
  <c r="S283" i="3" s="1"/>
  <c r="S284" i="3" s="1"/>
  <c r="S285" i="3" s="1"/>
  <c r="S286" i="3" s="1"/>
  <c r="S287" i="3" s="1"/>
  <c r="S288" i="3" s="1"/>
  <c r="S289" i="3" s="1"/>
  <c r="S290" i="3" s="1"/>
  <c r="S291" i="3" s="1"/>
  <c r="S292" i="3" s="1"/>
  <c r="S293" i="3" s="1"/>
  <c r="S294" i="3" s="1"/>
  <c r="S295" i="3" s="1"/>
  <c r="S296" i="3" s="1"/>
  <c r="S297" i="3" s="1"/>
  <c r="S298" i="3" s="1"/>
  <c r="S299" i="3" s="1"/>
  <c r="S300" i="3" s="1"/>
  <c r="S301" i="3" s="1"/>
  <c r="S302" i="3" s="1"/>
  <c r="S303" i="3" s="1"/>
  <c r="S304" i="3" s="1"/>
  <c r="S305" i="3" s="1"/>
  <c r="S306" i="3" s="1"/>
  <c r="S307" i="3" s="1"/>
  <c r="S308" i="3" s="1"/>
  <c r="S309" i="3" s="1"/>
  <c r="S310" i="3" s="1"/>
  <c r="S311" i="3" s="1"/>
  <c r="S312" i="3" s="1"/>
  <c r="S313" i="3" s="1"/>
  <c r="S314" i="3" s="1"/>
  <c r="S315" i="3" s="1"/>
  <c r="S316" i="3" s="1"/>
  <c r="S317" i="3" s="1"/>
  <c r="S318" i="3" s="1"/>
  <c r="S319" i="3" s="1"/>
  <c r="S320" i="3" s="1"/>
  <c r="S321" i="3" s="1"/>
  <c r="S322" i="3" s="1"/>
  <c r="S323" i="3" s="1"/>
  <c r="S324" i="3" s="1"/>
  <c r="S325" i="3" s="1"/>
  <c r="S326" i="3" s="1"/>
  <c r="S327" i="3" s="1"/>
  <c r="S328" i="3" s="1"/>
  <c r="S329" i="3" s="1"/>
  <c r="S330" i="3" s="1"/>
  <c r="S331" i="3" s="1"/>
  <c r="S332" i="3" s="1"/>
  <c r="S333" i="3" s="1"/>
  <c r="S334" i="3" s="1"/>
  <c r="S335" i="3" s="1"/>
  <c r="S336" i="3" s="1"/>
  <c r="S337" i="3" s="1"/>
  <c r="S338" i="3" s="1"/>
  <c r="S339" i="3" s="1"/>
  <c r="S340" i="3" s="1"/>
  <c r="S341" i="3" s="1"/>
  <c r="S342" i="3" s="1"/>
  <c r="S343" i="3" s="1"/>
  <c r="S344" i="3" s="1"/>
  <c r="S345" i="3" s="1"/>
  <c r="S346" i="3" s="1"/>
  <c r="S347" i="3" s="1"/>
  <c r="S348" i="3" s="1"/>
  <c r="S349" i="3" s="1"/>
  <c r="S350" i="3" s="1"/>
  <c r="S351" i="3" s="1"/>
  <c r="Y17" i="3" l="1"/>
  <c r="Z17" i="3" s="1"/>
  <c r="Y16" i="3"/>
  <c r="Z16" i="3" s="1"/>
  <c r="Z10" i="3"/>
  <c r="AA10" i="3" s="1"/>
  <c r="Z18" i="3" l="1"/>
  <c r="Q14" i="4" s="1"/>
  <c r="Q13" i="4" l="1"/>
  <c r="Q18" i="4" s="1"/>
  <c r="P13" i="4" s="1"/>
  <c r="V29" i="4" l="1"/>
  <c r="Q19" i="4"/>
  <c r="P14" i="4" s="1"/>
  <c r="V19" i="4"/>
  <c r="U13" i="4"/>
  <c r="V14" i="4" s="1"/>
  <c r="V15" i="4" l="1"/>
  <c r="U9" i="4" s="1"/>
  <c r="U8" i="4"/>
  <c r="U29" i="4"/>
  <c r="U19" i="4"/>
  <c r="W18" i="4"/>
  <c r="V25" i="4"/>
  <c r="V23" i="4"/>
  <c r="V21" i="4"/>
  <c r="W28" i="4"/>
  <c r="V35" i="4"/>
  <c r="V33" i="4"/>
  <c r="V31" i="4"/>
  <c r="W29" i="4"/>
  <c r="W19" i="4"/>
  <c r="W25" i="4" l="1"/>
  <c r="W23" i="4"/>
  <c r="W21" i="4"/>
  <c r="W35" i="4"/>
  <c r="W33" i="4"/>
  <c r="W31" i="4"/>
  <c r="W34" i="4"/>
  <c r="W32" i="4"/>
  <c r="W30" i="4"/>
  <c r="W24" i="4"/>
  <c r="W20" i="4"/>
  <c r="W22" i="4"/>
</calcChain>
</file>

<file path=xl/sharedStrings.xml><?xml version="1.0" encoding="utf-8"?>
<sst xmlns="http://schemas.openxmlformats.org/spreadsheetml/2006/main" count="267" uniqueCount="153">
  <si>
    <t>m</t>
  </si>
  <si>
    <t>ton/m³</t>
  </si>
  <si>
    <t>Peso Carga</t>
  </si>
  <si>
    <t>Peso Leve</t>
  </si>
  <si>
    <t>Peso Casco</t>
  </si>
  <si>
    <t>Peso Superestrutura</t>
  </si>
  <si>
    <t>Peso Outfit</t>
  </si>
  <si>
    <t>Tanques</t>
  </si>
  <si>
    <t>Comprimento</t>
  </si>
  <si>
    <t>Casco</t>
  </si>
  <si>
    <t>Outfiting</t>
  </si>
  <si>
    <t>Superestrutura</t>
  </si>
  <si>
    <t>L (m)</t>
  </si>
  <si>
    <t>Peso Casco (ton/m)</t>
  </si>
  <si>
    <t>Peso Outfit (ton/m)</t>
  </si>
  <si>
    <t>Peso Superestrutura (ton/m)</t>
  </si>
  <si>
    <t>p(x) (ton/m)</t>
  </si>
  <si>
    <t>b(x) (ton/m)</t>
  </si>
  <si>
    <t>q(x) (ton/m)</t>
  </si>
  <si>
    <t>Q(x) (ton/m)</t>
  </si>
  <si>
    <t>M(x) (ton/m)</t>
  </si>
  <si>
    <t>Ângulo de Trim (°) =</t>
  </si>
  <si>
    <t>Ângulo de Trim (rad) =</t>
  </si>
  <si>
    <t>Calado Médio (m) =</t>
  </si>
  <si>
    <t>Momento Fletor (Último ponto) (ton.m) =</t>
  </si>
  <si>
    <t>Força Cortante (Último ponto) (ton) =</t>
  </si>
  <si>
    <t>-</t>
  </si>
  <si>
    <t>m³</t>
  </si>
  <si>
    <t>Carregamento</t>
  </si>
  <si>
    <t>Quantidade</t>
  </si>
  <si>
    <t>t</t>
  </si>
  <si>
    <t>T(x) (m)</t>
  </si>
  <si>
    <t>p*L</t>
  </si>
  <si>
    <t>LCG</t>
  </si>
  <si>
    <t>Largura</t>
  </si>
  <si>
    <t xml:space="preserve">Altura </t>
  </si>
  <si>
    <t>Capacidades</t>
  </si>
  <si>
    <t>Capacidade total</t>
  </si>
  <si>
    <t>p1</t>
  </si>
  <si>
    <t>p2</t>
  </si>
  <si>
    <t>p3</t>
  </si>
  <si>
    <t>p4</t>
  </si>
  <si>
    <t>x</t>
  </si>
  <si>
    <t>y</t>
  </si>
  <si>
    <t xml:space="preserve"> </t>
  </si>
  <si>
    <t>p5</t>
  </si>
  <si>
    <t>% de carregamento</t>
  </si>
  <si>
    <t>Posição de tanques</t>
  </si>
  <si>
    <t>densidade da carga</t>
  </si>
  <si>
    <t>Comprimento da Superestrutura</t>
  </si>
  <si>
    <t>Água salgada</t>
  </si>
  <si>
    <t>Água doce</t>
  </si>
  <si>
    <t>Densidade da Água</t>
  </si>
  <si>
    <t>t/m³</t>
  </si>
  <si>
    <t xml:space="preserve">t </t>
  </si>
  <si>
    <t>Boca</t>
  </si>
  <si>
    <t>Pontal</t>
  </si>
  <si>
    <t>t/m</t>
  </si>
  <si>
    <t>Carga</t>
  </si>
  <si>
    <t>Petróleo</t>
  </si>
  <si>
    <t>Água</t>
  </si>
  <si>
    <t>Soja</t>
  </si>
  <si>
    <t>Minério de ferro</t>
  </si>
  <si>
    <t>Coeficiente de seção</t>
  </si>
  <si>
    <t>Acessórios</t>
  </si>
  <si>
    <t>Bauxita</t>
  </si>
  <si>
    <r>
      <t>Calado T</t>
    </r>
    <r>
      <rPr>
        <b/>
        <vertAlign val="subscript"/>
        <sz val="11"/>
        <color theme="1"/>
        <rFont val="Arial"/>
        <family val="2"/>
      </rPr>
      <t xml:space="preserve"> médio atual</t>
    </r>
  </si>
  <si>
    <r>
      <t xml:space="preserve">Peso Total </t>
    </r>
    <r>
      <rPr>
        <b/>
        <vertAlign val="subscript"/>
        <sz val="11"/>
        <color theme="1"/>
        <rFont val="Arial"/>
        <family val="2"/>
      </rPr>
      <t>atual</t>
    </r>
  </si>
  <si>
    <r>
      <t xml:space="preserve">DADOS DA EMBARCAÇÃO
</t>
    </r>
    <r>
      <rPr>
        <b/>
        <sz val="9"/>
        <color theme="0"/>
        <rFont val="Arial"/>
        <family val="2"/>
      </rPr>
      <t>Navio caixa</t>
    </r>
  </si>
  <si>
    <t>Mar calmo</t>
  </si>
  <si>
    <t>Alquebramento</t>
  </si>
  <si>
    <t>Tosamento</t>
  </si>
  <si>
    <t>Londa</t>
  </si>
  <si>
    <t>Aonda</t>
  </si>
  <si>
    <t>PARABÓLICA</t>
  </si>
  <si>
    <t>Peso por metro tanques</t>
  </si>
  <si>
    <t>SUPERESTRUTURA</t>
  </si>
  <si>
    <t>meia nau</t>
  </si>
  <si>
    <t>a vante</t>
  </si>
  <si>
    <t>a ré</t>
  </si>
  <si>
    <t>COMPARTIMENTOS</t>
  </si>
  <si>
    <t>C1</t>
  </si>
  <si>
    <t>C2</t>
  </si>
  <si>
    <t>C3</t>
  </si>
  <si>
    <t>C4</t>
  </si>
  <si>
    <t>C5</t>
  </si>
  <si>
    <t>Peso Praça de Máquinas</t>
  </si>
  <si>
    <t>PM</t>
  </si>
  <si>
    <t>Peso PM (ton/m)</t>
  </si>
  <si>
    <t>dimensão praça de máquinas</t>
  </si>
  <si>
    <t>loa</t>
  </si>
  <si>
    <t>boa</t>
  </si>
  <si>
    <t>pontal</t>
  </si>
  <si>
    <t>Cb</t>
  </si>
  <si>
    <t>mm</t>
  </si>
  <si>
    <t>esp convés</t>
  </si>
  <si>
    <t>esp costado</t>
  </si>
  <si>
    <t>esp fundo</t>
  </si>
  <si>
    <t>costado BB</t>
  </si>
  <si>
    <t>costado BE</t>
  </si>
  <si>
    <t xml:space="preserve">fundo </t>
  </si>
  <si>
    <t>A (m²)</t>
  </si>
  <si>
    <t>Z quilha (m)</t>
  </si>
  <si>
    <t>M (m³)</t>
  </si>
  <si>
    <t>Y Ln</t>
  </si>
  <si>
    <t>Ip (m4)</t>
  </si>
  <si>
    <t>Z ln (m)</t>
  </si>
  <si>
    <t>Itransf</t>
  </si>
  <si>
    <t>I tot</t>
  </si>
  <si>
    <t>m4</t>
  </si>
  <si>
    <t>min</t>
  </si>
  <si>
    <t>max</t>
  </si>
  <si>
    <t>Linha Neutra</t>
  </si>
  <si>
    <t>Linha de Centro</t>
  </si>
  <si>
    <t>compressão</t>
  </si>
  <si>
    <t>tração</t>
  </si>
  <si>
    <t xml:space="preserve">Aço </t>
  </si>
  <si>
    <t>Mpa</t>
  </si>
  <si>
    <t>eixo secun</t>
  </si>
  <si>
    <t>colapso convés</t>
  </si>
  <si>
    <t>colapso fundo</t>
  </si>
  <si>
    <t>convés</t>
  </si>
  <si>
    <t>Posição Superestrutura</t>
  </si>
  <si>
    <t>C6</t>
  </si>
  <si>
    <t>C7</t>
  </si>
  <si>
    <t>C8</t>
  </si>
  <si>
    <t>Ambiente</t>
  </si>
  <si>
    <t>Situação de mar</t>
  </si>
  <si>
    <t>Chapa de Convés</t>
  </si>
  <si>
    <t>Chapa de Costado</t>
  </si>
  <si>
    <t>Chapa de Fundo</t>
  </si>
  <si>
    <t>Praça de Máquinas</t>
  </si>
  <si>
    <t>Peso total de Carga</t>
  </si>
  <si>
    <t>DADOS PARA CÁLCULO ESTRUTURAL</t>
  </si>
  <si>
    <t>Peso Carga - C1 (ton/m)</t>
  </si>
  <si>
    <t>Peso Carga - C2 (ton/m)</t>
  </si>
  <si>
    <t>Peso Carga - C3 (ton/m)</t>
  </si>
  <si>
    <t>Peso Carga - C4 (ton/m)</t>
  </si>
  <si>
    <t>Peso Carga - C5 (ton/m)</t>
  </si>
  <si>
    <t>Peso Carga - C6 (ton/m)</t>
  </si>
  <si>
    <t>Peso Carga - C7 (ton/m)</t>
  </si>
  <si>
    <t>Peso Carga - C8 (ton/m)</t>
  </si>
  <si>
    <t>Comprimento da Praça de Máquinas</t>
  </si>
  <si>
    <r>
      <t xml:space="preserve">Distribuição de peso de casco e Acessórios. </t>
    </r>
    <r>
      <rPr>
        <b/>
        <sz val="8"/>
        <color theme="1"/>
        <rFont val="Arial"/>
        <family val="2"/>
      </rPr>
      <t>(100=uniforme; 0=Parabólica)</t>
    </r>
  </si>
  <si>
    <r>
      <t xml:space="preserve">Seção crítica - tensões máximas devido ao momento fletor
</t>
    </r>
    <r>
      <rPr>
        <sz val="5"/>
        <color theme="1"/>
        <rFont val="Calibri"/>
        <family val="2"/>
        <scheme val="minor"/>
      </rPr>
      <t>Estrutra Global</t>
    </r>
  </si>
  <si>
    <t>Ms</t>
  </si>
  <si>
    <t>A</t>
  </si>
  <si>
    <t>B</t>
  </si>
  <si>
    <t>C</t>
  </si>
  <si>
    <t>D</t>
  </si>
  <si>
    <t>E</t>
  </si>
  <si>
    <t>ζ</t>
  </si>
  <si>
    <t>A ré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</si>
</sst>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00"/>
    <numFmt numFmtId="166" formatCode="0.000000000000"/>
    <numFmt numFmtId="167" formatCode="0.000"/>
  </numFmts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b/>
      <sz val="11"/>
      <color theme="0"/>
      <name val="Arial"/>
      <family val="2"/>
    </font>
    <font>
      <b/>
      <sz val="9"/>
      <color theme="0"/>
      <name val="Arial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5"/>
      <color theme="1"/>
      <name val="Calibri"/>
      <family val="2"/>
      <scheme val="minor"/>
    </font>
    <font>
      <sz val="11"/>
      <name val="Arial"/>
      <family val="2"/>
    </font>
    <font>
      <sz val="9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9">
    <xf numFmtId="0" fontId="0" fillId="0" borderId="0" xfId="0"/>
    <xf numFmtId="0" fontId="2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2" fillId="0" borderId="0" xfId="0" applyFont="1" applyProtection="1">
      <protection hidden="1"/>
    </xf>
    <xf numFmtId="0" fontId="3" fillId="4" borderId="13" xfId="0" applyFont="1" applyFill="1" applyBorder="1" applyAlignment="1" applyProtection="1">
      <alignment horizontal="center" vertical="center"/>
      <protection hidden="1"/>
    </xf>
    <xf numFmtId="0" fontId="0" fillId="2" borderId="0" xfId="0" applyFill="1"/>
    <xf numFmtId="0" fontId="0" fillId="2" borderId="0" xfId="0" applyFill="1" applyAlignment="1">
      <alignment horizontal="center"/>
    </xf>
    <xf numFmtId="0" fontId="8" fillId="2" borderId="0" xfId="0" applyFont="1" applyFill="1"/>
    <xf numFmtId="164" fontId="0" fillId="2" borderId="0" xfId="0" applyNumberFormat="1" applyFill="1"/>
    <xf numFmtId="0" fontId="8" fillId="2" borderId="0" xfId="0" applyFont="1" applyFill="1" applyAlignment="1">
      <alignment horizontal="center" vertical="center"/>
    </xf>
    <xf numFmtId="164" fontId="8" fillId="2" borderId="0" xfId="0" applyNumberFormat="1" applyFont="1" applyFill="1" applyAlignment="1">
      <alignment horizontal="center" vertical="center"/>
    </xf>
    <xf numFmtId="164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 vertical="center"/>
    </xf>
    <xf numFmtId="2" fontId="0" fillId="2" borderId="0" xfId="0" applyNumberFormat="1" applyFill="1"/>
    <xf numFmtId="166" fontId="0" fillId="2" borderId="0" xfId="0" applyNumberFormat="1" applyFill="1"/>
    <xf numFmtId="164" fontId="0" fillId="2" borderId="0" xfId="0" applyNumberFormat="1" applyFill="1" applyAlignment="1">
      <alignment horizontal="center" vertical="center"/>
    </xf>
    <xf numFmtId="0" fontId="12" fillId="2" borderId="0" xfId="0" applyFont="1" applyFill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horizontal="left" vertical="center"/>
      <protection hidden="1"/>
    </xf>
    <xf numFmtId="0" fontId="12" fillId="2" borderId="0" xfId="0" applyFont="1" applyFill="1" applyAlignment="1" applyProtection="1">
      <alignment horizontal="center" vertical="center"/>
      <protection locked="0" hidden="1"/>
    </xf>
    <xf numFmtId="0" fontId="8" fillId="0" borderId="0" xfId="0" applyFont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2" fontId="0" fillId="0" borderId="0" xfId="0" applyNumberFormat="1" applyAlignment="1" applyProtection="1">
      <alignment horizontal="center" vertical="center"/>
      <protection hidden="1"/>
    </xf>
    <xf numFmtId="165" fontId="0" fillId="0" borderId="0" xfId="0" applyNumberFormat="1" applyAlignment="1" applyProtection="1">
      <alignment horizontal="center" vertical="center"/>
      <protection locked="0" hidden="1"/>
    </xf>
    <xf numFmtId="2" fontId="0" fillId="0" borderId="0" xfId="0" applyNumberFormat="1" applyAlignment="1" applyProtection="1">
      <alignment horizontal="center" vertical="center"/>
      <protection locked="0" hidden="1"/>
    </xf>
    <xf numFmtId="2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17" xfId="0" applyBorder="1"/>
    <xf numFmtId="0" fontId="0" fillId="0" borderId="18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" fontId="0" fillId="0" borderId="5" xfId="0" applyNumberFormat="1" applyBorder="1"/>
    <xf numFmtId="2" fontId="0" fillId="0" borderId="2" xfId="0" applyNumberFormat="1" applyBorder="1"/>
    <xf numFmtId="0" fontId="13" fillId="0" borderId="0" xfId="0" applyFont="1"/>
    <xf numFmtId="0" fontId="10" fillId="2" borderId="0" xfId="0" applyFont="1" applyFill="1" applyAlignment="1">
      <alignment horizontal="center" vertical="center"/>
    </xf>
    <xf numFmtId="0" fontId="0" fillId="0" borderId="0" xfId="0" applyAlignment="1">
      <alignment horizontal="center" wrapText="1"/>
    </xf>
    <xf numFmtId="0" fontId="3" fillId="4" borderId="7" xfId="0" applyFont="1" applyFill="1" applyBorder="1" applyAlignment="1" applyProtection="1">
      <alignment horizontal="center" vertical="center"/>
      <protection hidden="1"/>
    </xf>
    <xf numFmtId="0" fontId="2" fillId="0" borderId="7" xfId="0" applyFont="1" applyBorder="1" applyAlignment="1" applyProtection="1">
      <alignment vertical="center"/>
      <protection hidden="1"/>
    </xf>
    <xf numFmtId="0" fontId="0" fillId="0" borderId="7" xfId="0" applyBorder="1"/>
    <xf numFmtId="0" fontId="2" fillId="0" borderId="13" xfId="0" applyFont="1" applyBorder="1" applyAlignment="1" applyProtection="1">
      <alignment vertical="center"/>
      <protection hidden="1"/>
    </xf>
    <xf numFmtId="0" fontId="2" fillId="0" borderId="20" xfId="0" applyFont="1" applyBorder="1" applyAlignment="1" applyProtection="1">
      <alignment vertical="center"/>
      <protection hidden="1"/>
    </xf>
    <xf numFmtId="0" fontId="0" fillId="0" borderId="21" xfId="0" applyBorder="1"/>
    <xf numFmtId="0" fontId="2" fillId="0" borderId="14" xfId="0" applyFont="1" applyBorder="1" applyAlignment="1" applyProtection="1">
      <alignment vertical="center"/>
      <protection hidden="1"/>
    </xf>
    <xf numFmtId="0" fontId="2" fillId="3" borderId="0" xfId="0" applyFont="1" applyFill="1" applyAlignment="1" applyProtection="1">
      <alignment vertical="center"/>
      <protection hidden="1"/>
    </xf>
    <xf numFmtId="0" fontId="2" fillId="0" borderId="25" xfId="0" applyFont="1" applyBorder="1" applyAlignment="1" applyProtection="1">
      <alignment vertical="center"/>
      <protection hidden="1"/>
    </xf>
    <xf numFmtId="0" fontId="2" fillId="2" borderId="7" xfId="0" applyFont="1" applyFill="1" applyBorder="1" applyAlignment="1" applyProtection="1">
      <alignment horizontal="left" vertical="center"/>
      <protection hidden="1"/>
    </xf>
    <xf numFmtId="0" fontId="8" fillId="0" borderId="0" xfId="0" applyFont="1" applyAlignment="1" applyProtection="1">
      <alignment vertical="center" wrapText="1"/>
      <protection hidden="1"/>
    </xf>
    <xf numFmtId="0" fontId="2" fillId="5" borderId="0" xfId="0" applyFont="1" applyFill="1" applyAlignment="1" applyProtection="1">
      <alignment vertical="center"/>
      <protection hidden="1"/>
    </xf>
    <xf numFmtId="0" fontId="3" fillId="5" borderId="7" xfId="0" applyFont="1" applyFill="1" applyBorder="1" applyAlignment="1" applyProtection="1">
      <alignment horizontal="left" vertical="center"/>
      <protection hidden="1"/>
    </xf>
    <xf numFmtId="0" fontId="3" fillId="5" borderId="13" xfId="0" applyFont="1" applyFill="1" applyBorder="1" applyAlignment="1" applyProtection="1">
      <alignment horizontal="left" vertical="center"/>
      <protection hidden="1"/>
    </xf>
    <xf numFmtId="0" fontId="3" fillId="5" borderId="23" xfId="0" applyFont="1" applyFill="1" applyBorder="1" applyAlignment="1" applyProtection="1">
      <alignment horizontal="left" vertical="center"/>
      <protection hidden="1"/>
    </xf>
    <xf numFmtId="0" fontId="3" fillId="5" borderId="23" xfId="0" applyFont="1" applyFill="1" applyBorder="1" applyAlignment="1" applyProtection="1">
      <alignment horizontal="left" vertical="center" wrapText="1"/>
      <protection hidden="1"/>
    </xf>
    <xf numFmtId="0" fontId="3" fillId="5" borderId="16" xfId="0" applyFont="1" applyFill="1" applyBorder="1" applyAlignment="1" applyProtection="1">
      <alignment horizontal="left" vertical="center" wrapText="1"/>
      <protection hidden="1"/>
    </xf>
    <xf numFmtId="0" fontId="3" fillId="5" borderId="12" xfId="0" applyFont="1" applyFill="1" applyBorder="1" applyAlignment="1" applyProtection="1">
      <alignment horizontal="center" vertical="center"/>
      <protection hidden="1"/>
    </xf>
    <xf numFmtId="0" fontId="3" fillId="5" borderId="15" xfId="0" applyFont="1" applyFill="1" applyBorder="1" applyAlignment="1" applyProtection="1">
      <alignment horizontal="center" vertical="center"/>
      <protection hidden="1"/>
    </xf>
    <xf numFmtId="0" fontId="3" fillId="5" borderId="11" xfId="0" applyFont="1" applyFill="1" applyBorder="1" applyAlignment="1" applyProtection="1">
      <alignment horizontal="left" vertical="center"/>
      <protection hidden="1"/>
    </xf>
    <xf numFmtId="0" fontId="3" fillId="5" borderId="19" xfId="0" applyFont="1" applyFill="1" applyBorder="1" applyAlignment="1" applyProtection="1">
      <alignment horizontal="left" vertical="center"/>
      <protection hidden="1"/>
    </xf>
    <xf numFmtId="0" fontId="3" fillId="5" borderId="7" xfId="0" applyFont="1" applyFill="1" applyBorder="1" applyAlignment="1" applyProtection="1">
      <alignment horizontal="left" vertical="center" wrapText="1"/>
      <protection hidden="1"/>
    </xf>
    <xf numFmtId="0" fontId="2" fillId="6" borderId="7" xfId="0" applyFont="1" applyFill="1" applyBorder="1" applyAlignment="1" applyProtection="1">
      <alignment horizontal="center" vertical="center"/>
      <protection hidden="1"/>
    </xf>
    <xf numFmtId="2" fontId="2" fillId="6" borderId="7" xfId="0" applyNumberFormat="1" applyFont="1" applyFill="1" applyBorder="1" applyAlignment="1" applyProtection="1">
      <alignment horizontal="center" vertical="center"/>
      <protection hidden="1"/>
    </xf>
    <xf numFmtId="164" fontId="16" fillId="6" borderId="13" xfId="0" applyNumberFormat="1" applyFont="1" applyFill="1" applyBorder="1" applyAlignment="1" applyProtection="1">
      <alignment horizontal="center" vertical="center"/>
      <protection hidden="1"/>
    </xf>
    <xf numFmtId="2" fontId="16" fillId="6" borderId="13" xfId="0" applyNumberFormat="1" applyFont="1" applyFill="1" applyBorder="1" applyAlignment="1" applyProtection="1">
      <alignment horizontal="center" vertical="center"/>
      <protection hidden="1"/>
    </xf>
    <xf numFmtId="0" fontId="3" fillId="5" borderId="7" xfId="0" applyFont="1" applyFill="1" applyBorder="1" applyAlignment="1" applyProtection="1">
      <alignment horizontal="right" vertical="center"/>
      <protection hidden="1"/>
    </xf>
    <xf numFmtId="0" fontId="3" fillId="5" borderId="13" xfId="0" applyFont="1" applyFill="1" applyBorder="1" applyAlignment="1" applyProtection="1">
      <alignment horizontal="right" vertical="center"/>
      <protection hidden="1"/>
    </xf>
    <xf numFmtId="0" fontId="3" fillId="5" borderId="0" xfId="0" applyFont="1" applyFill="1" applyAlignment="1" applyProtection="1">
      <alignment horizontal="center" vertical="center"/>
      <protection hidden="1"/>
    </xf>
    <xf numFmtId="167" fontId="0" fillId="0" borderId="0" xfId="0" applyNumberFormat="1"/>
    <xf numFmtId="0" fontId="0" fillId="0" borderId="0" xfId="0" applyAlignment="1">
      <alignment horizontal="center" vertical="center"/>
    </xf>
    <xf numFmtId="0" fontId="18" fillId="0" borderId="0" xfId="0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2" fillId="7" borderId="0" xfId="0" applyFont="1" applyFill="1" applyProtection="1">
      <protection hidden="1"/>
    </xf>
    <xf numFmtId="0" fontId="2" fillId="7" borderId="0" xfId="0" applyFont="1" applyFill="1" applyAlignment="1" applyProtection="1">
      <alignment vertical="center"/>
      <protection hidden="1"/>
    </xf>
    <xf numFmtId="0" fontId="2" fillId="7" borderId="0" xfId="0" applyFont="1" applyFill="1" applyAlignment="1" applyProtection="1">
      <alignment horizontal="center" vertical="center"/>
      <protection hidden="1"/>
    </xf>
    <xf numFmtId="0" fontId="3" fillId="7" borderId="0" xfId="0" applyFont="1" applyFill="1" applyAlignment="1" applyProtection="1">
      <alignment horizontal="center" vertical="center"/>
      <protection hidden="1"/>
    </xf>
    <xf numFmtId="164" fontId="3" fillId="7" borderId="0" xfId="0" applyNumberFormat="1" applyFont="1" applyFill="1" applyAlignment="1" applyProtection="1">
      <alignment horizontal="center" vertical="center"/>
      <protection hidden="1"/>
    </xf>
    <xf numFmtId="164" fontId="2" fillId="7" borderId="0" xfId="0" applyNumberFormat="1" applyFont="1" applyFill="1" applyAlignment="1" applyProtection="1">
      <alignment horizontal="center" vertical="center"/>
      <protection hidden="1"/>
    </xf>
    <xf numFmtId="1" fontId="15" fillId="2" borderId="7" xfId="0" applyNumberFormat="1" applyFont="1" applyFill="1" applyBorder="1" applyAlignment="1" applyProtection="1">
      <alignment horizontal="center" vertical="center"/>
      <protection locked="0" hidden="1"/>
    </xf>
    <xf numFmtId="0" fontId="0" fillId="2" borderId="0" xfId="0" applyFill="1" applyProtection="1">
      <protection locked="0" hidden="1"/>
    </xf>
    <xf numFmtId="2" fontId="0" fillId="2" borderId="0" xfId="0" applyNumberFormat="1" applyFill="1" applyProtection="1">
      <protection locked="0" hidden="1"/>
    </xf>
    <xf numFmtId="0" fontId="5" fillId="3" borderId="8" xfId="0" applyFont="1" applyFill="1" applyBorder="1" applyAlignment="1" applyProtection="1">
      <alignment horizontal="center" vertical="center" wrapText="1"/>
      <protection hidden="1"/>
    </xf>
    <xf numFmtId="0" fontId="5" fillId="3" borderId="9" xfId="0" applyFont="1" applyFill="1" applyBorder="1" applyAlignment="1" applyProtection="1">
      <alignment horizontal="center" vertical="center" wrapText="1"/>
      <protection hidden="1"/>
    </xf>
    <xf numFmtId="0" fontId="5" fillId="3" borderId="10" xfId="0" applyFont="1" applyFill="1" applyBorder="1" applyAlignment="1" applyProtection="1">
      <alignment horizontal="center" vertical="center" wrapText="1"/>
      <protection hidden="1"/>
    </xf>
    <xf numFmtId="0" fontId="5" fillId="3" borderId="11" xfId="0" applyFont="1" applyFill="1" applyBorder="1" applyAlignment="1" applyProtection="1">
      <alignment horizontal="center" vertical="center" wrapText="1"/>
      <protection hidden="1"/>
    </xf>
    <xf numFmtId="0" fontId="5" fillId="3" borderId="7" xfId="0" applyFont="1" applyFill="1" applyBorder="1" applyAlignment="1" applyProtection="1">
      <alignment horizontal="center" vertical="center" wrapText="1"/>
      <protection hidden="1"/>
    </xf>
    <xf numFmtId="0" fontId="5" fillId="3" borderId="12" xfId="0" applyFont="1" applyFill="1" applyBorder="1" applyAlignment="1" applyProtection="1">
      <alignment horizontal="center" vertical="center" wrapText="1"/>
      <protection hidden="1"/>
    </xf>
    <xf numFmtId="0" fontId="5" fillId="3" borderId="22" xfId="0" applyFont="1" applyFill="1" applyBorder="1" applyAlignment="1" applyProtection="1">
      <alignment horizontal="center" vertical="center" wrapText="1"/>
      <protection hidden="1"/>
    </xf>
    <xf numFmtId="0" fontId="5" fillId="3" borderId="24" xfId="0" applyFont="1" applyFill="1" applyBorder="1" applyAlignment="1" applyProtection="1">
      <alignment horizontal="center" vertical="center" wrapText="1"/>
      <protection hidden="1"/>
    </xf>
    <xf numFmtId="0" fontId="5" fillId="3" borderId="23" xfId="0" applyFont="1" applyFill="1" applyBorder="1" applyAlignment="1" applyProtection="1">
      <alignment horizontal="center" vertical="center" wrapText="1"/>
      <protection hidden="1"/>
    </xf>
    <xf numFmtId="0" fontId="5" fillId="3" borderId="14" xfId="0" applyFont="1" applyFill="1" applyBorder="1" applyAlignment="1" applyProtection="1">
      <alignment horizontal="center" vertical="center" wrapText="1"/>
      <protection hidden="1"/>
    </xf>
    <xf numFmtId="0" fontId="5" fillId="3" borderId="25" xfId="0" applyFont="1" applyFill="1" applyBorder="1" applyAlignment="1" applyProtection="1">
      <alignment horizontal="center" vertical="center" wrapText="1"/>
      <protection hidden="1"/>
    </xf>
    <xf numFmtId="0" fontId="3" fillId="5" borderId="20" xfId="0" applyFont="1" applyFill="1" applyBorder="1" applyAlignment="1" applyProtection="1">
      <alignment horizontal="left" vertical="center" wrapText="1"/>
      <protection hidden="1"/>
    </xf>
    <xf numFmtId="0" fontId="3" fillId="5" borderId="26" xfId="0" applyFont="1" applyFill="1" applyBorder="1" applyAlignment="1" applyProtection="1">
      <alignment horizontal="left" vertical="center" wrapText="1"/>
      <protection hidden="1"/>
    </xf>
    <xf numFmtId="0" fontId="3" fillId="5" borderId="23" xfId="0" applyFont="1" applyFill="1" applyBorder="1" applyAlignment="1" applyProtection="1">
      <alignment horizontal="left" vertical="center" wrapText="1"/>
      <protection hidden="1"/>
    </xf>
    <xf numFmtId="0" fontId="2" fillId="7" borderId="0" xfId="0" applyFont="1" applyFill="1" applyAlignment="1" applyProtection="1">
      <alignment horizontal="center" vertical="center"/>
      <protection hidden="1"/>
    </xf>
    <xf numFmtId="0" fontId="5" fillId="7" borderId="0" xfId="0" applyFont="1" applyFill="1" applyAlignment="1" applyProtection="1">
      <alignment horizontal="center" vertical="center"/>
      <protection hidden="1"/>
    </xf>
    <xf numFmtId="2" fontId="16" fillId="6" borderId="21" xfId="0" applyNumberFormat="1" applyFont="1" applyFill="1" applyBorder="1" applyAlignment="1" applyProtection="1">
      <alignment horizontal="center" vertical="center"/>
      <protection hidden="1"/>
    </xf>
    <xf numFmtId="2" fontId="16" fillId="6" borderId="27" xfId="0" applyNumberFormat="1" applyFont="1" applyFill="1" applyBorder="1" applyAlignment="1" applyProtection="1">
      <alignment horizontal="center" vertical="center"/>
      <protection hidden="1"/>
    </xf>
    <xf numFmtId="2" fontId="16" fillId="6" borderId="16" xfId="0" applyNumberFormat="1" applyFont="1" applyFill="1" applyBorder="1" applyAlignment="1" applyProtection="1">
      <alignment horizontal="center" vertical="center"/>
      <protection hidden="1"/>
    </xf>
    <xf numFmtId="0" fontId="9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11" fillId="2" borderId="0" xfId="0" applyFont="1" applyFill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center" vertical="center"/>
      <protection hidden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4B4B4"/>
      <color rgb="FFECECEC"/>
      <color rgb="FF0080F0"/>
      <color rgb="FF00B0F0"/>
      <color rgb="FF0000FF"/>
      <color rgb="FFFF0000"/>
      <color rgb="FFDDDDDD"/>
      <color rgb="FFEAEAEA"/>
      <color rgb="FFBEBEBE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14081434044357155"/>
          <c:w val="0.97491076115485564"/>
          <c:h val="0.69902504232393214"/>
        </c:manualLayout>
      </c:layout>
      <c:barChart>
        <c:barDir val="col"/>
        <c:grouping val="stack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val>
            <c:numRef>
              <c:f>CARGAS!$B$70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61-4719-ABCC-4F0D6DFAEB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21656463"/>
        <c:axId val="915675663"/>
      </c:barChart>
      <c:catAx>
        <c:axId val="921656463"/>
        <c:scaling>
          <c:orientation val="minMax"/>
        </c:scaling>
        <c:delete val="1"/>
        <c:axPos val="b"/>
        <c:majorTickMark val="none"/>
        <c:minorTickMark val="none"/>
        <c:tickLblPos val="nextTo"/>
        <c:crossAx val="915675663"/>
        <c:crosses val="autoZero"/>
        <c:auto val="1"/>
        <c:lblAlgn val="ctr"/>
        <c:lblOffset val="100"/>
        <c:noMultiLvlLbl val="0"/>
      </c:catAx>
      <c:valAx>
        <c:axId val="915675663"/>
        <c:scaling>
          <c:orientation val="minMax"/>
          <c:max val="1"/>
        </c:scaling>
        <c:delete val="1"/>
        <c:axPos val="l"/>
        <c:numFmt formatCode="General" sourceLinked="1"/>
        <c:majorTickMark val="none"/>
        <c:minorTickMark val="none"/>
        <c:tickLblPos val="nextTo"/>
        <c:crossAx val="921656463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14081434044357155"/>
          <c:w val="0.97491076115485564"/>
          <c:h val="0.69902504232393214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CE2C-400C-9EC1-EB12918B5C6A}"/>
              </c:ext>
            </c:extLst>
          </c:dPt>
          <c:val>
            <c:numRef>
              <c:f>CARGAS!$B$68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F3-4F20-BDE4-6067A219AF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21656463"/>
        <c:axId val="915675663"/>
      </c:barChart>
      <c:catAx>
        <c:axId val="921656463"/>
        <c:scaling>
          <c:orientation val="minMax"/>
        </c:scaling>
        <c:delete val="1"/>
        <c:axPos val="b"/>
        <c:majorTickMark val="none"/>
        <c:minorTickMark val="none"/>
        <c:tickLblPos val="nextTo"/>
        <c:crossAx val="915675663"/>
        <c:crosses val="autoZero"/>
        <c:auto val="1"/>
        <c:lblAlgn val="ctr"/>
        <c:lblOffset val="100"/>
        <c:noMultiLvlLbl val="0"/>
      </c:catAx>
      <c:valAx>
        <c:axId val="915675663"/>
        <c:scaling>
          <c:orientation val="minMax"/>
          <c:max val="1"/>
        </c:scaling>
        <c:delete val="1"/>
        <c:axPos val="l"/>
        <c:numFmt formatCode="General" sourceLinked="1"/>
        <c:majorTickMark val="none"/>
        <c:minorTickMark val="none"/>
        <c:tickLblPos val="nextTo"/>
        <c:crossAx val="921656463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292495221945365E-3"/>
          <c:y val="2.7972596967133345E-2"/>
          <c:w val="0.85486438064714165"/>
          <c:h val="0.71613287649768176"/>
        </c:manualLayout>
      </c:layout>
      <c:barChart>
        <c:barDir val="col"/>
        <c:grouping val="stacked"/>
        <c:varyColors val="1"/>
        <c:ser>
          <c:idx val="0"/>
          <c:order val="0"/>
          <c:spPr>
            <a:blipFill dpi="0" rotWithShape="1">
              <a:blip xmlns:r="http://schemas.openxmlformats.org/officeDocument/2006/relationships" r:embed="rId3">
                <a:alphaModFix amt="69000"/>
              </a:blip>
              <a:srcRect/>
              <a:stretch>
                <a:fillRect/>
              </a:stretch>
            </a:blipFill>
            <a:ln w="25400">
              <a:solidFill>
                <a:schemeClr val="tx1"/>
              </a:solidFill>
            </a:ln>
          </c:spPr>
          <c:invertIfNegative val="0"/>
          <c:pictureOptions>
            <c:pictureFormat val="stretch"/>
          </c:pictureOptions>
          <c:dPt>
            <c:idx val="0"/>
            <c:invertIfNegative val="0"/>
            <c:bubble3D val="0"/>
            <c:spPr>
              <a:blipFill dpi="0" rotWithShape="1">
                <a:blip xmlns:r="http://schemas.openxmlformats.org/officeDocument/2006/relationships" r:embed="rId3">
                  <a:alphaModFix amt="69000"/>
                </a:blip>
                <a:srcRect/>
                <a:stretch>
                  <a:fillRect/>
                </a:stretch>
              </a:blipFill>
              <a:ln w="25400">
                <a:solidFill>
                  <a:schemeClr val="tx1"/>
                </a:solidFill>
              </a:ln>
              <a:effectLst/>
            </c:spPr>
            <c:pictureOptions>
              <c:pictureFormat val="stretch"/>
            </c:pictureOptions>
            <c:extLst>
              <c:ext xmlns:c16="http://schemas.microsoft.com/office/drawing/2014/chart" uri="{C3380CC4-5D6E-409C-BE32-E72D297353CC}">
                <c16:uniqueId val="{00000000-4F2B-4ACD-B11E-80E35387C325}"/>
              </c:ext>
            </c:extLst>
          </c:dPt>
          <c:dPt>
            <c:idx val="1"/>
            <c:invertIfNegative val="0"/>
            <c:bubble3D val="0"/>
            <c:spPr>
              <a:blipFill dpi="0" rotWithShape="1">
                <a:blip xmlns:r="http://schemas.openxmlformats.org/officeDocument/2006/relationships" r:embed="rId3">
                  <a:alphaModFix amt="69000"/>
                </a:blip>
                <a:srcRect/>
                <a:stretch>
                  <a:fillRect/>
                </a:stretch>
              </a:blipFill>
              <a:ln w="25400">
                <a:solidFill>
                  <a:schemeClr val="tx1"/>
                </a:solidFill>
              </a:ln>
              <a:effectLst/>
            </c:spPr>
            <c:pictureOptions>
              <c:pictureFormat val="stretch"/>
            </c:pictureOptions>
            <c:extLst>
              <c:ext xmlns:c16="http://schemas.microsoft.com/office/drawing/2014/chart" uri="{C3380CC4-5D6E-409C-BE32-E72D297353CC}">
                <c16:uniqueId val="{00000001-4F2B-4ACD-B11E-80E35387C325}"/>
              </c:ext>
            </c:extLst>
          </c:dPt>
          <c:dPt>
            <c:idx val="2"/>
            <c:invertIfNegative val="0"/>
            <c:bubble3D val="0"/>
            <c:spPr>
              <a:blipFill dpi="0" rotWithShape="1">
                <a:blip xmlns:r="http://schemas.openxmlformats.org/officeDocument/2006/relationships" r:embed="rId3">
                  <a:alphaModFix amt="69000"/>
                </a:blip>
                <a:srcRect/>
                <a:stretch>
                  <a:fillRect/>
                </a:stretch>
              </a:blipFill>
              <a:ln w="25400">
                <a:solidFill>
                  <a:schemeClr val="tx1"/>
                </a:solidFill>
              </a:ln>
              <a:effectLst/>
            </c:spPr>
            <c:pictureOptions>
              <c:pictureFormat val="stretch"/>
            </c:pictureOptions>
            <c:extLst>
              <c:ext xmlns:c16="http://schemas.microsoft.com/office/drawing/2014/chart" uri="{C3380CC4-5D6E-409C-BE32-E72D297353CC}">
                <c16:uniqueId val="{00000002-4F2B-4ACD-B11E-80E35387C325}"/>
              </c:ext>
            </c:extLst>
          </c:dPt>
          <c:dPt>
            <c:idx val="3"/>
            <c:invertIfNegative val="0"/>
            <c:bubble3D val="0"/>
            <c:spPr>
              <a:blipFill dpi="0" rotWithShape="1">
                <a:blip xmlns:r="http://schemas.openxmlformats.org/officeDocument/2006/relationships" r:embed="rId3">
                  <a:alphaModFix amt="69000"/>
                </a:blip>
                <a:srcRect/>
                <a:stretch>
                  <a:fillRect/>
                </a:stretch>
              </a:blipFill>
              <a:ln w="25400">
                <a:solidFill>
                  <a:schemeClr val="tx1"/>
                </a:solidFill>
              </a:ln>
              <a:effectLst/>
            </c:spPr>
            <c:pictureOptions>
              <c:pictureFormat val="stretch"/>
            </c:pictureOptions>
            <c:extLst>
              <c:ext xmlns:c16="http://schemas.microsoft.com/office/drawing/2014/chart" uri="{C3380CC4-5D6E-409C-BE32-E72D297353CC}">
                <c16:uniqueId val="{00000003-4F2B-4ACD-B11E-80E35387C325}"/>
              </c:ext>
            </c:extLst>
          </c:dPt>
          <c:dPt>
            <c:idx val="4"/>
            <c:invertIfNegative val="0"/>
            <c:bubble3D val="0"/>
            <c:spPr>
              <a:blipFill dpi="0" rotWithShape="1">
                <a:blip xmlns:r="http://schemas.openxmlformats.org/officeDocument/2006/relationships" r:embed="rId3">
                  <a:alphaModFix amt="69000"/>
                </a:blip>
                <a:srcRect/>
                <a:stretch>
                  <a:fillRect/>
                </a:stretch>
              </a:blipFill>
              <a:ln w="25400">
                <a:solidFill>
                  <a:schemeClr val="tx1"/>
                </a:solidFill>
              </a:ln>
              <a:effectLst/>
            </c:spPr>
            <c:pictureOptions>
              <c:pictureFormat val="stretch"/>
            </c:pictureOptions>
            <c:extLst>
              <c:ext xmlns:c16="http://schemas.microsoft.com/office/drawing/2014/chart" uri="{C3380CC4-5D6E-409C-BE32-E72D297353CC}">
                <c16:uniqueId val="{00000004-4F2B-4ACD-B11E-80E35387C325}"/>
              </c:ext>
            </c:extLst>
          </c:dPt>
          <c:dPt>
            <c:idx val="5"/>
            <c:invertIfNegative val="0"/>
            <c:bubble3D val="0"/>
            <c:spPr>
              <a:blipFill dpi="0" rotWithShape="1">
                <a:blip xmlns:r="http://schemas.openxmlformats.org/officeDocument/2006/relationships" r:embed="rId3">
                  <a:alphaModFix amt="69000"/>
                </a:blip>
                <a:srcRect/>
                <a:stretch>
                  <a:fillRect/>
                </a:stretch>
              </a:blipFill>
              <a:ln w="25400">
                <a:solidFill>
                  <a:schemeClr val="tx1"/>
                </a:solidFill>
              </a:ln>
              <a:effectLst/>
            </c:spPr>
            <c:pictureOptions>
              <c:pictureFormat val="stretch"/>
            </c:pictureOptions>
            <c:extLst>
              <c:ext xmlns:c16="http://schemas.microsoft.com/office/drawing/2014/chart" uri="{C3380CC4-5D6E-409C-BE32-E72D297353CC}">
                <c16:uniqueId val="{0000000A-8C48-458E-A6C6-D98E25791A5B}"/>
              </c:ext>
            </c:extLst>
          </c:dPt>
          <c:dPt>
            <c:idx val="6"/>
            <c:invertIfNegative val="0"/>
            <c:bubble3D val="0"/>
            <c:spPr>
              <a:blipFill dpi="0" rotWithShape="1">
                <a:blip xmlns:r="http://schemas.openxmlformats.org/officeDocument/2006/relationships" r:embed="rId3">
                  <a:alphaModFix amt="69000"/>
                </a:blip>
                <a:srcRect/>
                <a:stretch>
                  <a:fillRect/>
                </a:stretch>
              </a:blipFill>
              <a:ln w="25400">
                <a:solidFill>
                  <a:schemeClr val="tx1"/>
                </a:solidFill>
              </a:ln>
              <a:effectLst/>
            </c:spPr>
            <c:pictureOptions>
              <c:pictureFormat val="stretch"/>
            </c:pictureOptions>
            <c:extLst>
              <c:ext xmlns:c16="http://schemas.microsoft.com/office/drawing/2014/chart" uri="{C3380CC4-5D6E-409C-BE32-E72D297353CC}">
                <c16:uniqueId val="{0000000B-8C48-458E-A6C6-D98E25791A5B}"/>
              </c:ext>
            </c:extLst>
          </c:dPt>
          <c:dPt>
            <c:idx val="7"/>
            <c:invertIfNegative val="0"/>
            <c:bubble3D val="0"/>
            <c:spPr>
              <a:blipFill dpi="0" rotWithShape="1">
                <a:blip xmlns:r="http://schemas.openxmlformats.org/officeDocument/2006/relationships" r:embed="rId3">
                  <a:alphaModFix amt="69000"/>
                </a:blip>
                <a:srcRect/>
                <a:stretch>
                  <a:fillRect/>
                </a:stretch>
              </a:blipFill>
              <a:ln w="25400">
                <a:solidFill>
                  <a:schemeClr val="tx1"/>
                </a:solidFill>
              </a:ln>
              <a:effectLst/>
            </c:spPr>
            <c:pictureOptions>
              <c:pictureFormat val="stretch"/>
            </c:pictureOptions>
            <c:extLst>
              <c:ext xmlns:c16="http://schemas.microsoft.com/office/drawing/2014/chart" uri="{C3380CC4-5D6E-409C-BE32-E72D297353CC}">
                <c16:uniqueId val="{0000000C-8C48-458E-A6C6-D98E25791A5B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201B67DA-FDA3-41B7-967B-DF285D13C7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4F2B-4ACD-B11E-80E35387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C32A9B8-7E12-4CD0-AC72-BBD0A0B129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F2B-4ACD-B11E-80E35387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DCD844A-1B38-493A-BA68-38576D50F9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F2B-4ACD-B11E-80E35387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EC7B154-861D-450C-99E4-6CDC2B6E2E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F2B-4ACD-B11E-80E35387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D41076C-B067-4CC5-8BA5-82BAC7B3ED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F2B-4ACD-B11E-80E35387C32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AD18279-B410-4155-B393-A63203E0BA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C48-458E-A6C6-D98E25791A5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20736F5-8159-40F8-A425-AB84DE132C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C48-458E-A6C6-D98E25791A5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D4E2B93-4808-4E43-80ED-0D32293957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C48-458E-A6C6-D98E25791A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ln w="1905">
                      <a:solidFill>
                        <a:schemeClr val="bg1"/>
                      </a:solidFill>
                    </a:ln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val>
            <c:numRef>
              <c:f>CARGAS!$B$7:$B$14</c:f>
              <c:numCache>
                <c:formatCode>General</c:formatCode>
                <c:ptCount val="8"/>
                <c:pt idx="0">
                  <c:v>13860</c:v>
                </c:pt>
                <c:pt idx="1">
                  <c:v>10533.6</c:v>
                </c:pt>
                <c:pt idx="2">
                  <c:v>19958.400000000001</c:v>
                </c:pt>
                <c:pt idx="3">
                  <c:v>27720</c:v>
                </c:pt>
                <c:pt idx="4">
                  <c:v>27720</c:v>
                </c:pt>
                <c:pt idx="5">
                  <c:v>19403.999999999996</c:v>
                </c:pt>
                <c:pt idx="6">
                  <c:v>27720</c:v>
                </c:pt>
                <c:pt idx="7">
                  <c:v>27720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CARGAS!$F$7:$F$15</c15:f>
                <c15:dlblRangeCache>
                  <c:ptCount val="9"/>
                  <c:pt idx="0">
                    <c:v>C1
 11781 t</c:v>
                  </c:pt>
                  <c:pt idx="1">
                    <c:v>C2
 8953.56 t</c:v>
                  </c:pt>
                  <c:pt idx="2">
                    <c:v>C3
 16964.64 t</c:v>
                  </c:pt>
                  <c:pt idx="3">
                    <c:v>C4
 23562 t</c:v>
                  </c:pt>
                  <c:pt idx="4">
                    <c:v>C5
 23562 t</c:v>
                  </c:pt>
                  <c:pt idx="5">
                    <c:v>C6
 16493.4 t</c:v>
                  </c:pt>
                  <c:pt idx="6">
                    <c:v>C7
 23562 t</c:v>
                  </c:pt>
                  <c:pt idx="7">
                    <c:v>C8
 23562 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4F2B-4ACD-B11E-80E35387C3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"/>
        <c:overlap val="100"/>
        <c:axId val="216507263"/>
        <c:axId val="29412672"/>
      </c:barChart>
      <c:catAx>
        <c:axId val="216507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29412672"/>
        <c:crosses val="autoZero"/>
        <c:auto val="1"/>
        <c:lblAlgn val="ctr"/>
        <c:lblOffset val="100"/>
        <c:noMultiLvlLbl val="0"/>
      </c:catAx>
      <c:valAx>
        <c:axId val="29412672"/>
        <c:scaling>
          <c:orientation val="minMax"/>
          <c:max val="28412.999999999996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165072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ln w="1905">
            <a:solidFill>
              <a:schemeClr val="bg1"/>
            </a:solidFill>
          </a:ln>
          <a:solidFill>
            <a:schemeClr val="bg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14081434044357155"/>
          <c:w val="0.97491076115485564"/>
          <c:h val="0.69902504232393214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9CC-452E-A0C4-FDCE6F84626D}"/>
              </c:ext>
            </c:extLst>
          </c:dPt>
          <c:val>
            <c:numRef>
              <c:f>CARGAS!$B$69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CC-452E-A0C4-FDCE6F846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21656463"/>
        <c:axId val="915675663"/>
      </c:barChart>
      <c:catAx>
        <c:axId val="921656463"/>
        <c:scaling>
          <c:orientation val="minMax"/>
        </c:scaling>
        <c:delete val="1"/>
        <c:axPos val="b"/>
        <c:majorTickMark val="none"/>
        <c:minorTickMark val="none"/>
        <c:tickLblPos val="nextTo"/>
        <c:crossAx val="915675663"/>
        <c:crosses val="autoZero"/>
        <c:auto val="1"/>
        <c:lblAlgn val="ctr"/>
        <c:lblOffset val="100"/>
        <c:noMultiLvlLbl val="0"/>
      </c:catAx>
      <c:valAx>
        <c:axId val="915675663"/>
        <c:scaling>
          <c:orientation val="minMax"/>
          <c:max val="1"/>
        </c:scaling>
        <c:delete val="1"/>
        <c:axPos val="l"/>
        <c:numFmt formatCode="General" sourceLinked="1"/>
        <c:majorTickMark val="none"/>
        <c:minorTickMark val="none"/>
        <c:tickLblPos val="nextTo"/>
        <c:crossAx val="921656463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189603218558001E-2"/>
          <c:y val="0.14600431184780113"/>
          <c:w val="0.96480029644297427"/>
          <c:h val="0.7211762116972692"/>
        </c:manualLayout>
      </c:layout>
      <c:scatterChart>
        <c:scatterStyle val="smoothMarker"/>
        <c:varyColors val="0"/>
        <c:ser>
          <c:idx val="0"/>
          <c:order val="0"/>
          <c:spPr>
            <a:ln w="50800" cap="rnd" cmpd="sng">
              <a:solidFill>
                <a:srgbClr val="0080F0">
                  <a:alpha val="52000"/>
                </a:srgbClr>
              </a:solidFill>
              <a:round/>
              <a:headEnd type="none"/>
            </a:ln>
            <a:effectLst>
              <a:glow>
                <a:schemeClr val="accent1"/>
              </a:glow>
            </a:effectLst>
          </c:spPr>
          <c:marker>
            <c:symbol val="none"/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367-45C5-B67E-F706CA29E5B7}"/>
                </c:ext>
              </c:extLst>
            </c:dLbl>
            <c:dLbl>
              <c:idx val="17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67-45C5-B67E-F706CA29E5B7}"/>
                </c:ext>
              </c:extLst>
            </c:dLbl>
            <c:dLbl>
              <c:idx val="34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67-45C5-B67E-F706CA29E5B7}"/>
                </c:ext>
              </c:extLst>
            </c:dLbl>
            <c:spPr>
              <a:solidFill>
                <a:schemeClr val="bg1">
                  <a:lumMod val="95000"/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ln w="6350">
                      <a:solidFill>
                        <a:schemeClr val="tx1"/>
                      </a:solidFill>
                    </a:ln>
                    <a:solidFill>
                      <a:srgbClr val="FFC000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Equilibrio!$A$2:$A$1048576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</c:numCache>
            </c:numRef>
          </c:xVal>
          <c:yVal>
            <c:numRef>
              <c:f>Equilibrio!$O$2:$O$450</c:f>
              <c:numCache>
                <c:formatCode>0.00</c:formatCode>
                <c:ptCount val="449"/>
                <c:pt idx="0">
                  <c:v>27.276894311567908</c:v>
                </c:pt>
                <c:pt idx="1">
                  <c:v>27.280123518849241</c:v>
                </c:pt>
                <c:pt idx="2">
                  <c:v>27.280534732190766</c:v>
                </c:pt>
                <c:pt idx="3">
                  <c:v>27.278130222670537</c:v>
                </c:pt>
                <c:pt idx="4">
                  <c:v>27.272913168773105</c:v>
                </c:pt>
                <c:pt idx="5">
                  <c:v>27.264887655365243</c:v>
                </c:pt>
                <c:pt idx="6">
                  <c:v>27.254058672379504</c:v>
                </c:pt>
                <c:pt idx="7">
                  <c:v>27.240432113206154</c:v>
                </c:pt>
                <c:pt idx="8">
                  <c:v>27.224014772793964</c:v>
                </c:pt>
                <c:pt idx="9">
                  <c:v>27.204814345460417</c:v>
                </c:pt>
                <c:pt idx="10">
                  <c:v>27.182839422412108</c:v>
                </c:pt>
                <c:pt idx="11">
                  <c:v>27.158099488976131</c:v>
                </c:pt>
                <c:pt idx="12">
                  <c:v>27.130604921543256</c:v>
                </c:pt>
                <c:pt idx="13">
                  <c:v>27.100366984224038</c:v>
                </c:pt>
                <c:pt idx="14">
                  <c:v>27.067397825218762</c:v>
                </c:pt>
                <c:pt idx="15">
                  <c:v>27.031710472902525</c:v>
                </c:pt>
                <c:pt idx="16">
                  <c:v>26.993318831626656</c:v>
                </c:pt>
                <c:pt idx="17">
                  <c:v>26.952237677237861</c:v>
                </c:pt>
                <c:pt idx="18">
                  <c:v>26.908482652316465</c:v>
                </c:pt>
                <c:pt idx="19">
                  <c:v>26.86207026113539</c:v>
                </c:pt>
                <c:pt idx="20">
                  <c:v>26.813017864341418</c:v>
                </c:pt>
                <c:pt idx="21">
                  <c:v>26.761343673360468</c:v>
                </c:pt>
                <c:pt idx="22">
                  <c:v>26.707066744528728</c:v>
                </c:pt>
                <c:pt idx="23">
                  <c:v>26.650206972951452</c:v>
                </c:pt>
                <c:pt idx="24">
                  <c:v>26.590785086091493</c:v>
                </c:pt>
                <c:pt idx="25">
                  <c:v>26.528822637089601</c:v>
                </c:pt>
                <c:pt idx="26">
                  <c:v>26.464341997818593</c:v>
                </c:pt>
                <c:pt idx="27">
                  <c:v>26.397366351673718</c:v>
                </c:pt>
                <c:pt idx="28">
                  <c:v>26.32791968610147</c:v>
                </c:pt>
                <c:pt idx="29">
                  <c:v>26.256026784869295</c:v>
                </c:pt>
                <c:pt idx="30">
                  <c:v>26.181713220078688</c:v>
                </c:pt>
                <c:pt idx="31">
                  <c:v>26.105005343924201</c:v>
                </c:pt>
                <c:pt idx="32">
                  <c:v>26.025930280201077</c:v>
                </c:pt>
                <c:pt idx="33">
                  <c:v>25.944515915564235</c:v>
                </c:pt>
                <c:pt idx="34">
                  <c:v>25.860790890541399</c:v>
                </c:pt>
                <c:pt idx="35">
                  <c:v>25.774784590303273</c:v>
                </c:pt>
                <c:pt idx="36">
                  <c:v>25.686527135193771</c:v>
                </c:pt>
                <c:pt idx="37">
                  <c:v>25.59604937102328</c:v>
                </c:pt>
                <c:pt idx="38">
                  <c:v>25.503382859128205</c:v>
                </c:pt>
                <c:pt idx="39">
                  <c:v>25.408559866199845</c:v>
                </c:pt>
                <c:pt idx="40">
                  <c:v>25.31161335388601</c:v>
                </c:pt>
                <c:pt idx="41">
                  <c:v>25.212576968168655</c:v>
                </c:pt>
                <c:pt idx="42">
                  <c:v>25.111485028521017</c:v>
                </c:pt>
                <c:pt idx="43">
                  <c:v>25.008372516847633</c:v>
                </c:pt>
                <c:pt idx="44">
                  <c:v>24.903275066210956</c:v>
                </c:pt>
                <c:pt idx="45">
                  <c:v>24.796228949348098</c:v>
                </c:pt>
                <c:pt idx="46">
                  <c:v>24.68727106698142</c:v>
                </c:pt>
                <c:pt idx="47">
                  <c:v>24.576438935926742</c:v>
                </c:pt>
                <c:pt idx="48">
                  <c:v>24.463770677003041</c:v>
                </c:pt>
                <c:pt idx="49">
                  <c:v>24.349305002747446</c:v>
                </c:pt>
                <c:pt idx="50">
                  <c:v>24.23308120493963</c:v>
                </c:pt>
                <c:pt idx="51">
                  <c:v>24.115139141939412</c:v>
                </c:pt>
                <c:pt idx="52">
                  <c:v>23.995519225841882</c:v>
                </c:pt>
                <c:pt idx="53">
                  <c:v>23.874262409454019</c:v>
                </c:pt>
                <c:pt idx="54">
                  <c:v>23.751410173097067</c:v>
                </c:pt>
                <c:pt idx="55">
                  <c:v>23.627004511238919</c:v>
                </c:pt>
                <c:pt idx="56">
                  <c:v>23.501087918960803</c:v>
                </c:pt>
                <c:pt idx="57">
                  <c:v>23.373703378262636</c:v>
                </c:pt>
                <c:pt idx="58">
                  <c:v>23.244894344211492</c:v>
                </c:pt>
                <c:pt idx="59">
                  <c:v>23.11470473093755</c:v>
                </c:pt>
                <c:pt idx="60">
                  <c:v>22.98317889748218</c:v>
                </c:pt>
                <c:pt idx="61">
                  <c:v>22.850361633502601</c:v>
                </c:pt>
                <c:pt idx="62">
                  <c:v>22.716298144837779</c:v>
                </c:pt>
                <c:pt idx="63">
                  <c:v>22.581034038940217</c:v>
                </c:pt>
                <c:pt idx="64">
                  <c:v>22.444615310178285</c:v>
                </c:pt>
                <c:pt idx="65">
                  <c:v>22.307088325013911</c:v>
                </c:pt>
                <c:pt idx="66">
                  <c:v>22.168499807060318</c:v>
                </c:pt>
                <c:pt idx="67">
                  <c:v>22.028896822024688</c:v>
                </c:pt>
                <c:pt idx="68">
                  <c:v>21.888326762540558</c:v>
                </c:pt>
                <c:pt idx="69">
                  <c:v>21.746837332894884</c:v>
                </c:pt>
                <c:pt idx="70">
                  <c:v>21.604476533654662</c:v>
                </c:pt>
                <c:pt idx="71">
                  <c:v>21.461292646198064</c:v>
                </c:pt>
                <c:pt idx="72">
                  <c:v>21.317334217155071</c:v>
                </c:pt>
                <c:pt idx="73">
                  <c:v>21.172650042762658</c:v>
                </c:pt>
                <c:pt idx="74">
                  <c:v>21.027289153139485</c:v>
                </c:pt>
                <c:pt idx="75">
                  <c:v>20.881300796485277</c:v>
                </c:pt>
                <c:pt idx="76">
                  <c:v>20.734734423209883</c:v>
                </c:pt>
                <c:pt idx="77">
                  <c:v>20.587639669997174</c:v>
                </c:pt>
                <c:pt idx="78">
                  <c:v>20.44006634380893</c:v>
                </c:pt>
                <c:pt idx="79">
                  <c:v>20.292064405833859</c:v>
                </c:pt>
                <c:pt idx="80">
                  <c:v>20.143683955386855</c:v>
                </c:pt>
                <c:pt idx="81">
                  <c:v>19.994975213763812</c:v>
                </c:pt>
                <c:pt idx="82">
                  <c:v>19.845988508057108</c:v>
                </c:pt>
                <c:pt idx="83">
                  <c:v>19.696774254936976</c:v>
                </c:pt>
                <c:pt idx="84">
                  <c:v>19.547382944404021</c:v>
                </c:pt>
                <c:pt idx="85">
                  <c:v>19.397865123518095</c:v>
                </c:pt>
                <c:pt idx="86">
                  <c:v>19.2482713801088</c:v>
                </c:pt>
                <c:pt idx="87">
                  <c:v>19.098652326472866</c:v>
                </c:pt>
                <c:pt idx="88">
                  <c:v>18.949058583063575</c:v>
                </c:pt>
                <c:pt idx="89">
                  <c:v>18.799540762177649</c:v>
                </c:pt>
                <c:pt idx="90">
                  <c:v>18.65014945164469</c:v>
                </c:pt>
                <c:pt idx="91">
                  <c:v>18.500935198524559</c:v>
                </c:pt>
                <c:pt idx="92">
                  <c:v>18.351948492817861</c:v>
                </c:pt>
                <c:pt idx="93">
                  <c:v>18.203239751194818</c:v>
                </c:pt>
                <c:pt idx="94">
                  <c:v>18.054859300747808</c:v>
                </c:pt>
                <c:pt idx="95">
                  <c:v>17.906857362772733</c:v>
                </c:pt>
                <c:pt idx="96">
                  <c:v>17.7592840365845</c:v>
                </c:pt>
                <c:pt idx="97">
                  <c:v>17.612189283371791</c:v>
                </c:pt>
                <c:pt idx="98">
                  <c:v>17.465622910096393</c:v>
                </c:pt>
                <c:pt idx="99">
                  <c:v>17.319634553442185</c:v>
                </c:pt>
                <c:pt idx="100">
                  <c:v>17.174273663819012</c:v>
                </c:pt>
                <c:pt idx="101">
                  <c:v>17.029589489426598</c:v>
                </c:pt>
                <c:pt idx="102">
                  <c:v>16.885631060383609</c:v>
                </c:pt>
                <c:pt idx="103">
                  <c:v>16.742447172927005</c:v>
                </c:pt>
                <c:pt idx="104">
                  <c:v>16.600086373686786</c:v>
                </c:pt>
                <c:pt idx="105">
                  <c:v>16.458596944041112</c:v>
                </c:pt>
                <c:pt idx="106">
                  <c:v>16.318026884556986</c:v>
                </c:pt>
                <c:pt idx="107">
                  <c:v>16.178423899521352</c:v>
                </c:pt>
                <c:pt idx="108">
                  <c:v>16.039835381567759</c:v>
                </c:pt>
                <c:pt idx="109">
                  <c:v>15.902308396403384</c:v>
                </c:pt>
                <c:pt idx="110">
                  <c:v>15.765889667641451</c:v>
                </c:pt>
                <c:pt idx="111">
                  <c:v>15.630625561743885</c:v>
                </c:pt>
                <c:pt idx="112">
                  <c:v>15.496562073079069</c:v>
                </c:pt>
                <c:pt idx="113">
                  <c:v>15.36374480909949</c:v>
                </c:pt>
                <c:pt idx="114">
                  <c:v>15.23221897564412</c:v>
                </c:pt>
                <c:pt idx="115">
                  <c:v>15.102029362370176</c:v>
                </c:pt>
                <c:pt idx="116">
                  <c:v>14.973220328319028</c:v>
                </c:pt>
                <c:pt idx="117">
                  <c:v>14.845835787620869</c:v>
                </c:pt>
                <c:pt idx="118">
                  <c:v>14.719919195342751</c:v>
                </c:pt>
                <c:pt idx="119">
                  <c:v>14.595513533484601</c:v>
                </c:pt>
                <c:pt idx="120">
                  <c:v>14.472661297127649</c:v>
                </c:pt>
                <c:pt idx="121">
                  <c:v>14.351404480739784</c:v>
                </c:pt>
                <c:pt idx="122">
                  <c:v>14.231784564642259</c:v>
                </c:pt>
                <c:pt idx="123">
                  <c:v>14.11384250164204</c:v>
                </c:pt>
                <c:pt idx="124">
                  <c:v>13.99761870383422</c:v>
                </c:pt>
                <c:pt idx="125">
                  <c:v>13.883153029578631</c:v>
                </c:pt>
                <c:pt idx="126">
                  <c:v>13.770484770654926</c:v>
                </c:pt>
                <c:pt idx="127">
                  <c:v>13.659652639600251</c:v>
                </c:pt>
                <c:pt idx="128">
                  <c:v>13.550694757233568</c:v>
                </c:pt>
                <c:pt idx="129">
                  <c:v>13.443648640370714</c:v>
                </c:pt>
                <c:pt idx="130">
                  <c:v>13.338551189734039</c:v>
                </c:pt>
                <c:pt idx="131">
                  <c:v>13.235438678060651</c:v>
                </c:pt>
                <c:pt idx="132">
                  <c:v>13.134346738413013</c:v>
                </c:pt>
                <c:pt idx="133">
                  <c:v>13.035310352695664</c:v>
                </c:pt>
                <c:pt idx="134">
                  <c:v>12.938363840381824</c:v>
                </c:pt>
                <c:pt idx="135">
                  <c:v>12.843540847453463</c:v>
                </c:pt>
                <c:pt idx="136">
                  <c:v>12.750874335558386</c:v>
                </c:pt>
                <c:pt idx="137">
                  <c:v>12.660396571387901</c:v>
                </c:pt>
                <c:pt idx="138">
                  <c:v>12.572139116278397</c:v>
                </c:pt>
                <c:pt idx="139">
                  <c:v>12.48613281604027</c:v>
                </c:pt>
                <c:pt idx="140">
                  <c:v>12.402407791017437</c:v>
                </c:pt>
                <c:pt idx="141">
                  <c:v>12.320993426380593</c:v>
                </c:pt>
                <c:pt idx="142">
                  <c:v>12.241918362657469</c:v>
                </c:pt>
                <c:pt idx="143">
                  <c:v>12.16521048650298</c:v>
                </c:pt>
                <c:pt idx="144">
                  <c:v>12.090896921712373</c:v>
                </c:pt>
                <c:pt idx="145">
                  <c:v>12.0190040204802</c:v>
                </c:pt>
                <c:pt idx="146">
                  <c:v>11.949557354907952</c:v>
                </c:pt>
                <c:pt idx="147">
                  <c:v>11.882581708763073</c:v>
                </c:pt>
                <c:pt idx="148">
                  <c:v>11.818101069492068</c:v>
                </c:pt>
                <c:pt idx="149">
                  <c:v>11.756138620490175</c:v>
                </c:pt>
                <c:pt idx="150">
                  <c:v>11.696716733630218</c:v>
                </c:pt>
                <c:pt idx="151">
                  <c:v>11.63985696205294</c:v>
                </c:pt>
                <c:pt idx="152">
                  <c:v>11.5855800332212</c:v>
                </c:pt>
                <c:pt idx="153">
                  <c:v>11.533905842240253</c:v>
                </c:pt>
                <c:pt idx="154">
                  <c:v>11.484853445446282</c:v>
                </c:pt>
                <c:pt idx="155">
                  <c:v>11.438441054265205</c:v>
                </c:pt>
                <c:pt idx="156">
                  <c:v>11.394686029343809</c:v>
                </c:pt>
                <c:pt idx="157">
                  <c:v>11.35360487495501</c:v>
                </c:pt>
                <c:pt idx="158">
                  <c:v>11.315213233679145</c:v>
                </c:pt>
                <c:pt idx="159">
                  <c:v>11.279525881362906</c:v>
                </c:pt>
                <c:pt idx="160">
                  <c:v>11.24655672235763</c:v>
                </c:pt>
                <c:pt idx="161">
                  <c:v>11.216318785038411</c:v>
                </c:pt>
                <c:pt idx="162">
                  <c:v>11.188824217605541</c:v>
                </c:pt>
                <c:pt idx="163">
                  <c:v>11.16408428416956</c:v>
                </c:pt>
                <c:pt idx="164">
                  <c:v>11.142109361121255</c:v>
                </c:pt>
                <c:pt idx="165">
                  <c:v>11.122908933787704</c:v>
                </c:pt>
                <c:pt idx="166">
                  <c:v>11.106491593375514</c:v>
                </c:pt>
                <c:pt idx="167">
                  <c:v>11.092865034202164</c:v>
                </c:pt>
                <c:pt idx="168">
                  <c:v>11.082036051216425</c:v>
                </c:pt>
                <c:pt idx="169">
                  <c:v>11.074010537808562</c:v>
                </c:pt>
                <c:pt idx="170">
                  <c:v>11.068793483911133</c:v>
                </c:pt>
                <c:pt idx="171">
                  <c:v>11.0663889743909</c:v>
                </c:pt>
                <c:pt idx="172">
                  <c:v>11.066800187732426</c:v>
                </c:pt>
                <c:pt idx="173">
                  <c:v>11.070029395013757</c:v>
                </c:pt>
                <c:pt idx="174">
                  <c:v>11.076077959174544</c:v>
                </c:pt>
                <c:pt idx="175">
                  <c:v>11.084946334576815</c:v>
                </c:pt>
                <c:pt idx="176">
                  <c:v>11.096634066858538</c:v>
                </c:pt>
                <c:pt idx="177">
                  <c:v>11.111139793080071</c:v>
                </c:pt>
                <c:pt idx="178">
                  <c:v>11.128461242163358</c:v>
                </c:pt>
                <c:pt idx="179">
                  <c:v>11.148595235623844</c:v>
                </c:pt>
                <c:pt idx="180">
                  <c:v>11.171537688594761</c:v>
                </c:pt>
                <c:pt idx="181">
                  <c:v>11.197283611143559</c:v>
                </c:pt>
                <c:pt idx="182">
                  <c:v>11.225827109879962</c:v>
                </c:pt>
                <c:pt idx="183">
                  <c:v>11.257161389855211</c:v>
                </c:pt>
                <c:pt idx="184">
                  <c:v>11.291278756751815</c:v>
                </c:pt>
                <c:pt idx="185">
                  <c:v>11.328170619363178</c:v>
                </c:pt>
                <c:pt idx="186">
                  <c:v>11.367827492362213</c:v>
                </c:pt>
                <c:pt idx="187">
                  <c:v>11.410238999358143</c:v>
                </c:pt>
                <c:pt idx="188">
                  <c:v>11.455393876240416</c:v>
                </c:pt>
                <c:pt idx="189">
                  <c:v>11.50327997480875</c:v>
                </c:pt>
                <c:pt idx="190">
                  <c:v>11.553884266688044</c:v>
                </c:pt>
                <c:pt idx="191">
                  <c:v>11.607192847526967</c:v>
                </c:pt>
                <c:pt idx="192">
                  <c:v>11.663190941478819</c:v>
                </c:pt>
                <c:pt idx="193">
                  <c:v>11.721862905963274</c:v>
                </c:pt>
                <c:pt idx="194">
                  <c:v>11.783192236707405</c:v>
                </c:pt>
                <c:pt idx="195">
                  <c:v>11.847161573064433</c:v>
                </c:pt>
                <c:pt idx="196">
                  <c:v>11.913752703608434</c:v>
                </c:pt>
                <c:pt idx="197">
                  <c:v>11.982946572003234</c:v>
                </c:pt>
                <c:pt idx="198">
                  <c:v>12.054723283143566</c:v>
                </c:pt>
                <c:pt idx="199">
                  <c:v>12.129062109566579</c:v>
                </c:pt>
                <c:pt idx="200">
                  <c:v>12.205941498131528</c:v>
                </c:pt>
                <c:pt idx="201">
                  <c:v>12.285339076965593</c:v>
                </c:pt>
                <c:pt idx="202">
                  <c:v>12.367231662673523</c:v>
                </c:pt>
                <c:pt idx="203">
                  <c:v>12.45159526780883</c:v>
                </c:pt>
                <c:pt idx="204">
                  <c:v>12.538405108604058</c:v>
                </c:pt>
                <c:pt idx="205">
                  <c:v>12.62763561295772</c:v>
                </c:pt>
                <c:pt idx="206">
                  <c:v>12.719260428675264</c:v>
                </c:pt>
                <c:pt idx="207">
                  <c:v>12.81325243196145</c:v>
                </c:pt>
                <c:pt idx="208">
                  <c:v>12.909583736161347</c:v>
                </c:pt>
                <c:pt idx="209">
                  <c:v>13.008225700747237</c:v>
                </c:pt>
                <c:pt idx="210">
                  <c:v>13.109148940548417</c:v>
                </c:pt>
                <c:pt idx="211">
                  <c:v>13.212323335220979</c:v>
                </c:pt>
                <c:pt idx="212">
                  <c:v>13.317718038954521</c:v>
                </c:pt>
                <c:pt idx="213">
                  <c:v>13.425301490412654</c:v>
                </c:pt>
                <c:pt idx="214">
                  <c:v>13.535041422904072</c:v>
                </c:pt>
                <c:pt idx="215">
                  <c:v>13.646904874780963</c:v>
                </c:pt>
                <c:pt idx="216">
                  <c:v>13.760858200061373</c:v>
                </c:pt>
                <c:pt idx="217">
                  <c:v>13.876867079272069</c:v>
                </c:pt>
                <c:pt idx="218">
                  <c:v>13.994896530508514</c:v>
                </c:pt>
                <c:pt idx="219">
                  <c:v>14.114910920708244</c:v>
                </c:pt>
                <c:pt idx="220">
                  <c:v>14.236873977134156</c:v>
                </c:pt>
                <c:pt idx="221">
                  <c:v>14.36074879906389</c:v>
                </c:pt>
                <c:pt idx="222">
                  <c:v>14.486497869681624</c:v>
                </c:pt>
                <c:pt idx="223">
                  <c:v>14.614083068168387</c:v>
                </c:pt>
                <c:pt idx="224">
                  <c:v>14.743465681987029</c:v>
                </c:pt>
                <c:pt idx="225">
                  <c:v>14.874606419357901</c:v>
                </c:pt>
                <c:pt idx="226">
                  <c:v>15.00746542192118</c:v>
                </c:pt>
                <c:pt idx="227">
                  <c:v>15.142002277581764</c:v>
                </c:pt>
                <c:pt idx="228">
                  <c:v>15.278176033532681</c:v>
                </c:pt>
                <c:pt idx="229">
                  <c:v>15.415945209452692</c:v>
                </c:pt>
                <c:pt idx="230">
                  <c:v>15.555267810873902</c:v>
                </c:pt>
                <c:pt idx="231">
                  <c:v>15.696101342715071</c:v>
                </c:pt>
                <c:pt idx="232">
                  <c:v>15.838402822976288</c:v>
                </c:pt>
                <c:pt idx="233">
                  <c:v>15.982128796590496</c:v>
                </c:pt>
                <c:pt idx="234">
                  <c:v>16.12723534942749</c:v>
                </c:pt>
                <c:pt idx="235">
                  <c:v>16.273678122445915</c:v>
                </c:pt>
                <c:pt idx="236">
                  <c:v>16.421412325988552</c:v>
                </c:pt>
                <c:pt idx="237">
                  <c:v>16.570392754216428</c:v>
                </c:pt>
                <c:pt idx="238">
                  <c:v>16.720573799677044</c:v>
                </c:pt>
                <c:pt idx="239">
                  <c:v>16.871909468002038</c:v>
                </c:pt>
                <c:pt idx="240">
                  <c:v>17.024353392729473</c:v>
                </c:pt>
                <c:pt idx="241">
                  <c:v>17.177858850246118</c:v>
                </c:pt>
                <c:pt idx="242">
                  <c:v>17.332378774844802</c:v>
                </c:pt>
                <c:pt idx="243">
                  <c:v>17.487865773891993</c:v>
                </c:pt>
                <c:pt idx="244">
                  <c:v>17.644272143100721</c:v>
                </c:pt>
                <c:pt idx="245">
                  <c:v>17.801549881903995</c:v>
                </c:pt>
                <c:pt idx="246">
                  <c:v>17.95965070892365</c:v>
                </c:pt>
                <c:pt idx="247">
                  <c:v>18.118526077529697</c:v>
                </c:pt>
                <c:pt idx="248">
                  <c:v>18.278127191485165</c:v>
                </c:pt>
                <c:pt idx="249">
                  <c:v>18.4384050206714</c:v>
                </c:pt>
                <c:pt idx="250">
                  <c:v>18.599310316888669</c:v>
                </c:pt>
                <c:pt idx="251">
                  <c:v>18.760793629727118</c:v>
                </c:pt>
                <c:pt idx="252">
                  <c:v>18.922805322502882</c:v>
                </c:pt>
                <c:pt idx="253">
                  <c:v>19.08529558825418</c:v>
                </c:pt>
                <c:pt idx="254">
                  <c:v>19.248214465792309</c:v>
                </c:pt>
                <c:pt idx="255">
                  <c:v>19.411511855802367</c:v>
                </c:pt>
                <c:pt idx="256">
                  <c:v>19.575137536988468</c:v>
                </c:pt>
                <c:pt idx="257">
                  <c:v>19.739041182258223</c:v>
                </c:pt>
                <c:pt idx="258">
                  <c:v>19.903172374941409</c:v>
                </c:pt>
                <c:pt idx="259">
                  <c:v>20.067480625037426</c:v>
                </c:pt>
                <c:pt idx="260">
                  <c:v>20.231915385486406</c:v>
                </c:pt>
                <c:pt idx="261">
                  <c:v>20.396426068458759</c:v>
                </c:pt>
                <c:pt idx="262">
                  <c:v>20.560962061657747</c:v>
                </c:pt>
                <c:pt idx="263">
                  <c:v>20.725472744630096</c:v>
                </c:pt>
                <c:pt idx="264">
                  <c:v>20.889907505079076</c:v>
                </c:pt>
                <c:pt idx="265">
                  <c:v>21.05421575517509</c:v>
                </c:pt>
                <c:pt idx="266">
                  <c:v>21.218346947858283</c:v>
                </c:pt>
                <c:pt idx="267">
                  <c:v>21.382250593128035</c:v>
                </c:pt>
                <c:pt idx="268">
                  <c:v>21.545876274314129</c:v>
                </c:pt>
                <c:pt idx="269">
                  <c:v>21.709173664324197</c:v>
                </c:pt>
                <c:pt idx="270">
                  <c:v>21.872092541862326</c:v>
                </c:pt>
                <c:pt idx="271">
                  <c:v>22.034582807613621</c:v>
                </c:pt>
                <c:pt idx="272">
                  <c:v>22.196594500389384</c:v>
                </c:pt>
                <c:pt idx="273">
                  <c:v>22.358077813227844</c:v>
                </c:pt>
                <c:pt idx="274">
                  <c:v>22.518983109445106</c:v>
                </c:pt>
                <c:pt idx="275">
                  <c:v>22.67926093863133</c:v>
                </c:pt>
                <c:pt idx="276">
                  <c:v>22.838862052586805</c:v>
                </c:pt>
                <c:pt idx="277">
                  <c:v>22.997737421192852</c:v>
                </c:pt>
                <c:pt idx="278">
                  <c:v>23.155838248212504</c:v>
                </c:pt>
                <c:pt idx="279">
                  <c:v>23.313115987015781</c:v>
                </c:pt>
                <c:pt idx="280">
                  <c:v>23.469522356224509</c:v>
                </c:pt>
                <c:pt idx="281">
                  <c:v>23.625009355271697</c:v>
                </c:pt>
                <c:pt idx="282">
                  <c:v>23.779529279870395</c:v>
                </c:pt>
                <c:pt idx="283">
                  <c:v>23.933034737387036</c:v>
                </c:pt>
                <c:pt idx="284">
                  <c:v>24.085478662114465</c:v>
                </c:pt>
                <c:pt idx="285">
                  <c:v>24.236814330439458</c:v>
                </c:pt>
                <c:pt idx="286">
                  <c:v>24.386995375900078</c:v>
                </c:pt>
                <c:pt idx="287">
                  <c:v>24.535975804127951</c:v>
                </c:pt>
                <c:pt idx="288">
                  <c:v>24.683710007670591</c:v>
                </c:pt>
                <c:pt idx="289">
                  <c:v>24.830152780689012</c:v>
                </c:pt>
                <c:pt idx="290">
                  <c:v>24.975259333526012</c:v>
                </c:pt>
                <c:pt idx="291">
                  <c:v>25.118985307140218</c:v>
                </c:pt>
                <c:pt idx="292">
                  <c:v>25.261286787401431</c:v>
                </c:pt>
                <c:pt idx="293">
                  <c:v>25.402120319242613</c:v>
                </c:pt>
                <c:pt idx="294">
                  <c:v>25.541442920663815</c:v>
                </c:pt>
                <c:pt idx="295">
                  <c:v>25.679212096583825</c:v>
                </c:pt>
                <c:pt idx="296">
                  <c:v>25.815385852534739</c:v>
                </c:pt>
                <c:pt idx="297">
                  <c:v>25.949922708195324</c:v>
                </c:pt>
                <c:pt idx="298">
                  <c:v>26.082781710758603</c:v>
                </c:pt>
                <c:pt idx="299">
                  <c:v>26.213922448129477</c:v>
                </c:pt>
                <c:pt idx="300">
                  <c:v>26.343305061948115</c:v>
                </c:pt>
                <c:pt idx="301">
                  <c:v>26.470890260434881</c:v>
                </c:pt>
                <c:pt idx="302">
                  <c:v>26.596639331052614</c:v>
                </c:pt>
                <c:pt idx="303">
                  <c:v>26.72051415298235</c:v>
                </c:pt>
                <c:pt idx="304">
                  <c:v>26.842477209408262</c:v>
                </c:pt>
                <c:pt idx="305">
                  <c:v>26.962491599607997</c:v>
                </c:pt>
                <c:pt idx="306">
                  <c:v>27.080521050844435</c:v>
                </c:pt>
                <c:pt idx="307">
                  <c:v>27.196529930055132</c:v>
                </c:pt>
                <c:pt idx="308">
                  <c:v>27.310483255335541</c:v>
                </c:pt>
                <c:pt idx="309">
                  <c:v>27.422346707212434</c:v>
                </c:pt>
                <c:pt idx="310">
                  <c:v>27.532086639703849</c:v>
                </c:pt>
                <c:pt idx="311">
                  <c:v>27.639670091161985</c:v>
                </c:pt>
                <c:pt idx="312">
                  <c:v>27.745064794895523</c:v>
                </c:pt>
                <c:pt idx="313">
                  <c:v>27.848239189568083</c:v>
                </c:pt>
                <c:pt idx="314">
                  <c:v>27.94916242936927</c:v>
                </c:pt>
                <c:pt idx="315">
                  <c:v>28.047804393955165</c:v>
                </c:pt>
                <c:pt idx="316">
                  <c:v>28.144135698155058</c:v>
                </c:pt>
                <c:pt idx="317">
                  <c:v>28.238127701441236</c:v>
                </c:pt>
                <c:pt idx="318">
                  <c:v>28.329752517158784</c:v>
                </c:pt>
                <c:pt idx="319">
                  <c:v>28.418983021512449</c:v>
                </c:pt>
                <c:pt idx="320">
                  <c:v>28.505792862307672</c:v>
                </c:pt>
                <c:pt idx="321">
                  <c:v>28.590156467442981</c:v>
                </c:pt>
                <c:pt idx="322">
                  <c:v>28.672049053150914</c:v>
                </c:pt>
                <c:pt idx="323">
                  <c:v>28.75144663198498</c:v>
                </c:pt>
                <c:pt idx="324">
                  <c:v>28.82832602054993</c:v>
                </c:pt>
                <c:pt idx="325">
                  <c:v>28.902664846972936</c:v>
                </c:pt>
                <c:pt idx="326">
                  <c:v>28.974441558113273</c:v>
                </c:pt>
                <c:pt idx="327">
                  <c:v>29.043635426508068</c:v>
                </c:pt>
                <c:pt idx="328">
                  <c:v>29.110226557052073</c:v>
                </c:pt>
                <c:pt idx="329">
                  <c:v>29.174195893409095</c:v>
                </c:pt>
                <c:pt idx="330">
                  <c:v>29.235525224153232</c:v>
                </c:pt>
                <c:pt idx="331">
                  <c:v>29.294197188637689</c:v>
                </c:pt>
                <c:pt idx="332">
                  <c:v>29.350195282589542</c:v>
                </c:pt>
                <c:pt idx="333">
                  <c:v>29.403503863428462</c:v>
                </c:pt>
                <c:pt idx="334">
                  <c:v>29.454108155307757</c:v>
                </c:pt>
                <c:pt idx="335">
                  <c:v>29.501994253876092</c:v>
                </c:pt>
                <c:pt idx="336">
                  <c:v>29.547149130758367</c:v>
                </c:pt>
                <c:pt idx="337">
                  <c:v>29.589560637754293</c:v>
                </c:pt>
                <c:pt idx="338">
                  <c:v>29.629217510753328</c:v>
                </c:pt>
                <c:pt idx="339">
                  <c:v>29.666109373364694</c:v>
                </c:pt>
                <c:pt idx="340">
                  <c:v>29.7002267402613</c:v>
                </c:pt>
                <c:pt idx="341">
                  <c:v>29.731561020236541</c:v>
                </c:pt>
                <c:pt idx="342">
                  <c:v>29.760104518972948</c:v>
                </c:pt>
                <c:pt idx="343">
                  <c:v>29.785850441521745</c:v>
                </c:pt>
                <c:pt idx="344">
                  <c:v>29.808792894492665</c:v>
                </c:pt>
                <c:pt idx="345">
                  <c:v>29.828926887953148</c:v>
                </c:pt>
                <c:pt idx="346">
                  <c:v>29.846248337036435</c:v>
                </c:pt>
                <c:pt idx="347">
                  <c:v>29.860754063257968</c:v>
                </c:pt>
                <c:pt idx="348">
                  <c:v>29.872441795539693</c:v>
                </c:pt>
                <c:pt idx="349">
                  <c:v>29.881310170941962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FE-4028-BD3F-08301312B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230335"/>
        <c:axId val="463158671"/>
      </c:scatterChart>
      <c:valAx>
        <c:axId val="64230335"/>
        <c:scaling>
          <c:orientation val="minMax"/>
          <c:max val="35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463158671"/>
        <c:crosses val="autoZero"/>
        <c:crossBetween val="midCat"/>
      </c:valAx>
      <c:valAx>
        <c:axId val="463158671"/>
        <c:scaling>
          <c:orientation val="minMax"/>
          <c:max val="70"/>
          <c:min val="0"/>
        </c:scaling>
        <c:delete val="1"/>
        <c:axPos val="l"/>
        <c:numFmt formatCode="0.00" sourceLinked="1"/>
        <c:majorTickMark val="out"/>
        <c:minorTickMark val="none"/>
        <c:tickLblPos val="nextTo"/>
        <c:crossAx val="64230335"/>
        <c:crosses val="autoZero"/>
        <c:crossBetween val="midCat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228150098826486E-2"/>
          <c:y val="0.1717125337509055"/>
          <c:w val="0.91988888888888887"/>
          <c:h val="0.63906174979432961"/>
        </c:manualLayout>
      </c:layout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CARGAS!$F$32:$F$34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CARGAS!$G$32:$G$34</c:f>
              <c:numCache>
                <c:formatCode>General</c:formatCode>
                <c:ptCount val="3"/>
                <c:pt idx="0">
                  <c:v>5</c:v>
                </c:pt>
                <c:pt idx="1">
                  <c:v>11.5</c:v>
                </c:pt>
                <c:pt idx="2">
                  <c:v>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1-4BB6-874D-7D790A815924}"/>
            </c:ext>
          </c:extLst>
        </c:ser>
        <c:ser>
          <c:idx val="1"/>
          <c:order val="1"/>
          <c:spPr>
            <a:ln w="25400" cap="rnd">
              <a:solidFill>
                <a:srgbClr val="C00000"/>
              </a:solidFill>
              <a:round/>
              <a:headEnd type="triangle"/>
            </a:ln>
            <a:effectLst/>
          </c:spPr>
          <c:marker>
            <c:symbol val="none"/>
          </c:marker>
          <c:xVal>
            <c:numRef>
              <c:f>(CARGAS!$F$32,CARGAS!$F$32)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(CARGAS!$F$32,CARGAS!$G$32)</c:f>
              <c:numCache>
                <c:formatCode>General</c:formatCode>
                <c:ptCount val="2"/>
                <c:pt idx="0">
                  <c:v>0</c:v>
                </c:pt>
                <c:pt idx="1">
                  <c:v>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C1-4BB6-874D-7D790A815924}"/>
            </c:ext>
          </c:extLst>
        </c:ser>
        <c:ser>
          <c:idx val="2"/>
          <c:order val="2"/>
          <c:spPr>
            <a:ln w="25400" cap="rnd">
              <a:solidFill>
                <a:srgbClr val="C00000"/>
              </a:solidFill>
              <a:round/>
              <a:headEnd type="triangle"/>
            </a:ln>
            <a:effectLst/>
          </c:spPr>
          <c:marker>
            <c:symbol val="none"/>
          </c:marker>
          <c:xVal>
            <c:numRef>
              <c:f>(CARGAS!$F$33,CARGAS!$F$33)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(CARGAS!$F$32,CARGAS!$G$33)</c:f>
              <c:numCache>
                <c:formatCode>General</c:formatCode>
                <c:ptCount val="2"/>
                <c:pt idx="0">
                  <c:v>0</c:v>
                </c:pt>
                <c:pt idx="1">
                  <c:v>11.5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C1-4BB6-874D-7D790A815924}"/>
            </c:ext>
          </c:extLst>
        </c:ser>
        <c:ser>
          <c:idx val="3"/>
          <c:order val="3"/>
          <c:spPr>
            <a:ln w="25400" cap="rnd">
              <a:solidFill>
                <a:srgbClr val="C00000"/>
              </a:solidFill>
              <a:round/>
              <a:headEnd type="triangle"/>
            </a:ln>
            <a:effectLst/>
          </c:spPr>
          <c:marker>
            <c:symbol val="none"/>
          </c:marker>
          <c:xVal>
            <c:numRef>
              <c:f>(CARGAS!$F$34,CARGAS!$F$34)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(CARGAS!$F$32,CARGAS!$G$34)</c:f>
              <c:numCache>
                <c:formatCode>General</c:formatCode>
                <c:ptCount val="2"/>
                <c:pt idx="0">
                  <c:v>0</c:v>
                </c:pt>
                <c:pt idx="1">
                  <c:v>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C1-4BB6-874D-7D790A815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6897968"/>
        <c:axId val="1804768624"/>
      </c:scatterChart>
      <c:valAx>
        <c:axId val="1676897968"/>
        <c:scaling>
          <c:orientation val="minMax"/>
          <c:max val="11"/>
          <c:min val="-1"/>
        </c:scaling>
        <c:delete val="1"/>
        <c:axPos val="b"/>
        <c:numFmt formatCode="General" sourceLinked="1"/>
        <c:majorTickMark val="out"/>
        <c:minorTickMark val="none"/>
        <c:tickLblPos val="nextTo"/>
        <c:crossAx val="1804768624"/>
        <c:crosses val="autoZero"/>
        <c:crossBetween val="midCat"/>
      </c:valAx>
      <c:valAx>
        <c:axId val="1804768624"/>
        <c:scaling>
          <c:orientation val="minMax"/>
          <c:max val="16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676897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B4B4B4"/>
    </a:solidFill>
    <a:ln w="381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tensões!$P$12</c:f>
          <c:strCache>
            <c:ptCount val="1"/>
            <c:pt idx="0">
              <c:v>Seção crítica - tensões máximas devido ao momento fletor
Estrutra Global</c:v>
            </c:pt>
          </c:strCache>
        </c:strRef>
      </c:tx>
      <c:layout>
        <c:manualLayout>
          <c:xMode val="edge"/>
          <c:yMode val="edge"/>
          <c:x val="0.153956768754927"/>
          <c:y val="3.4285411321843991E-3"/>
        </c:manualLayout>
      </c:layout>
      <c:overlay val="0"/>
      <c:txPr>
        <a:bodyPr/>
        <a:lstStyle/>
        <a:p>
          <a:pPr>
            <a:defRPr sz="1200" b="1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353029521944932E-2"/>
          <c:y val="0.14781058857739313"/>
          <c:w val="0.95730038633625025"/>
          <c:h val="0.69734285469364288"/>
        </c:manualLayout>
      </c:layout>
      <c:scatterChart>
        <c:scatterStyle val="lineMarker"/>
        <c:varyColors val="0"/>
        <c:ser>
          <c:idx val="1"/>
          <c:order val="0"/>
          <c:tx>
            <c:strRef>
              <c:f>tensões!$W$10</c:f>
              <c:strCache>
                <c:ptCount val="1"/>
                <c:pt idx="0">
                  <c:v>Linha de Centro</c:v>
                </c:pt>
              </c:strCache>
            </c:strRef>
          </c:tx>
          <c:spPr>
            <a:ln w="6350">
              <a:solidFill>
                <a:schemeClr val="tx1">
                  <a:alpha val="15000"/>
                </a:schemeClr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A8E-4255-AC7C-55C571545E25}"/>
                </c:ext>
              </c:extLst>
            </c:dLbl>
            <c:dLbl>
              <c:idx val="1"/>
              <c:layout>
                <c:manualLayout>
                  <c:x val="-1.6050799553153694E-2"/>
                  <c:y val="0.1632718448725794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-5400000" vert="horz" wrap="square" lIns="38100" tIns="19050" rIns="38100" bIns="19050" anchor="ctr">
                  <a:spAutoFit/>
                </a:bodyPr>
                <a:lstStyle/>
                <a:p>
                  <a:pPr>
                    <a:defRPr sz="800"/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A8E-4255-AC7C-55C571545E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5400000" vert="horz"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tensões!$U$10:$U$11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tensões!$V$10:$V$11</c:f>
              <c:numCache>
                <c:formatCode>General</c:formatCode>
                <c:ptCount val="2"/>
                <c:pt idx="0">
                  <c:v>-16.985539622641507</c:v>
                </c:pt>
                <c:pt idx="1">
                  <c:v>18.57046037735849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8E-4255-AC7C-55C571545E25}"/>
            </c:ext>
          </c:extLst>
        </c:ser>
        <c:ser>
          <c:idx val="8"/>
          <c:order val="1"/>
          <c:tx>
            <c:v>aux</c:v>
          </c:tx>
          <c:spPr>
            <a:ln w="19050">
              <a:solidFill>
                <a:srgbClr val="FF0000"/>
              </a:solidFill>
              <a:tailEnd type="stealth" w="sm" len="med"/>
            </a:ln>
          </c:spPr>
          <c:marker>
            <c:symbol val="none"/>
          </c:marker>
          <c:xVal>
            <c:numRef>
              <c:f>tensões!$V$20:$V$21</c:f>
              <c:numCache>
                <c:formatCode>General</c:formatCode>
                <c:ptCount val="2"/>
                <c:pt idx="0">
                  <c:v>0</c:v>
                </c:pt>
                <c:pt idx="1">
                  <c:v>-205.59619286859999</c:v>
                </c:pt>
              </c:numCache>
            </c:numRef>
          </c:xVal>
          <c:yVal>
            <c:numRef>
              <c:f>tensões!$W$20:$W$21</c:f>
              <c:numCache>
                <c:formatCode>General</c:formatCode>
                <c:ptCount val="2"/>
                <c:pt idx="0">
                  <c:v>13.702845283018867</c:v>
                </c:pt>
                <c:pt idx="1">
                  <c:v>13.702845283018867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A8E-4255-AC7C-55C571545E25}"/>
            </c:ext>
          </c:extLst>
        </c:ser>
        <c:ser>
          <c:idx val="2"/>
          <c:order val="2"/>
          <c:spPr>
            <a:ln>
              <a:solidFill>
                <a:schemeClr val="tx1">
                  <a:lumMod val="95000"/>
                  <a:lumOff val="5000"/>
                  <a:alpha val="84000"/>
                </a:schemeClr>
              </a:solidFill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chemeClr val="tx1"/>
                </a:solidFill>
                <a:prstDash val="solid"/>
                <a:headEnd type="none"/>
              </a:ln>
            </c:spPr>
            <c:extLst>
              <c:ext xmlns:c16="http://schemas.microsoft.com/office/drawing/2014/chart" uri="{C3380CC4-5D6E-409C-BE32-E72D297353CC}">
                <c16:uniqueId val="{00000008-AA8E-4255-AC7C-55C571545E25}"/>
              </c:ext>
            </c:extLst>
          </c:dPt>
          <c:xVal>
            <c:numRef>
              <c:f>tensões!$Q$13:$Q$14</c:f>
              <c:numCache>
                <c:formatCode>0.00</c:formatCode>
                <c:ptCount val="2"/>
                <c:pt idx="0">
                  <c:v>-274.12825715813329</c:v>
                </c:pt>
                <c:pt idx="1">
                  <c:v>250.34825625773266</c:v>
                </c:pt>
              </c:numCache>
            </c:numRef>
          </c:xVal>
          <c:yVal>
            <c:numRef>
              <c:f>tensões!$R$13:$R$14</c:f>
              <c:numCache>
                <c:formatCode>General</c:formatCode>
                <c:ptCount val="2"/>
                <c:pt idx="0">
                  <c:v>18.270460377358489</c:v>
                </c:pt>
                <c:pt idx="1">
                  <c:v>-16.685539622641507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A8E-4255-AC7C-55C571545E25}"/>
            </c:ext>
          </c:extLst>
        </c:ser>
        <c:ser>
          <c:idx val="3"/>
          <c:order val="3"/>
          <c:tx>
            <c:strRef>
              <c:f>tensões!$U$19</c:f>
              <c:strCache>
                <c:ptCount val="1"/>
                <c:pt idx="0">
                  <c:v>σ convés [MPa] - Estrutura falhou</c:v>
                </c:pt>
              </c:strCache>
            </c:strRef>
          </c:tx>
          <c:spPr>
            <a:ln w="38100">
              <a:solidFill>
                <a:srgbClr val="FF0000"/>
              </a:solidFill>
              <a:tailEnd type="stealth" w="lg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A8E-4255-AC7C-55C571545E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ln>
                      <a:solidFill>
                        <a:srgbClr val="C00000"/>
                      </a:solidFill>
                    </a:ln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tensões!$V$18:$V$19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-274.12825715813329</c:v>
                </c:pt>
              </c:numCache>
            </c:numRef>
          </c:xVal>
          <c:yVal>
            <c:numRef>
              <c:f>tensões!$W$18:$W$19</c:f>
              <c:numCache>
                <c:formatCode>General</c:formatCode>
                <c:ptCount val="2"/>
                <c:pt idx="0">
                  <c:v>18.270460377358489</c:v>
                </c:pt>
                <c:pt idx="1">
                  <c:v>18.270460377358489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A8E-4255-AC7C-55C571545E25}"/>
            </c:ext>
          </c:extLst>
        </c:ser>
        <c:ser>
          <c:idx val="4"/>
          <c:order val="4"/>
          <c:tx>
            <c:strRef>
              <c:f>tensões!$U$29</c:f>
              <c:strCache>
                <c:ptCount val="1"/>
                <c:pt idx="0">
                  <c:v>σ fundo [MPa] - </c:v>
                </c:pt>
              </c:strCache>
            </c:strRef>
          </c:tx>
          <c:spPr>
            <a:ln w="38100">
              <a:solidFill>
                <a:srgbClr val="0000FF"/>
              </a:solidFill>
              <a:tailEnd type="stealth" w="lg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A8E-4255-AC7C-55C571545E25}"/>
                </c:ext>
              </c:extLst>
            </c:dLbl>
            <c:dLbl>
              <c:idx val="1"/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A8E-4255-AC7C-55C571545E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>
                    <a:ln w="3175">
                      <a:solidFill>
                        <a:srgbClr val="C00000"/>
                      </a:solidFill>
                    </a:ln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tensões!$V$28:$V$29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250.34825625773266</c:v>
                </c:pt>
              </c:numCache>
            </c:numRef>
          </c:xVal>
          <c:yVal>
            <c:numRef>
              <c:f>tensões!$W$28:$W$29</c:f>
              <c:numCache>
                <c:formatCode>General</c:formatCode>
                <c:ptCount val="2"/>
                <c:pt idx="0">
                  <c:v>-16.685539622641507</c:v>
                </c:pt>
                <c:pt idx="1">
                  <c:v>-16.685539622641507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A8E-4255-AC7C-55C571545E25}"/>
            </c:ext>
          </c:extLst>
        </c:ser>
        <c:ser>
          <c:idx val="5"/>
          <c:order val="5"/>
          <c:tx>
            <c:strRef>
              <c:f>tensões!$W$8</c:f>
              <c:strCache>
                <c:ptCount val="1"/>
                <c:pt idx="0">
                  <c:v>Linha Neutra</c:v>
                </c:pt>
              </c:strCache>
            </c:strRef>
          </c:tx>
          <c:spPr>
            <a:ln w="6350">
              <a:solidFill>
                <a:schemeClr val="tx1">
                  <a:alpha val="30000"/>
                </a:schemeClr>
              </a:solidFill>
              <a:prstDash val="das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4.4993123764392351E-2"/>
                  <c:y val="0"/>
                </c:manualLayout>
              </c:layout>
              <c:tx>
                <c:rich>
                  <a:bodyPr/>
                  <a:lstStyle/>
                  <a:p>
                    <a:fld id="{9549D03C-4CF8-4435-BE6A-3DBCA196D411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DADAAF6D-6C06-4572-90A8-91C828A44362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AA8E-4255-AC7C-55C571545E2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8E-4255-AC7C-55C571545E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tensões!$U$8:$U$9</c:f>
              <c:numCache>
                <c:formatCode>General</c:formatCode>
                <c:ptCount val="2"/>
                <c:pt idx="0">
                  <c:v>-411.19238573719997</c:v>
                </c:pt>
                <c:pt idx="1">
                  <c:v>411.19238573719997</c:v>
                </c:pt>
              </c:numCache>
            </c:numRef>
          </c:xVal>
          <c:yVal>
            <c:numRef>
              <c:f>tensões!$V$8:$V$9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tensões!$P$7</c15:f>
                <c15:dlblRangeCache>
                  <c:ptCount val="1"/>
                  <c:pt idx="0">
                    <c:v>16.71 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AA8E-4255-AC7C-55C571545E25}"/>
            </c:ext>
          </c:extLst>
        </c:ser>
        <c:ser>
          <c:idx val="7"/>
          <c:order val="6"/>
          <c:tx>
            <c:v>aux2</c:v>
          </c:tx>
          <c:spPr>
            <a:ln w="12700">
              <a:solidFill>
                <a:srgbClr val="FF0000"/>
              </a:solidFill>
              <a:tailEnd type="stealth" w="sm" len="med"/>
            </a:ln>
          </c:spPr>
          <c:marker>
            <c:symbol val="none"/>
          </c:marker>
          <c:xVal>
            <c:numRef>
              <c:f>tensões!$V$22:$V$23</c:f>
              <c:numCache>
                <c:formatCode>General</c:formatCode>
                <c:ptCount val="2"/>
                <c:pt idx="0">
                  <c:v>0</c:v>
                </c:pt>
                <c:pt idx="1">
                  <c:v>-137.06412857906665</c:v>
                </c:pt>
              </c:numCache>
            </c:numRef>
          </c:xVal>
          <c:yVal>
            <c:numRef>
              <c:f>tensões!$W$22:$W$23</c:f>
              <c:numCache>
                <c:formatCode>General</c:formatCode>
                <c:ptCount val="2"/>
                <c:pt idx="0">
                  <c:v>9.1352301886792446</c:v>
                </c:pt>
                <c:pt idx="1">
                  <c:v>9.1352301886792446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A8E-4255-AC7C-55C571545E25}"/>
            </c:ext>
          </c:extLst>
        </c:ser>
        <c:ser>
          <c:idx val="9"/>
          <c:order val="7"/>
          <c:tx>
            <c:v>aux3</c:v>
          </c:tx>
          <c:spPr>
            <a:ln w="9525">
              <a:solidFill>
                <a:srgbClr val="FF0000"/>
              </a:solidFill>
              <a:tailEnd type="stealth" w="sm" len="med"/>
            </a:ln>
          </c:spPr>
          <c:marker>
            <c:symbol val="none"/>
          </c:marker>
          <c:xVal>
            <c:numRef>
              <c:f>tensões!$V$24:$V$25</c:f>
              <c:numCache>
                <c:formatCode>General</c:formatCode>
                <c:ptCount val="2"/>
                <c:pt idx="0">
                  <c:v>0</c:v>
                </c:pt>
                <c:pt idx="1">
                  <c:v>-68.532064289533324</c:v>
                </c:pt>
              </c:numCache>
            </c:numRef>
          </c:xVal>
          <c:yVal>
            <c:numRef>
              <c:f>tensões!$W$24:$W$25</c:f>
              <c:numCache>
                <c:formatCode>General</c:formatCode>
                <c:ptCount val="2"/>
                <c:pt idx="0">
                  <c:v>4.5676150943396223</c:v>
                </c:pt>
                <c:pt idx="1">
                  <c:v>4.5676150943396223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A8E-4255-AC7C-55C571545E25}"/>
            </c:ext>
          </c:extLst>
        </c:ser>
        <c:ser>
          <c:idx val="10"/>
          <c:order val="8"/>
          <c:tx>
            <c:v>aux4</c:v>
          </c:tx>
          <c:spPr>
            <a:ln>
              <a:solidFill>
                <a:srgbClr val="0000FF"/>
              </a:solidFill>
              <a:tailEnd type="stealth" w="sm" len="med"/>
            </a:ln>
          </c:spPr>
          <c:marker>
            <c:symbol val="none"/>
          </c:marker>
          <c:xVal>
            <c:numRef>
              <c:f>tensões!$V$30:$V$31</c:f>
              <c:numCache>
                <c:formatCode>General</c:formatCode>
                <c:ptCount val="2"/>
                <c:pt idx="0">
                  <c:v>0</c:v>
                </c:pt>
                <c:pt idx="1">
                  <c:v>187.76119219329951</c:v>
                </c:pt>
              </c:numCache>
            </c:numRef>
          </c:xVal>
          <c:yVal>
            <c:numRef>
              <c:f>tensões!$W$30:$W$31</c:f>
              <c:numCache>
                <c:formatCode>General</c:formatCode>
                <c:ptCount val="2"/>
                <c:pt idx="0">
                  <c:v>-12.51415471698113</c:v>
                </c:pt>
                <c:pt idx="1">
                  <c:v>-12.51415471698113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AA8E-4255-AC7C-55C571545E25}"/>
            </c:ext>
          </c:extLst>
        </c:ser>
        <c:ser>
          <c:idx val="11"/>
          <c:order val="9"/>
          <c:tx>
            <c:v>aux5</c:v>
          </c:tx>
          <c:spPr>
            <a:ln w="12700">
              <a:solidFill>
                <a:srgbClr val="0000FF"/>
              </a:solidFill>
              <a:tailEnd type="stealth" w="sm" len="med"/>
            </a:ln>
          </c:spPr>
          <c:marker>
            <c:symbol val="none"/>
          </c:marker>
          <c:xVal>
            <c:numRef>
              <c:f>tensões!$V$32:$V$33</c:f>
              <c:numCache>
                <c:formatCode>General</c:formatCode>
                <c:ptCount val="2"/>
                <c:pt idx="0">
                  <c:v>0</c:v>
                </c:pt>
                <c:pt idx="1">
                  <c:v>125.17412812886633</c:v>
                </c:pt>
              </c:numCache>
            </c:numRef>
          </c:xVal>
          <c:yVal>
            <c:numRef>
              <c:f>tensões!$W$32:$W$33</c:f>
              <c:numCache>
                <c:formatCode>General</c:formatCode>
                <c:ptCount val="2"/>
                <c:pt idx="0">
                  <c:v>-8.3427698113207533</c:v>
                </c:pt>
                <c:pt idx="1">
                  <c:v>-8.3427698113207533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AA8E-4255-AC7C-55C571545E25}"/>
            </c:ext>
          </c:extLst>
        </c:ser>
        <c:ser>
          <c:idx val="12"/>
          <c:order val="10"/>
          <c:tx>
            <c:v>aux6</c:v>
          </c:tx>
          <c:spPr>
            <a:ln w="9525">
              <a:solidFill>
                <a:srgbClr val="0000FF"/>
              </a:solidFill>
              <a:tailEnd type="stealth" w="sm" len="med"/>
            </a:ln>
          </c:spPr>
          <c:marker>
            <c:symbol val="none"/>
          </c:marker>
          <c:xVal>
            <c:numRef>
              <c:f>tensões!$V$34:$V$35</c:f>
              <c:numCache>
                <c:formatCode>General</c:formatCode>
                <c:ptCount val="2"/>
                <c:pt idx="0">
                  <c:v>0</c:v>
                </c:pt>
                <c:pt idx="1">
                  <c:v>62.587064064433164</c:v>
                </c:pt>
              </c:numCache>
            </c:numRef>
          </c:xVal>
          <c:yVal>
            <c:numRef>
              <c:f>tensões!$W$34:$W$35</c:f>
              <c:numCache>
                <c:formatCode>General</c:formatCode>
                <c:ptCount val="2"/>
                <c:pt idx="0">
                  <c:v>-4.1713849056603767</c:v>
                </c:pt>
                <c:pt idx="1">
                  <c:v>-4.1713849056603767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AA8E-4255-AC7C-55C571545E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6004943"/>
        <c:axId val="1490127487"/>
      </c:scatterChart>
      <c:valAx>
        <c:axId val="1456004943"/>
        <c:scaling>
          <c:orientation val="minMax"/>
          <c:max val="411.19238573719997"/>
          <c:min val="-411.19238573719997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vert="horz"/>
          <a:lstStyle/>
          <a:p>
            <a:pPr>
              <a:defRPr sz="100">
                <a:solidFill>
                  <a:schemeClr val="bg1"/>
                </a:solidFill>
              </a:defRPr>
            </a:pPr>
            <a:endParaRPr lang="en-US"/>
          </a:p>
        </c:txPr>
        <c:crossAx val="1490127487"/>
        <c:crosses val="autoZero"/>
        <c:crossBetween val="midCat"/>
      </c:valAx>
      <c:valAx>
        <c:axId val="1490127487"/>
        <c:scaling>
          <c:orientation val="minMax"/>
          <c:max val="18.57046037735849"/>
          <c:min val="-16.985539622641507"/>
        </c:scaling>
        <c:delete val="1"/>
        <c:axPos val="l"/>
        <c:numFmt formatCode="General" sourceLinked="1"/>
        <c:majorTickMark val="out"/>
        <c:minorTickMark val="none"/>
        <c:tickLblPos val="nextTo"/>
        <c:crossAx val="1456004943"/>
        <c:crosses val="autoZero"/>
        <c:crossBetween val="midCat"/>
      </c:valAx>
      <c:spPr>
        <a:noFill/>
      </c:spPr>
    </c:plotArea>
    <c:plotVisOnly val="1"/>
    <c:dispBlanksAs val="gap"/>
    <c:showDLblsOverMax val="0"/>
    <c:extLst/>
  </c:chart>
  <c:spPr>
    <a:blipFill dpi="0" rotWithShape="1">
      <a:blip xmlns:r="http://schemas.openxmlformats.org/officeDocument/2006/relationships" r:embed="rId1"/>
      <a:srcRect/>
      <a:stretch>
        <a:fillRect/>
      </a:stretch>
    </a:blipFill>
    <a:ln w="76200">
      <a:solidFill>
        <a:schemeClr val="tx1"/>
      </a:solidFill>
    </a:ln>
  </c:spPr>
  <c:txPr>
    <a:bodyPr/>
    <a:lstStyle/>
    <a:p>
      <a:pPr>
        <a:defRPr sz="1050" b="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DISTRIBUIÇÃO DE PESOS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8376481348922294E-2"/>
          <c:y val="0.10782812328099706"/>
          <c:w val="0.96621761428322084"/>
          <c:h val="0.39367002880830254"/>
        </c:manualLayout>
      </c:layout>
      <c:scatterChart>
        <c:scatterStyle val="lineMarker"/>
        <c:varyColors val="0"/>
        <c:ser>
          <c:idx val="0"/>
          <c:order val="0"/>
          <c:tx>
            <c:strRef>
              <c:f>Equilibrio!$B$1</c:f>
              <c:strCache>
                <c:ptCount val="1"/>
                <c:pt idx="0">
                  <c:v>Peso Casco (ton/m)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Equilibrio!$A$2:$A$351</c:f>
              <c:numCache>
                <c:formatCode>General</c:formatCode>
                <c:ptCount val="3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</c:numCache>
            </c:numRef>
          </c:xVal>
          <c:yVal>
            <c:numRef>
              <c:f>Equilibrio!$B$2:$B$351</c:f>
              <c:numCache>
                <c:formatCode>0.00</c:formatCode>
                <c:ptCount val="350"/>
                <c:pt idx="0">
                  <c:v>47.254223020408112</c:v>
                </c:pt>
                <c:pt idx="1">
                  <c:v>48.198006367346885</c:v>
                </c:pt>
                <c:pt idx="2">
                  <c:v>49.136350040816275</c:v>
                </c:pt>
                <c:pt idx="3">
                  <c:v>50.069254040816276</c:v>
                </c:pt>
                <c:pt idx="4">
                  <c:v>50.996718367346887</c:v>
                </c:pt>
                <c:pt idx="5">
                  <c:v>51.918743020408115</c:v>
                </c:pt>
                <c:pt idx="6">
                  <c:v>52.835327999999947</c:v>
                </c:pt>
                <c:pt idx="7">
                  <c:v>53.746473306122397</c:v>
                </c:pt>
                <c:pt idx="8">
                  <c:v>54.652178938775457</c:v>
                </c:pt>
                <c:pt idx="9">
                  <c:v>55.552444897959134</c:v>
                </c:pt>
                <c:pt idx="10">
                  <c:v>56.447271183673415</c:v>
                </c:pt>
                <c:pt idx="11">
                  <c:v>57.336657795918313</c:v>
                </c:pt>
                <c:pt idx="12">
                  <c:v>58.220604734693822</c:v>
                </c:pt>
                <c:pt idx="13">
                  <c:v>59.099111999999948</c:v>
                </c:pt>
                <c:pt idx="14">
                  <c:v>59.972179591836678</c:v>
                </c:pt>
                <c:pt idx="15">
                  <c:v>60.839807510204025</c:v>
                </c:pt>
                <c:pt idx="16">
                  <c:v>61.701995755101983</c:v>
                </c:pt>
                <c:pt idx="17">
                  <c:v>62.558744326530558</c:v>
                </c:pt>
                <c:pt idx="18">
                  <c:v>63.410053224489744</c:v>
                </c:pt>
                <c:pt idx="19">
                  <c:v>64.255922448979533</c:v>
                </c:pt>
                <c:pt idx="20">
                  <c:v>65.096351999999939</c:v>
                </c:pt>
                <c:pt idx="21">
                  <c:v>65.931341877550963</c:v>
                </c:pt>
                <c:pt idx="22">
                  <c:v>66.760892081632591</c:v>
                </c:pt>
                <c:pt idx="23">
                  <c:v>67.585002612244836</c:v>
                </c:pt>
                <c:pt idx="24">
                  <c:v>68.403673469387698</c:v>
                </c:pt>
                <c:pt idx="25">
                  <c:v>69.216904653061164</c:v>
                </c:pt>
                <c:pt idx="26">
                  <c:v>70.024696163265247</c:v>
                </c:pt>
                <c:pt idx="27">
                  <c:v>70.827047999999948</c:v>
                </c:pt>
                <c:pt idx="28">
                  <c:v>71.623960163265252</c:v>
                </c:pt>
                <c:pt idx="29">
                  <c:v>72.415432653061174</c:v>
                </c:pt>
                <c:pt idx="30">
                  <c:v>73.201465469387699</c:v>
                </c:pt>
                <c:pt idx="31">
                  <c:v>73.982058612244842</c:v>
                </c:pt>
                <c:pt idx="32">
                  <c:v>74.757212081632588</c:v>
                </c:pt>
                <c:pt idx="33">
                  <c:v>75.526925877550951</c:v>
                </c:pt>
                <c:pt idx="34">
                  <c:v>76.291199999999947</c:v>
                </c:pt>
                <c:pt idx="35">
                  <c:v>77.050034448979531</c:v>
                </c:pt>
                <c:pt idx="36">
                  <c:v>77.803429224489747</c:v>
                </c:pt>
                <c:pt idx="37">
                  <c:v>78.551384326530552</c:v>
                </c:pt>
                <c:pt idx="38">
                  <c:v>79.29389975510199</c:v>
                </c:pt>
                <c:pt idx="39">
                  <c:v>80.03097551020403</c:v>
                </c:pt>
                <c:pt idx="40">
                  <c:v>80.762611591836674</c:v>
                </c:pt>
                <c:pt idx="41">
                  <c:v>81.488807999999949</c:v>
                </c:pt>
                <c:pt idx="42">
                  <c:v>82.209564734693828</c:v>
                </c:pt>
                <c:pt idx="43">
                  <c:v>82.92488179591831</c:v>
                </c:pt>
                <c:pt idx="44">
                  <c:v>83.63475918367341</c:v>
                </c:pt>
                <c:pt idx="45">
                  <c:v>84.339196897959113</c:v>
                </c:pt>
                <c:pt idx="46">
                  <c:v>85.038194938775462</c:v>
                </c:pt>
                <c:pt idx="47">
                  <c:v>85.731753306122386</c:v>
                </c:pt>
                <c:pt idx="48">
                  <c:v>86.419871999999941</c:v>
                </c:pt>
                <c:pt idx="49">
                  <c:v>87.1025510204081</c:v>
                </c:pt>
                <c:pt idx="50">
                  <c:v>87.779790367346891</c:v>
                </c:pt>
                <c:pt idx="51">
                  <c:v>88.451590040816257</c:v>
                </c:pt>
                <c:pt idx="52">
                  <c:v>89.117950040816268</c:v>
                </c:pt>
                <c:pt idx="53">
                  <c:v>89.778870367346883</c:v>
                </c:pt>
                <c:pt idx="54">
                  <c:v>90.434351020408116</c:v>
                </c:pt>
                <c:pt idx="55">
                  <c:v>91.084391999999937</c:v>
                </c:pt>
                <c:pt idx="56">
                  <c:v>91.728993306122391</c:v>
                </c:pt>
                <c:pt idx="57">
                  <c:v>92.368154938775447</c:v>
                </c:pt>
                <c:pt idx="58">
                  <c:v>93.001876897959136</c:v>
                </c:pt>
                <c:pt idx="59">
                  <c:v>93.630159183673413</c:v>
                </c:pt>
                <c:pt idx="60">
                  <c:v>94.253001795918308</c:v>
                </c:pt>
                <c:pt idx="61">
                  <c:v>94.870404734693821</c:v>
                </c:pt>
                <c:pt idx="62">
                  <c:v>95.482367999999951</c:v>
                </c:pt>
                <c:pt idx="63">
                  <c:v>96.088891591836671</c:v>
                </c:pt>
                <c:pt idx="64">
                  <c:v>96.689975510204022</c:v>
                </c:pt>
                <c:pt idx="65">
                  <c:v>97.285619755101976</c:v>
                </c:pt>
                <c:pt idx="66">
                  <c:v>97.875824326530548</c:v>
                </c:pt>
                <c:pt idx="67">
                  <c:v>98.460589224489723</c:v>
                </c:pt>
                <c:pt idx="68">
                  <c:v>99.039914448979545</c:v>
                </c:pt>
                <c:pt idx="69">
                  <c:v>99.613799999999941</c:v>
                </c:pt>
                <c:pt idx="70">
                  <c:v>100.18224587755095</c:v>
                </c:pt>
                <c:pt idx="71">
                  <c:v>100.74525208163259</c:v>
                </c:pt>
                <c:pt idx="72">
                  <c:v>101.30281861224483</c:v>
                </c:pt>
                <c:pt idx="73">
                  <c:v>101.8549454693877</c:v>
                </c:pt>
                <c:pt idx="74">
                  <c:v>102.40163265306117</c:v>
                </c:pt>
                <c:pt idx="75">
                  <c:v>102.94288016326524</c:v>
                </c:pt>
                <c:pt idx="76">
                  <c:v>103.47868799999995</c:v>
                </c:pt>
                <c:pt idx="77">
                  <c:v>104.00905616326524</c:v>
                </c:pt>
                <c:pt idx="78">
                  <c:v>104.53398465306117</c:v>
                </c:pt>
                <c:pt idx="79">
                  <c:v>105.05347346938768</c:v>
                </c:pt>
                <c:pt idx="80">
                  <c:v>105.56752261224484</c:v>
                </c:pt>
                <c:pt idx="81">
                  <c:v>106.07613208163259</c:v>
                </c:pt>
                <c:pt idx="82">
                  <c:v>106.57930187755096</c:v>
                </c:pt>
                <c:pt idx="83">
                  <c:v>107.07703199999993</c:v>
                </c:pt>
                <c:pt idx="84">
                  <c:v>107.56932244897953</c:v>
                </c:pt>
                <c:pt idx="85">
                  <c:v>108.05617322448974</c:v>
                </c:pt>
                <c:pt idx="86">
                  <c:v>108.53758432653055</c:v>
                </c:pt>
                <c:pt idx="87">
                  <c:v>109.01355575510198</c:v>
                </c:pt>
                <c:pt idx="88">
                  <c:v>109.48408751020403</c:v>
                </c:pt>
                <c:pt idx="89">
                  <c:v>109.94917959183668</c:v>
                </c:pt>
                <c:pt idx="90">
                  <c:v>110.40883199999993</c:v>
                </c:pt>
                <c:pt idx="91">
                  <c:v>110.86304473469382</c:v>
                </c:pt>
                <c:pt idx="92">
                  <c:v>111.31181779591832</c:v>
                </c:pt>
                <c:pt idx="93">
                  <c:v>111.75515118367341</c:v>
                </c:pt>
                <c:pt idx="94">
                  <c:v>112.19304489795913</c:v>
                </c:pt>
                <c:pt idx="95">
                  <c:v>112.62549893877545</c:v>
                </c:pt>
                <c:pt idx="96">
                  <c:v>113.05251330612238</c:v>
                </c:pt>
                <c:pt idx="97">
                  <c:v>113.47408799999994</c:v>
                </c:pt>
                <c:pt idx="98">
                  <c:v>113.8902230204081</c:v>
                </c:pt>
                <c:pt idx="99">
                  <c:v>114.30091836734687</c:v>
                </c:pt>
                <c:pt idx="100">
                  <c:v>114.70617404081626</c:v>
                </c:pt>
                <c:pt idx="101">
                  <c:v>115.10599004081627</c:v>
                </c:pt>
                <c:pt idx="102">
                  <c:v>115.50036636734688</c:v>
                </c:pt>
                <c:pt idx="103">
                  <c:v>115.88930302040811</c:v>
                </c:pt>
                <c:pt idx="104">
                  <c:v>116.27279999999993</c:v>
                </c:pt>
                <c:pt idx="105">
                  <c:v>116.65085730612239</c:v>
                </c:pt>
                <c:pt idx="106">
                  <c:v>117.02347493877545</c:v>
                </c:pt>
                <c:pt idx="107">
                  <c:v>117.39065289795911</c:v>
                </c:pt>
                <c:pt idx="108">
                  <c:v>117.75239118367341</c:v>
                </c:pt>
                <c:pt idx="109">
                  <c:v>118.10868979591831</c:v>
                </c:pt>
                <c:pt idx="110">
                  <c:v>118.45954873469381</c:v>
                </c:pt>
                <c:pt idx="111">
                  <c:v>118.80496799999995</c:v>
                </c:pt>
                <c:pt idx="112">
                  <c:v>119.14494759183667</c:v>
                </c:pt>
                <c:pt idx="113">
                  <c:v>119.47948751020402</c:v>
                </c:pt>
                <c:pt idx="114">
                  <c:v>119.80858775510198</c:v>
                </c:pt>
                <c:pt idx="115">
                  <c:v>120.13224832653054</c:v>
                </c:pt>
                <c:pt idx="116">
                  <c:v>120.45046922448972</c:v>
                </c:pt>
                <c:pt idx="117">
                  <c:v>120.76325044897953</c:v>
                </c:pt>
                <c:pt idx="118">
                  <c:v>121.07059199999995</c:v>
                </c:pt>
                <c:pt idx="119">
                  <c:v>121.37249387755097</c:v>
                </c:pt>
                <c:pt idx="120">
                  <c:v>121.66895608163259</c:v>
                </c:pt>
                <c:pt idx="121">
                  <c:v>121.95997861224484</c:v>
                </c:pt>
                <c:pt idx="122">
                  <c:v>122.2455614693877</c:v>
                </c:pt>
                <c:pt idx="123">
                  <c:v>122.52570465306117</c:v>
                </c:pt>
                <c:pt idx="124">
                  <c:v>122.80040816326525</c:v>
                </c:pt>
                <c:pt idx="125">
                  <c:v>123.06967199999994</c:v>
                </c:pt>
                <c:pt idx="126">
                  <c:v>123.33349616326525</c:v>
                </c:pt>
                <c:pt idx="127">
                  <c:v>123.59188065306117</c:v>
                </c:pt>
                <c:pt idx="128">
                  <c:v>123.8448254693877</c:v>
                </c:pt>
                <c:pt idx="129">
                  <c:v>124.09233061224484</c:v>
                </c:pt>
                <c:pt idx="130">
                  <c:v>124.3343960816326</c:v>
                </c:pt>
                <c:pt idx="131">
                  <c:v>124.57102187755096</c:v>
                </c:pt>
                <c:pt idx="132">
                  <c:v>124.80220799999995</c:v>
                </c:pt>
                <c:pt idx="133">
                  <c:v>125.02795444897953</c:v>
                </c:pt>
                <c:pt idx="134">
                  <c:v>125.24826122448974</c:v>
                </c:pt>
                <c:pt idx="135">
                  <c:v>125.46312832653055</c:v>
                </c:pt>
                <c:pt idx="136">
                  <c:v>125.672555755102</c:v>
                </c:pt>
                <c:pt idx="137">
                  <c:v>125.87654351020404</c:v>
                </c:pt>
                <c:pt idx="138">
                  <c:v>126.07509159183668</c:v>
                </c:pt>
                <c:pt idx="139">
                  <c:v>126.26819999999995</c:v>
                </c:pt>
                <c:pt idx="140">
                  <c:v>126.45586873469382</c:v>
                </c:pt>
                <c:pt idx="141">
                  <c:v>126.6380977959183</c:v>
                </c:pt>
                <c:pt idx="142">
                  <c:v>126.81488718367341</c:v>
                </c:pt>
                <c:pt idx="143">
                  <c:v>126.98623689795912</c:v>
                </c:pt>
                <c:pt idx="144">
                  <c:v>127.15214693877547</c:v>
                </c:pt>
                <c:pt idx="145">
                  <c:v>127.31261730612241</c:v>
                </c:pt>
                <c:pt idx="146">
                  <c:v>127.46764799999995</c:v>
                </c:pt>
                <c:pt idx="147">
                  <c:v>127.61723902040811</c:v>
                </c:pt>
                <c:pt idx="148">
                  <c:v>127.76139036734688</c:v>
                </c:pt>
                <c:pt idx="149">
                  <c:v>127.90010204081628</c:v>
                </c:pt>
                <c:pt idx="150">
                  <c:v>128.03337404081628</c:v>
                </c:pt>
                <c:pt idx="151">
                  <c:v>128.16120636734689</c:v>
                </c:pt>
                <c:pt idx="152">
                  <c:v>128.28359902040813</c:v>
                </c:pt>
                <c:pt idx="153">
                  <c:v>128.40055199999995</c:v>
                </c:pt>
                <c:pt idx="154">
                  <c:v>128.51206530612239</c:v>
                </c:pt>
                <c:pt idx="155">
                  <c:v>128.61813893877547</c:v>
                </c:pt>
                <c:pt idx="156">
                  <c:v>128.71877289795913</c:v>
                </c:pt>
                <c:pt idx="157">
                  <c:v>128.81396718367341</c:v>
                </c:pt>
                <c:pt idx="158">
                  <c:v>128.90372179591833</c:v>
                </c:pt>
                <c:pt idx="159">
                  <c:v>128.98803673469382</c:v>
                </c:pt>
                <c:pt idx="160">
                  <c:v>129.06691199999995</c:v>
                </c:pt>
                <c:pt idx="161">
                  <c:v>129.1403475918367</c:v>
                </c:pt>
                <c:pt idx="162">
                  <c:v>129.20834351020403</c:v>
                </c:pt>
                <c:pt idx="163">
                  <c:v>129.27089975510199</c:v>
                </c:pt>
                <c:pt idx="164">
                  <c:v>129.32801632653056</c:v>
                </c:pt>
                <c:pt idx="165">
                  <c:v>129.37969322448976</c:v>
                </c:pt>
                <c:pt idx="166">
                  <c:v>129.42593044897956</c:v>
                </c:pt>
                <c:pt idx="167">
                  <c:v>129.46672799999993</c:v>
                </c:pt>
                <c:pt idx="168">
                  <c:v>129.50208587755094</c:v>
                </c:pt>
                <c:pt idx="169">
                  <c:v>129.53200408163264</c:v>
                </c:pt>
                <c:pt idx="170">
                  <c:v>129.55648261224485</c:v>
                </c:pt>
                <c:pt idx="171">
                  <c:v>129.5755214693877</c:v>
                </c:pt>
                <c:pt idx="172">
                  <c:v>129.58912065306117</c:v>
                </c:pt>
                <c:pt idx="173">
                  <c:v>129.59728016326525</c:v>
                </c:pt>
                <c:pt idx="174">
                  <c:v>129.59999999999997</c:v>
                </c:pt>
                <c:pt idx="175">
                  <c:v>129.59728016326525</c:v>
                </c:pt>
                <c:pt idx="176">
                  <c:v>129.58912065306117</c:v>
                </c:pt>
                <c:pt idx="177">
                  <c:v>129.57552146938772</c:v>
                </c:pt>
                <c:pt idx="178">
                  <c:v>129.55648261224485</c:v>
                </c:pt>
                <c:pt idx="179">
                  <c:v>129.53200408163264</c:v>
                </c:pt>
                <c:pt idx="180">
                  <c:v>129.502085877551</c:v>
                </c:pt>
                <c:pt idx="181">
                  <c:v>129.46672799999996</c:v>
                </c:pt>
                <c:pt idx="182">
                  <c:v>129.42593044897956</c:v>
                </c:pt>
                <c:pt idx="183">
                  <c:v>129.37969322448976</c:v>
                </c:pt>
                <c:pt idx="184">
                  <c:v>129.32801632653056</c:v>
                </c:pt>
                <c:pt idx="185">
                  <c:v>129.27089975510199</c:v>
                </c:pt>
                <c:pt idx="186">
                  <c:v>129.20834351020403</c:v>
                </c:pt>
                <c:pt idx="187">
                  <c:v>129.1403475918367</c:v>
                </c:pt>
                <c:pt idx="188">
                  <c:v>129.06691199999995</c:v>
                </c:pt>
                <c:pt idx="189">
                  <c:v>128.98803673469382</c:v>
                </c:pt>
                <c:pt idx="190">
                  <c:v>128.90372179591833</c:v>
                </c:pt>
                <c:pt idx="191">
                  <c:v>128.81396718367341</c:v>
                </c:pt>
                <c:pt idx="192">
                  <c:v>128.71877289795913</c:v>
                </c:pt>
                <c:pt idx="193">
                  <c:v>128.61813893877547</c:v>
                </c:pt>
                <c:pt idx="194">
                  <c:v>128.51206530612242</c:v>
                </c:pt>
                <c:pt idx="195">
                  <c:v>128.40055199999998</c:v>
                </c:pt>
                <c:pt idx="196">
                  <c:v>128.28359902040813</c:v>
                </c:pt>
                <c:pt idx="197">
                  <c:v>128.16120636734689</c:v>
                </c:pt>
                <c:pt idx="198">
                  <c:v>128.03337404081628</c:v>
                </c:pt>
                <c:pt idx="199">
                  <c:v>127.90010204081628</c:v>
                </c:pt>
                <c:pt idx="200">
                  <c:v>127.76139036734689</c:v>
                </c:pt>
                <c:pt idx="201">
                  <c:v>127.61723902040812</c:v>
                </c:pt>
                <c:pt idx="202">
                  <c:v>127.46764799999998</c:v>
                </c:pt>
                <c:pt idx="203">
                  <c:v>127.31261730612242</c:v>
                </c:pt>
                <c:pt idx="204">
                  <c:v>127.15214693877549</c:v>
                </c:pt>
                <c:pt idx="205">
                  <c:v>126.98623689795915</c:v>
                </c:pt>
                <c:pt idx="206">
                  <c:v>126.81488718367343</c:v>
                </c:pt>
                <c:pt idx="207">
                  <c:v>126.63809779591833</c:v>
                </c:pt>
                <c:pt idx="208">
                  <c:v>126.45586873469384</c:v>
                </c:pt>
                <c:pt idx="209">
                  <c:v>126.26819999999995</c:v>
                </c:pt>
                <c:pt idx="210">
                  <c:v>126.07509159183671</c:v>
                </c:pt>
                <c:pt idx="211">
                  <c:v>125.87654351020406</c:v>
                </c:pt>
                <c:pt idx="212">
                  <c:v>125.67255575510201</c:v>
                </c:pt>
                <c:pt idx="213">
                  <c:v>125.46312832653058</c:v>
                </c:pt>
                <c:pt idx="214">
                  <c:v>125.24826122448977</c:v>
                </c:pt>
                <c:pt idx="215">
                  <c:v>125.02795444897956</c:v>
                </c:pt>
                <c:pt idx="216">
                  <c:v>124.80220799999995</c:v>
                </c:pt>
                <c:pt idx="217">
                  <c:v>124.57102187755098</c:v>
                </c:pt>
                <c:pt idx="218">
                  <c:v>124.33439608163263</c:v>
                </c:pt>
                <c:pt idx="219">
                  <c:v>124.09233061224489</c:v>
                </c:pt>
                <c:pt idx="220">
                  <c:v>123.84482546938773</c:v>
                </c:pt>
                <c:pt idx="221">
                  <c:v>123.5918806530612</c:v>
                </c:pt>
                <c:pt idx="222">
                  <c:v>123.33349616326527</c:v>
                </c:pt>
                <c:pt idx="223">
                  <c:v>123.06967199999997</c:v>
                </c:pt>
                <c:pt idx="224">
                  <c:v>122.80040816326527</c:v>
                </c:pt>
                <c:pt idx="225">
                  <c:v>122.52570465306118</c:v>
                </c:pt>
                <c:pt idx="226">
                  <c:v>122.24556146938772</c:v>
                </c:pt>
                <c:pt idx="227">
                  <c:v>121.9599786122449</c:v>
                </c:pt>
                <c:pt idx="228">
                  <c:v>121.66895608163264</c:v>
                </c:pt>
                <c:pt idx="229">
                  <c:v>121.37249387755099</c:v>
                </c:pt>
                <c:pt idx="230">
                  <c:v>121.07059199999998</c:v>
                </c:pt>
                <c:pt idx="231">
                  <c:v>120.76325044897956</c:v>
                </c:pt>
                <c:pt idx="232">
                  <c:v>120.45046922448978</c:v>
                </c:pt>
                <c:pt idx="233">
                  <c:v>120.13224832653057</c:v>
                </c:pt>
                <c:pt idx="234">
                  <c:v>119.808587755102</c:v>
                </c:pt>
                <c:pt idx="235">
                  <c:v>119.47948751020408</c:v>
                </c:pt>
                <c:pt idx="236">
                  <c:v>119.14494759183671</c:v>
                </c:pt>
                <c:pt idx="237">
                  <c:v>118.80496799999997</c:v>
                </c:pt>
                <c:pt idx="238">
                  <c:v>118.45954873469387</c:v>
                </c:pt>
                <c:pt idx="239">
                  <c:v>118.10868979591834</c:v>
                </c:pt>
                <c:pt idx="240">
                  <c:v>117.75239118367344</c:v>
                </c:pt>
                <c:pt idx="241">
                  <c:v>117.39065289795917</c:v>
                </c:pt>
                <c:pt idx="242">
                  <c:v>117.02347493877548</c:v>
                </c:pt>
                <c:pt idx="243">
                  <c:v>116.65085730612245</c:v>
                </c:pt>
                <c:pt idx="244">
                  <c:v>116.27279999999999</c:v>
                </c:pt>
                <c:pt idx="245">
                  <c:v>115.88930302040816</c:v>
                </c:pt>
                <c:pt idx="246">
                  <c:v>115.50036636734694</c:v>
                </c:pt>
                <c:pt idx="247">
                  <c:v>115.10599004081632</c:v>
                </c:pt>
                <c:pt idx="248">
                  <c:v>114.70617404081631</c:v>
                </c:pt>
                <c:pt idx="249">
                  <c:v>114.30091836734692</c:v>
                </c:pt>
                <c:pt idx="250">
                  <c:v>113.89022302040814</c:v>
                </c:pt>
                <c:pt idx="251">
                  <c:v>113.47408799999999</c:v>
                </c:pt>
                <c:pt idx="252">
                  <c:v>113.05251330612245</c:v>
                </c:pt>
                <c:pt idx="253">
                  <c:v>112.62549893877551</c:v>
                </c:pt>
                <c:pt idx="254">
                  <c:v>112.19304489795917</c:v>
                </c:pt>
                <c:pt idx="255">
                  <c:v>111.75515118367346</c:v>
                </c:pt>
                <c:pt idx="256">
                  <c:v>111.31181779591836</c:v>
                </c:pt>
                <c:pt idx="257">
                  <c:v>110.86304473469386</c:v>
                </c:pt>
                <c:pt idx="258">
                  <c:v>110.40883199999999</c:v>
                </c:pt>
                <c:pt idx="259">
                  <c:v>109.94917959183672</c:v>
                </c:pt>
                <c:pt idx="260">
                  <c:v>109.48408751020409</c:v>
                </c:pt>
                <c:pt idx="261">
                  <c:v>109.01355575510203</c:v>
                </c:pt>
                <c:pt idx="262">
                  <c:v>108.53758432653061</c:v>
                </c:pt>
                <c:pt idx="263">
                  <c:v>108.05617322448978</c:v>
                </c:pt>
                <c:pt idx="264">
                  <c:v>107.56932244897959</c:v>
                </c:pt>
                <c:pt idx="265">
                  <c:v>107.077032</c:v>
                </c:pt>
                <c:pt idx="266">
                  <c:v>106.57930187755102</c:v>
                </c:pt>
                <c:pt idx="267">
                  <c:v>106.07613208163264</c:v>
                </c:pt>
                <c:pt idx="268">
                  <c:v>105.56752261224489</c:v>
                </c:pt>
                <c:pt idx="269">
                  <c:v>105.05347346938774</c:v>
                </c:pt>
                <c:pt idx="270">
                  <c:v>104.5339846530612</c:v>
                </c:pt>
                <c:pt idx="271">
                  <c:v>104.00905616326529</c:v>
                </c:pt>
                <c:pt idx="272">
                  <c:v>103.47868800000003</c:v>
                </c:pt>
                <c:pt idx="273">
                  <c:v>102.94288016326533</c:v>
                </c:pt>
                <c:pt idx="274">
                  <c:v>102.40163265306126</c:v>
                </c:pt>
                <c:pt idx="275">
                  <c:v>101.85494546938779</c:v>
                </c:pt>
                <c:pt idx="276">
                  <c:v>101.30281861224492</c:v>
                </c:pt>
                <c:pt idx="277">
                  <c:v>100.74525208163266</c:v>
                </c:pt>
                <c:pt idx="278">
                  <c:v>100.18224587755103</c:v>
                </c:pt>
                <c:pt idx="279">
                  <c:v>99.613799999999998</c:v>
                </c:pt>
                <c:pt idx="280">
                  <c:v>99.039914448979602</c:v>
                </c:pt>
                <c:pt idx="281">
                  <c:v>98.460589224489809</c:v>
                </c:pt>
                <c:pt idx="282">
                  <c:v>97.875824326530619</c:v>
                </c:pt>
                <c:pt idx="283">
                  <c:v>97.285619755102033</c:v>
                </c:pt>
                <c:pt idx="284">
                  <c:v>96.689975510204079</c:v>
                </c:pt>
                <c:pt idx="285">
                  <c:v>96.088891591836727</c:v>
                </c:pt>
                <c:pt idx="286">
                  <c:v>95.48236799999998</c:v>
                </c:pt>
                <c:pt idx="287">
                  <c:v>94.870404734693864</c:v>
                </c:pt>
                <c:pt idx="288">
                  <c:v>94.253001795918351</c:v>
                </c:pt>
                <c:pt idx="289">
                  <c:v>93.630159183673499</c:v>
                </c:pt>
                <c:pt idx="290">
                  <c:v>93.001876897959221</c:v>
                </c:pt>
                <c:pt idx="291">
                  <c:v>92.368154938775547</c:v>
                </c:pt>
                <c:pt idx="292">
                  <c:v>91.728993306122476</c:v>
                </c:pt>
                <c:pt idx="293">
                  <c:v>91.084392000000037</c:v>
                </c:pt>
                <c:pt idx="294">
                  <c:v>90.434351020408201</c:v>
                </c:pt>
                <c:pt idx="295">
                  <c:v>89.778870367346968</c:v>
                </c:pt>
                <c:pt idx="296">
                  <c:v>89.117950040816339</c:v>
                </c:pt>
                <c:pt idx="297">
                  <c:v>88.451590040816342</c:v>
                </c:pt>
                <c:pt idx="298">
                  <c:v>87.779790367346948</c:v>
                </c:pt>
                <c:pt idx="299">
                  <c:v>87.102551020408185</c:v>
                </c:pt>
                <c:pt idx="300">
                  <c:v>86.419871999999998</c:v>
                </c:pt>
                <c:pt idx="301">
                  <c:v>85.731753306122471</c:v>
                </c:pt>
                <c:pt idx="302">
                  <c:v>85.038194938775518</c:v>
                </c:pt>
                <c:pt idx="303">
                  <c:v>84.339196897959198</c:v>
                </c:pt>
                <c:pt idx="304">
                  <c:v>83.634759183673481</c:v>
                </c:pt>
                <c:pt idx="305">
                  <c:v>82.924881795918424</c:v>
                </c:pt>
                <c:pt idx="306">
                  <c:v>82.209564734693913</c:v>
                </c:pt>
                <c:pt idx="307">
                  <c:v>81.488808000000063</c:v>
                </c:pt>
                <c:pt idx="308">
                  <c:v>80.762611591836787</c:v>
                </c:pt>
                <c:pt idx="309">
                  <c:v>80.030975510204144</c:v>
                </c:pt>
                <c:pt idx="310">
                  <c:v>79.293899755102075</c:v>
                </c:pt>
                <c:pt idx="311">
                  <c:v>78.551384326530638</c:v>
                </c:pt>
                <c:pt idx="312">
                  <c:v>77.803429224489832</c:v>
                </c:pt>
                <c:pt idx="313">
                  <c:v>77.050034448979602</c:v>
                </c:pt>
                <c:pt idx="314">
                  <c:v>76.291200000000003</c:v>
                </c:pt>
                <c:pt idx="315">
                  <c:v>75.526925877551037</c:v>
                </c:pt>
                <c:pt idx="316">
                  <c:v>74.757212081632701</c:v>
                </c:pt>
                <c:pt idx="317">
                  <c:v>73.982058612244941</c:v>
                </c:pt>
                <c:pt idx="318">
                  <c:v>73.201465469387756</c:v>
                </c:pt>
                <c:pt idx="319">
                  <c:v>72.415432653061259</c:v>
                </c:pt>
                <c:pt idx="320">
                  <c:v>71.623960163265338</c:v>
                </c:pt>
                <c:pt idx="321">
                  <c:v>70.827047999999991</c:v>
                </c:pt>
                <c:pt idx="322">
                  <c:v>70.024696163265389</c:v>
                </c:pt>
                <c:pt idx="323">
                  <c:v>69.216904653061306</c:v>
                </c:pt>
                <c:pt idx="324">
                  <c:v>68.403673469387797</c:v>
                </c:pt>
                <c:pt idx="325">
                  <c:v>67.585002612244978</c:v>
                </c:pt>
                <c:pt idx="326">
                  <c:v>66.760892081632733</c:v>
                </c:pt>
                <c:pt idx="327">
                  <c:v>65.931341877551063</c:v>
                </c:pt>
                <c:pt idx="328">
                  <c:v>65.096352000000024</c:v>
                </c:pt>
                <c:pt idx="329">
                  <c:v>64.255922448979618</c:v>
                </c:pt>
                <c:pt idx="330">
                  <c:v>63.410053224489843</c:v>
                </c:pt>
                <c:pt idx="331">
                  <c:v>62.558744326530643</c:v>
                </c:pt>
                <c:pt idx="332">
                  <c:v>61.701995755102075</c:v>
                </c:pt>
                <c:pt idx="333">
                  <c:v>60.839807510204139</c:v>
                </c:pt>
                <c:pt idx="334">
                  <c:v>59.972179591836777</c:v>
                </c:pt>
                <c:pt idx="335">
                  <c:v>59.099112000000048</c:v>
                </c:pt>
                <c:pt idx="336">
                  <c:v>58.220604734693893</c:v>
                </c:pt>
                <c:pt idx="337">
                  <c:v>57.33665779591837</c:v>
                </c:pt>
                <c:pt idx="338">
                  <c:v>56.447271183673536</c:v>
                </c:pt>
                <c:pt idx="339">
                  <c:v>55.552444897959276</c:v>
                </c:pt>
                <c:pt idx="340">
                  <c:v>54.652178938775592</c:v>
                </c:pt>
                <c:pt idx="341">
                  <c:v>53.746473306122539</c:v>
                </c:pt>
                <c:pt idx="342">
                  <c:v>52.835328000000061</c:v>
                </c:pt>
                <c:pt idx="343">
                  <c:v>51.918743020408215</c:v>
                </c:pt>
                <c:pt idx="344">
                  <c:v>50.996718367347</c:v>
                </c:pt>
                <c:pt idx="345">
                  <c:v>50.069254040816418</c:v>
                </c:pt>
                <c:pt idx="346">
                  <c:v>49.13635004081641</c:v>
                </c:pt>
                <c:pt idx="347">
                  <c:v>48.198006367346977</c:v>
                </c:pt>
                <c:pt idx="348">
                  <c:v>47.254223020408233</c:v>
                </c:pt>
                <c:pt idx="349">
                  <c:v>46.305000000000064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D2-4DC4-8AC4-1376402B75F1}"/>
            </c:ext>
          </c:extLst>
        </c:ser>
        <c:ser>
          <c:idx val="1"/>
          <c:order val="1"/>
          <c:tx>
            <c:strRef>
              <c:f>Equilibrio!$C$1</c:f>
              <c:strCache>
                <c:ptCount val="1"/>
                <c:pt idx="0">
                  <c:v>Peso Outfit (ton/m)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Equilibrio!$A$2:$A$351</c:f>
              <c:numCache>
                <c:formatCode>General</c:formatCode>
                <c:ptCount val="3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</c:numCache>
            </c:numRef>
          </c:xVal>
          <c:yVal>
            <c:numRef>
              <c:f>Equilibrio!$C$2:$C$351</c:f>
              <c:numCache>
                <c:formatCode>0.00</c:formatCode>
                <c:ptCount val="350"/>
                <c:pt idx="0">
                  <c:v>7.8757038367346883</c:v>
                </c:pt>
                <c:pt idx="1">
                  <c:v>8.0330010612244838</c:v>
                </c:pt>
                <c:pt idx="2">
                  <c:v>8.1893916734693821</c:v>
                </c:pt>
                <c:pt idx="3">
                  <c:v>8.3448756734693816</c:v>
                </c:pt>
                <c:pt idx="4">
                  <c:v>8.4994530612244841</c:v>
                </c:pt>
                <c:pt idx="5">
                  <c:v>8.6531238367346877</c:v>
                </c:pt>
                <c:pt idx="6">
                  <c:v>8.8058879999999942</c:v>
                </c:pt>
                <c:pt idx="7">
                  <c:v>8.9577455510204018</c:v>
                </c:pt>
                <c:pt idx="8">
                  <c:v>9.1086964897959124</c:v>
                </c:pt>
                <c:pt idx="9">
                  <c:v>9.2587408163265241</c:v>
                </c:pt>
                <c:pt idx="10">
                  <c:v>9.4078785306122388</c:v>
                </c:pt>
                <c:pt idx="11">
                  <c:v>9.5561096326530546</c:v>
                </c:pt>
                <c:pt idx="12">
                  <c:v>9.7034341224489733</c:v>
                </c:pt>
                <c:pt idx="13">
                  <c:v>9.8498519999999949</c:v>
                </c:pt>
                <c:pt idx="14">
                  <c:v>9.995363265306116</c:v>
                </c:pt>
                <c:pt idx="15">
                  <c:v>10.13996791836734</c:v>
                </c:pt>
                <c:pt idx="16">
                  <c:v>10.283665959183669</c:v>
                </c:pt>
                <c:pt idx="17">
                  <c:v>10.426457387755097</c:v>
                </c:pt>
                <c:pt idx="18">
                  <c:v>10.568342204081628</c:v>
                </c:pt>
                <c:pt idx="19">
                  <c:v>10.70932040816326</c:v>
                </c:pt>
                <c:pt idx="20">
                  <c:v>10.849391999999995</c:v>
                </c:pt>
                <c:pt idx="21">
                  <c:v>10.988556979591831</c:v>
                </c:pt>
                <c:pt idx="22">
                  <c:v>11.12681534693877</c:v>
                </c:pt>
                <c:pt idx="23">
                  <c:v>11.26416710204081</c:v>
                </c:pt>
                <c:pt idx="24">
                  <c:v>11.400612244897953</c:v>
                </c:pt>
                <c:pt idx="25">
                  <c:v>11.536150775510198</c:v>
                </c:pt>
                <c:pt idx="26">
                  <c:v>11.670782693877545</c:v>
                </c:pt>
                <c:pt idx="27">
                  <c:v>11.804507999999995</c:v>
                </c:pt>
                <c:pt idx="28">
                  <c:v>11.937326693877544</c:v>
                </c:pt>
                <c:pt idx="29">
                  <c:v>12.069238775510199</c:v>
                </c:pt>
                <c:pt idx="30">
                  <c:v>12.200244244897952</c:v>
                </c:pt>
                <c:pt idx="31">
                  <c:v>12.330343102040811</c:v>
                </c:pt>
                <c:pt idx="32">
                  <c:v>12.45953534693877</c:v>
                </c:pt>
                <c:pt idx="33">
                  <c:v>12.587820979591831</c:v>
                </c:pt>
                <c:pt idx="34">
                  <c:v>12.715199999999994</c:v>
                </c:pt>
                <c:pt idx="35">
                  <c:v>12.841672408163259</c:v>
                </c:pt>
                <c:pt idx="36">
                  <c:v>12.967238204081626</c:v>
                </c:pt>
                <c:pt idx="37">
                  <c:v>13.091897387755097</c:v>
                </c:pt>
                <c:pt idx="38">
                  <c:v>13.215649959183668</c:v>
                </c:pt>
                <c:pt idx="39">
                  <c:v>13.338495918367341</c:v>
                </c:pt>
                <c:pt idx="40">
                  <c:v>13.460435265306117</c:v>
                </c:pt>
                <c:pt idx="41">
                  <c:v>13.581467999999994</c:v>
                </c:pt>
                <c:pt idx="42">
                  <c:v>13.701594122448974</c:v>
                </c:pt>
                <c:pt idx="43">
                  <c:v>13.820813632653055</c:v>
                </c:pt>
                <c:pt idx="44">
                  <c:v>13.939126530612238</c:v>
                </c:pt>
                <c:pt idx="45">
                  <c:v>14.056532816326524</c:v>
                </c:pt>
                <c:pt idx="46">
                  <c:v>14.173032489795911</c:v>
                </c:pt>
                <c:pt idx="47">
                  <c:v>14.288625551020402</c:v>
                </c:pt>
                <c:pt idx="48">
                  <c:v>14.403311999999994</c:v>
                </c:pt>
                <c:pt idx="49">
                  <c:v>14.517091836734689</c:v>
                </c:pt>
                <c:pt idx="50">
                  <c:v>14.629965061224485</c:v>
                </c:pt>
                <c:pt idx="51">
                  <c:v>14.741931673469383</c:v>
                </c:pt>
                <c:pt idx="52">
                  <c:v>14.852991673469383</c:v>
                </c:pt>
                <c:pt idx="53">
                  <c:v>14.963145061224484</c:v>
                </c:pt>
                <c:pt idx="54">
                  <c:v>15.072391836734688</c:v>
                </c:pt>
                <c:pt idx="55">
                  <c:v>15.180731999999995</c:v>
                </c:pt>
                <c:pt idx="56">
                  <c:v>15.288165551020402</c:v>
                </c:pt>
                <c:pt idx="57">
                  <c:v>15.394692489795913</c:v>
                </c:pt>
                <c:pt idx="58">
                  <c:v>15.500312816326526</c:v>
                </c:pt>
                <c:pt idx="59">
                  <c:v>15.605026530612239</c:v>
                </c:pt>
                <c:pt idx="60">
                  <c:v>15.708833632653056</c:v>
                </c:pt>
                <c:pt idx="61">
                  <c:v>15.811734122448975</c:v>
                </c:pt>
                <c:pt idx="62">
                  <c:v>15.913727999999995</c:v>
                </c:pt>
                <c:pt idx="63">
                  <c:v>16.014815265306119</c:v>
                </c:pt>
                <c:pt idx="64">
                  <c:v>16.114995918367342</c:v>
                </c:pt>
                <c:pt idx="65">
                  <c:v>16.214269959183667</c:v>
                </c:pt>
                <c:pt idx="66">
                  <c:v>16.312637387755096</c:v>
                </c:pt>
                <c:pt idx="67">
                  <c:v>16.410098204081628</c:v>
                </c:pt>
                <c:pt idx="68">
                  <c:v>16.506652408163259</c:v>
                </c:pt>
                <c:pt idx="69">
                  <c:v>16.602299999999993</c:v>
                </c:pt>
                <c:pt idx="70">
                  <c:v>16.697040979591833</c:v>
                </c:pt>
                <c:pt idx="71">
                  <c:v>16.790875346938769</c:v>
                </c:pt>
                <c:pt idx="72">
                  <c:v>16.883803102040812</c:v>
                </c:pt>
                <c:pt idx="73">
                  <c:v>16.975824244897954</c:v>
                </c:pt>
                <c:pt idx="74">
                  <c:v>17.066938775510199</c:v>
                </c:pt>
                <c:pt idx="75">
                  <c:v>17.157146693877543</c:v>
                </c:pt>
                <c:pt idx="76">
                  <c:v>17.246447999999994</c:v>
                </c:pt>
                <c:pt idx="77">
                  <c:v>17.334842693877548</c:v>
                </c:pt>
                <c:pt idx="78">
                  <c:v>17.422330775510197</c:v>
                </c:pt>
                <c:pt idx="79">
                  <c:v>17.508912244897953</c:v>
                </c:pt>
                <c:pt idx="80">
                  <c:v>17.594587102040812</c:v>
                </c:pt>
                <c:pt idx="81">
                  <c:v>17.67935534693877</c:v>
                </c:pt>
                <c:pt idx="82">
                  <c:v>17.763216979591832</c:v>
                </c:pt>
                <c:pt idx="83">
                  <c:v>17.846171999999996</c:v>
                </c:pt>
                <c:pt idx="84">
                  <c:v>17.928220408163259</c:v>
                </c:pt>
                <c:pt idx="85">
                  <c:v>18.009362204081626</c:v>
                </c:pt>
                <c:pt idx="86">
                  <c:v>18.089597387755095</c:v>
                </c:pt>
                <c:pt idx="87">
                  <c:v>18.168925959183667</c:v>
                </c:pt>
                <c:pt idx="88">
                  <c:v>18.247347918367339</c:v>
                </c:pt>
                <c:pt idx="89">
                  <c:v>18.324863265306117</c:v>
                </c:pt>
                <c:pt idx="90">
                  <c:v>18.401471999999995</c:v>
                </c:pt>
                <c:pt idx="91">
                  <c:v>18.477174122448972</c:v>
                </c:pt>
                <c:pt idx="92">
                  <c:v>18.551969632653055</c:v>
                </c:pt>
                <c:pt idx="93">
                  <c:v>18.625858530612238</c:v>
                </c:pt>
                <c:pt idx="94">
                  <c:v>18.698840816326523</c:v>
                </c:pt>
                <c:pt idx="95">
                  <c:v>18.770916489795916</c:v>
                </c:pt>
                <c:pt idx="96">
                  <c:v>18.842085551020403</c:v>
                </c:pt>
                <c:pt idx="97">
                  <c:v>18.912347999999994</c:v>
                </c:pt>
                <c:pt idx="98">
                  <c:v>18.981703836734688</c:v>
                </c:pt>
                <c:pt idx="99">
                  <c:v>19.050153061224485</c:v>
                </c:pt>
                <c:pt idx="100">
                  <c:v>19.117695673469381</c:v>
                </c:pt>
                <c:pt idx="101">
                  <c:v>19.184331673469384</c:v>
                </c:pt>
                <c:pt idx="102">
                  <c:v>19.250061061224486</c:v>
                </c:pt>
                <c:pt idx="103">
                  <c:v>19.31488383673469</c:v>
                </c:pt>
                <c:pt idx="104">
                  <c:v>19.378799999999995</c:v>
                </c:pt>
                <c:pt idx="105">
                  <c:v>19.441809551020405</c:v>
                </c:pt>
                <c:pt idx="106">
                  <c:v>19.503912489795912</c:v>
                </c:pt>
                <c:pt idx="107">
                  <c:v>19.565108816326525</c:v>
                </c:pt>
                <c:pt idx="108">
                  <c:v>19.625398530612237</c:v>
                </c:pt>
                <c:pt idx="109">
                  <c:v>19.684781632653056</c:v>
                </c:pt>
                <c:pt idx="110">
                  <c:v>19.743258122448974</c:v>
                </c:pt>
                <c:pt idx="111">
                  <c:v>19.800827999999996</c:v>
                </c:pt>
                <c:pt idx="112">
                  <c:v>19.857491265306116</c:v>
                </c:pt>
                <c:pt idx="113">
                  <c:v>19.913247918367343</c:v>
                </c:pt>
                <c:pt idx="114">
                  <c:v>19.968097959183666</c:v>
                </c:pt>
                <c:pt idx="115">
                  <c:v>20.022041387755099</c:v>
                </c:pt>
                <c:pt idx="116">
                  <c:v>20.075078204081628</c:v>
                </c:pt>
                <c:pt idx="117">
                  <c:v>20.127208408163263</c:v>
                </c:pt>
                <c:pt idx="118">
                  <c:v>20.178431999999994</c:v>
                </c:pt>
                <c:pt idx="119">
                  <c:v>20.228748979591831</c:v>
                </c:pt>
                <c:pt idx="120">
                  <c:v>20.278159346938772</c:v>
                </c:pt>
                <c:pt idx="121">
                  <c:v>20.326663102040811</c:v>
                </c:pt>
                <c:pt idx="122">
                  <c:v>20.374260244897954</c:v>
                </c:pt>
                <c:pt idx="123">
                  <c:v>20.4209507755102</c:v>
                </c:pt>
                <c:pt idx="124">
                  <c:v>20.466734693877545</c:v>
                </c:pt>
                <c:pt idx="125">
                  <c:v>20.511611999999996</c:v>
                </c:pt>
                <c:pt idx="126">
                  <c:v>20.555582693877547</c:v>
                </c:pt>
                <c:pt idx="127">
                  <c:v>20.598646775510201</c:v>
                </c:pt>
                <c:pt idx="128">
                  <c:v>20.640804244897957</c:v>
                </c:pt>
                <c:pt idx="129">
                  <c:v>20.682055102040813</c:v>
                </c:pt>
                <c:pt idx="130">
                  <c:v>20.722399346938772</c:v>
                </c:pt>
                <c:pt idx="131">
                  <c:v>20.761836979591834</c:v>
                </c:pt>
                <c:pt idx="132">
                  <c:v>20.800367999999999</c:v>
                </c:pt>
                <c:pt idx="133">
                  <c:v>20.837992408163259</c:v>
                </c:pt>
                <c:pt idx="134">
                  <c:v>20.87471020408163</c:v>
                </c:pt>
                <c:pt idx="135">
                  <c:v>20.910521387755097</c:v>
                </c:pt>
                <c:pt idx="136">
                  <c:v>20.945425959183673</c:v>
                </c:pt>
                <c:pt idx="137">
                  <c:v>20.979423918367342</c:v>
                </c:pt>
                <c:pt idx="138">
                  <c:v>21.012515265306121</c:v>
                </c:pt>
                <c:pt idx="139">
                  <c:v>21.044699999999995</c:v>
                </c:pt>
                <c:pt idx="140">
                  <c:v>21.075978122448976</c:v>
                </c:pt>
                <c:pt idx="141">
                  <c:v>21.106349632653057</c:v>
                </c:pt>
                <c:pt idx="142">
                  <c:v>21.135814530612244</c:v>
                </c:pt>
                <c:pt idx="143">
                  <c:v>21.164372816326527</c:v>
                </c:pt>
                <c:pt idx="144">
                  <c:v>21.192024489795916</c:v>
                </c:pt>
                <c:pt idx="145">
                  <c:v>21.218769551020404</c:v>
                </c:pt>
                <c:pt idx="146">
                  <c:v>21.244607999999999</c:v>
                </c:pt>
                <c:pt idx="147">
                  <c:v>21.269539836734687</c:v>
                </c:pt>
                <c:pt idx="148">
                  <c:v>21.293565061224488</c:v>
                </c:pt>
                <c:pt idx="149">
                  <c:v>21.316683673469385</c:v>
                </c:pt>
                <c:pt idx="150">
                  <c:v>21.338895673469384</c:v>
                </c:pt>
                <c:pt idx="151">
                  <c:v>21.360201061224487</c:v>
                </c:pt>
                <c:pt idx="152">
                  <c:v>21.380599836734689</c:v>
                </c:pt>
                <c:pt idx="153">
                  <c:v>21.400091999999994</c:v>
                </c:pt>
                <c:pt idx="154">
                  <c:v>21.418677551020405</c:v>
                </c:pt>
                <c:pt idx="155">
                  <c:v>21.436356489795912</c:v>
                </c:pt>
                <c:pt idx="156">
                  <c:v>21.453128816326526</c:v>
                </c:pt>
                <c:pt idx="157">
                  <c:v>21.468994530612242</c:v>
                </c:pt>
                <c:pt idx="158">
                  <c:v>21.483953632653058</c:v>
                </c:pt>
                <c:pt idx="159">
                  <c:v>21.498006122448977</c:v>
                </c:pt>
                <c:pt idx="160">
                  <c:v>21.511151999999996</c:v>
                </c:pt>
                <c:pt idx="161">
                  <c:v>21.523391265306117</c:v>
                </c:pt>
                <c:pt idx="162">
                  <c:v>21.534723918367344</c:v>
                </c:pt>
                <c:pt idx="163">
                  <c:v>21.545149959183668</c:v>
                </c:pt>
                <c:pt idx="164">
                  <c:v>21.554669387755098</c:v>
                </c:pt>
                <c:pt idx="165">
                  <c:v>21.563282204081631</c:v>
                </c:pt>
                <c:pt idx="166">
                  <c:v>21.570988408163263</c:v>
                </c:pt>
                <c:pt idx="167">
                  <c:v>21.577787999999995</c:v>
                </c:pt>
                <c:pt idx="168">
                  <c:v>21.583680979591833</c:v>
                </c:pt>
                <c:pt idx="169">
                  <c:v>21.58866734693877</c:v>
                </c:pt>
                <c:pt idx="170">
                  <c:v>21.592747102040814</c:v>
                </c:pt>
                <c:pt idx="171">
                  <c:v>21.595920244897954</c:v>
                </c:pt>
                <c:pt idx="172">
                  <c:v>21.5981867755102</c:v>
                </c:pt>
                <c:pt idx="173">
                  <c:v>21.599546693877546</c:v>
                </c:pt>
                <c:pt idx="174">
                  <c:v>21.599999999999998</c:v>
                </c:pt>
                <c:pt idx="175">
                  <c:v>21.599546693877546</c:v>
                </c:pt>
                <c:pt idx="176">
                  <c:v>21.5981867755102</c:v>
                </c:pt>
                <c:pt idx="177">
                  <c:v>21.595920244897954</c:v>
                </c:pt>
                <c:pt idx="178">
                  <c:v>21.592747102040814</c:v>
                </c:pt>
                <c:pt idx="179">
                  <c:v>21.58866734693877</c:v>
                </c:pt>
                <c:pt idx="180">
                  <c:v>21.583680979591833</c:v>
                </c:pt>
                <c:pt idx="181">
                  <c:v>21.577787999999998</c:v>
                </c:pt>
                <c:pt idx="182">
                  <c:v>21.570988408163263</c:v>
                </c:pt>
                <c:pt idx="183">
                  <c:v>21.563282204081631</c:v>
                </c:pt>
                <c:pt idx="184">
                  <c:v>21.554669387755098</c:v>
                </c:pt>
                <c:pt idx="185">
                  <c:v>21.545149959183668</c:v>
                </c:pt>
                <c:pt idx="186">
                  <c:v>21.534723918367344</c:v>
                </c:pt>
                <c:pt idx="187">
                  <c:v>21.523391265306117</c:v>
                </c:pt>
                <c:pt idx="188">
                  <c:v>21.511151999999996</c:v>
                </c:pt>
                <c:pt idx="189">
                  <c:v>21.498006122448974</c:v>
                </c:pt>
                <c:pt idx="190">
                  <c:v>21.483953632653058</c:v>
                </c:pt>
                <c:pt idx="191">
                  <c:v>21.468994530612242</c:v>
                </c:pt>
                <c:pt idx="192">
                  <c:v>21.453128816326529</c:v>
                </c:pt>
                <c:pt idx="193">
                  <c:v>21.436356489795916</c:v>
                </c:pt>
                <c:pt idx="194">
                  <c:v>21.418677551020405</c:v>
                </c:pt>
                <c:pt idx="195">
                  <c:v>21.400092000000001</c:v>
                </c:pt>
                <c:pt idx="196">
                  <c:v>21.380599836734692</c:v>
                </c:pt>
                <c:pt idx="197">
                  <c:v>21.36020106122449</c:v>
                </c:pt>
                <c:pt idx="198">
                  <c:v>21.338895673469384</c:v>
                </c:pt>
                <c:pt idx="199">
                  <c:v>21.316683673469388</c:v>
                </c:pt>
                <c:pt idx="200">
                  <c:v>21.293565061224488</c:v>
                </c:pt>
                <c:pt idx="201">
                  <c:v>21.26953983673469</c:v>
                </c:pt>
                <c:pt idx="202">
                  <c:v>21.244607999999996</c:v>
                </c:pt>
                <c:pt idx="203">
                  <c:v>21.218769551020408</c:v>
                </c:pt>
                <c:pt idx="204">
                  <c:v>21.192024489795919</c:v>
                </c:pt>
                <c:pt idx="205">
                  <c:v>21.164372816326527</c:v>
                </c:pt>
                <c:pt idx="206">
                  <c:v>21.135814530612244</c:v>
                </c:pt>
                <c:pt idx="207">
                  <c:v>21.10634963265306</c:v>
                </c:pt>
                <c:pt idx="208">
                  <c:v>21.07597812244898</c:v>
                </c:pt>
                <c:pt idx="209">
                  <c:v>21.044699999999995</c:v>
                </c:pt>
                <c:pt idx="210">
                  <c:v>21.012515265306121</c:v>
                </c:pt>
                <c:pt idx="211">
                  <c:v>20.979423918367345</c:v>
                </c:pt>
                <c:pt idx="212">
                  <c:v>20.945425959183673</c:v>
                </c:pt>
                <c:pt idx="213">
                  <c:v>20.910521387755097</c:v>
                </c:pt>
                <c:pt idx="214">
                  <c:v>20.87471020408163</c:v>
                </c:pt>
                <c:pt idx="215">
                  <c:v>20.837992408163263</c:v>
                </c:pt>
                <c:pt idx="216">
                  <c:v>20.800368000000002</c:v>
                </c:pt>
                <c:pt idx="217">
                  <c:v>20.761836979591834</c:v>
                </c:pt>
                <c:pt idx="218">
                  <c:v>20.722399346938772</c:v>
                </c:pt>
                <c:pt idx="219">
                  <c:v>20.682055102040817</c:v>
                </c:pt>
                <c:pt idx="220">
                  <c:v>20.640804244897961</c:v>
                </c:pt>
                <c:pt idx="221">
                  <c:v>20.598646775510201</c:v>
                </c:pt>
                <c:pt idx="222">
                  <c:v>20.55558269387755</c:v>
                </c:pt>
                <c:pt idx="223">
                  <c:v>20.511612</c:v>
                </c:pt>
                <c:pt idx="224">
                  <c:v>20.466734693877552</c:v>
                </c:pt>
                <c:pt idx="225">
                  <c:v>20.4209507755102</c:v>
                </c:pt>
                <c:pt idx="226">
                  <c:v>20.374260244897958</c:v>
                </c:pt>
                <c:pt idx="227">
                  <c:v>20.326663102040815</c:v>
                </c:pt>
                <c:pt idx="228">
                  <c:v>20.278159346938775</c:v>
                </c:pt>
                <c:pt idx="229">
                  <c:v>20.228748979591831</c:v>
                </c:pt>
                <c:pt idx="230">
                  <c:v>20.178431999999997</c:v>
                </c:pt>
                <c:pt idx="231">
                  <c:v>20.127208408163266</c:v>
                </c:pt>
                <c:pt idx="232">
                  <c:v>20.075078204081635</c:v>
                </c:pt>
                <c:pt idx="233">
                  <c:v>20.022041387755099</c:v>
                </c:pt>
                <c:pt idx="234">
                  <c:v>19.96809795918367</c:v>
                </c:pt>
                <c:pt idx="235">
                  <c:v>19.913247918367347</c:v>
                </c:pt>
                <c:pt idx="236">
                  <c:v>19.857491265306123</c:v>
                </c:pt>
                <c:pt idx="237">
                  <c:v>19.800827999999996</c:v>
                </c:pt>
                <c:pt idx="238">
                  <c:v>19.743258122448978</c:v>
                </c:pt>
                <c:pt idx="239">
                  <c:v>19.68478163265306</c:v>
                </c:pt>
                <c:pt idx="240">
                  <c:v>19.625398530612248</c:v>
                </c:pt>
                <c:pt idx="241">
                  <c:v>19.565108816326529</c:v>
                </c:pt>
                <c:pt idx="242">
                  <c:v>19.503912489795916</c:v>
                </c:pt>
                <c:pt idx="243">
                  <c:v>19.441809551020409</c:v>
                </c:pt>
                <c:pt idx="244">
                  <c:v>19.378800000000002</c:v>
                </c:pt>
                <c:pt idx="245">
                  <c:v>19.31488383673469</c:v>
                </c:pt>
                <c:pt idx="246">
                  <c:v>19.250061061224489</c:v>
                </c:pt>
                <c:pt idx="247">
                  <c:v>19.184331673469387</c:v>
                </c:pt>
                <c:pt idx="248">
                  <c:v>19.117695673469388</c:v>
                </c:pt>
                <c:pt idx="249">
                  <c:v>19.050153061224485</c:v>
                </c:pt>
                <c:pt idx="250">
                  <c:v>18.981703836734692</c:v>
                </c:pt>
                <c:pt idx="251">
                  <c:v>18.912348000000001</c:v>
                </c:pt>
                <c:pt idx="252">
                  <c:v>18.842085551020411</c:v>
                </c:pt>
                <c:pt idx="253">
                  <c:v>18.770916489795916</c:v>
                </c:pt>
                <c:pt idx="254">
                  <c:v>18.698840816326531</c:v>
                </c:pt>
                <c:pt idx="255">
                  <c:v>18.625858530612245</c:v>
                </c:pt>
                <c:pt idx="256">
                  <c:v>18.551969632653062</c:v>
                </c:pt>
                <c:pt idx="257">
                  <c:v>18.477174122448982</c:v>
                </c:pt>
                <c:pt idx="258">
                  <c:v>18.401471999999998</c:v>
                </c:pt>
                <c:pt idx="259">
                  <c:v>18.324863265306121</c:v>
                </c:pt>
                <c:pt idx="260">
                  <c:v>18.24734791836735</c:v>
                </c:pt>
                <c:pt idx="261">
                  <c:v>18.168925959183678</c:v>
                </c:pt>
                <c:pt idx="262">
                  <c:v>18.089597387755099</c:v>
                </c:pt>
                <c:pt idx="263">
                  <c:v>18.009362204081633</c:v>
                </c:pt>
                <c:pt idx="264">
                  <c:v>17.928220408163266</c:v>
                </c:pt>
                <c:pt idx="265">
                  <c:v>17.846172000000003</c:v>
                </c:pt>
                <c:pt idx="266">
                  <c:v>17.763216979591839</c:v>
                </c:pt>
                <c:pt idx="267">
                  <c:v>17.679355346938777</c:v>
                </c:pt>
                <c:pt idx="268">
                  <c:v>17.594587102040819</c:v>
                </c:pt>
                <c:pt idx="269">
                  <c:v>17.508912244897964</c:v>
                </c:pt>
                <c:pt idx="270">
                  <c:v>17.422330775510204</c:v>
                </c:pt>
                <c:pt idx="271">
                  <c:v>17.334842693877555</c:v>
                </c:pt>
                <c:pt idx="272">
                  <c:v>17.246448000000001</c:v>
                </c:pt>
                <c:pt idx="273">
                  <c:v>17.157146693877557</c:v>
                </c:pt>
                <c:pt idx="274">
                  <c:v>17.066938775510202</c:v>
                </c:pt>
                <c:pt idx="275">
                  <c:v>16.975824244897957</c:v>
                </c:pt>
                <c:pt idx="276">
                  <c:v>16.883803102040815</c:v>
                </c:pt>
                <c:pt idx="277">
                  <c:v>16.790875346938776</c:v>
                </c:pt>
                <c:pt idx="278">
                  <c:v>16.697040979591833</c:v>
                </c:pt>
                <c:pt idx="279">
                  <c:v>16.6023</c:v>
                </c:pt>
                <c:pt idx="280">
                  <c:v>16.506652408163269</c:v>
                </c:pt>
                <c:pt idx="281">
                  <c:v>16.410098204081635</c:v>
                </c:pt>
                <c:pt idx="282">
                  <c:v>16.312637387755103</c:v>
                </c:pt>
                <c:pt idx="283">
                  <c:v>16.214269959183675</c:v>
                </c:pt>
                <c:pt idx="284">
                  <c:v>16.114995918367349</c:v>
                </c:pt>
                <c:pt idx="285">
                  <c:v>16.014815265306126</c:v>
                </c:pt>
                <c:pt idx="286">
                  <c:v>15.913727999999999</c:v>
                </c:pt>
                <c:pt idx="287">
                  <c:v>15.811734122448982</c:v>
                </c:pt>
                <c:pt idx="288">
                  <c:v>15.708833632653061</c:v>
                </c:pt>
                <c:pt idx="289">
                  <c:v>15.60502653061225</c:v>
                </c:pt>
                <c:pt idx="290">
                  <c:v>15.500312816326527</c:v>
                </c:pt>
                <c:pt idx="291">
                  <c:v>15.394692489795922</c:v>
                </c:pt>
                <c:pt idx="292">
                  <c:v>15.288165551020413</c:v>
                </c:pt>
                <c:pt idx="293">
                  <c:v>15.180732000000006</c:v>
                </c:pt>
                <c:pt idx="294">
                  <c:v>15.072391836734695</c:v>
                </c:pt>
                <c:pt idx="295">
                  <c:v>14.963145061224488</c:v>
                </c:pt>
                <c:pt idx="296">
                  <c:v>14.85299167346939</c:v>
                </c:pt>
                <c:pt idx="297">
                  <c:v>14.741931673469395</c:v>
                </c:pt>
                <c:pt idx="298">
                  <c:v>14.629965061224489</c:v>
                </c:pt>
                <c:pt idx="299">
                  <c:v>14.517091836734693</c:v>
                </c:pt>
                <c:pt idx="300">
                  <c:v>14.403312</c:v>
                </c:pt>
                <c:pt idx="301">
                  <c:v>14.288625551020409</c:v>
                </c:pt>
                <c:pt idx="302">
                  <c:v>14.173032489795915</c:v>
                </c:pt>
                <c:pt idx="303">
                  <c:v>14.056532816326531</c:v>
                </c:pt>
                <c:pt idx="304">
                  <c:v>13.939126530612249</c:v>
                </c:pt>
                <c:pt idx="305">
                  <c:v>13.820813632653064</c:v>
                </c:pt>
                <c:pt idx="306">
                  <c:v>13.701594122448981</c:v>
                </c:pt>
                <c:pt idx="307">
                  <c:v>13.581468000000001</c:v>
                </c:pt>
                <c:pt idx="308">
                  <c:v>13.460435265306124</c:v>
                </c:pt>
                <c:pt idx="309">
                  <c:v>13.33849591836735</c:v>
                </c:pt>
                <c:pt idx="310">
                  <c:v>13.215649959183672</c:v>
                </c:pt>
                <c:pt idx="311">
                  <c:v>13.091897387755104</c:v>
                </c:pt>
                <c:pt idx="312">
                  <c:v>12.967238204081639</c:v>
                </c:pt>
                <c:pt idx="313">
                  <c:v>12.841672408163269</c:v>
                </c:pt>
                <c:pt idx="314">
                  <c:v>12.715200000000003</c:v>
                </c:pt>
                <c:pt idx="315">
                  <c:v>12.587820979591839</c:v>
                </c:pt>
                <c:pt idx="316">
                  <c:v>12.459535346938779</c:v>
                </c:pt>
                <c:pt idx="317">
                  <c:v>12.330343102040821</c:v>
                </c:pt>
                <c:pt idx="318">
                  <c:v>12.200244244897959</c:v>
                </c:pt>
                <c:pt idx="319">
                  <c:v>12.069238775510208</c:v>
                </c:pt>
                <c:pt idx="320">
                  <c:v>11.937326693877552</c:v>
                </c:pt>
                <c:pt idx="321">
                  <c:v>11.804508000000006</c:v>
                </c:pt>
                <c:pt idx="322">
                  <c:v>11.670782693877555</c:v>
                </c:pt>
                <c:pt idx="323">
                  <c:v>11.536150775510208</c:v>
                </c:pt>
                <c:pt idx="324">
                  <c:v>11.400612244897964</c:v>
                </c:pt>
                <c:pt idx="325">
                  <c:v>11.264167102040822</c:v>
                </c:pt>
                <c:pt idx="326">
                  <c:v>11.126815346938784</c:v>
                </c:pt>
                <c:pt idx="327">
                  <c:v>10.988556979591841</c:v>
                </c:pt>
                <c:pt idx="328">
                  <c:v>10.849392000000002</c:v>
                </c:pt>
                <c:pt idx="329">
                  <c:v>10.709320408163272</c:v>
                </c:pt>
                <c:pt idx="330">
                  <c:v>10.568342204081638</c:v>
                </c:pt>
                <c:pt idx="331">
                  <c:v>10.426457387755107</c:v>
                </c:pt>
                <c:pt idx="332">
                  <c:v>10.283665959183679</c:v>
                </c:pt>
                <c:pt idx="333">
                  <c:v>10.139967918367354</c:v>
                </c:pt>
                <c:pt idx="334">
                  <c:v>9.995363265306132</c:v>
                </c:pt>
                <c:pt idx="335">
                  <c:v>9.8498519999999985</c:v>
                </c:pt>
                <c:pt idx="336">
                  <c:v>9.7034341224489822</c:v>
                </c:pt>
                <c:pt idx="337">
                  <c:v>9.5561096326530688</c:v>
                </c:pt>
                <c:pt idx="338">
                  <c:v>9.4078785306122512</c:v>
                </c:pt>
                <c:pt idx="339">
                  <c:v>9.2587408163265295</c:v>
                </c:pt>
                <c:pt idx="340">
                  <c:v>9.1086964897959248</c:v>
                </c:pt>
                <c:pt idx="341">
                  <c:v>8.957745551020416</c:v>
                </c:pt>
                <c:pt idx="342">
                  <c:v>8.8058880000000102</c:v>
                </c:pt>
                <c:pt idx="343">
                  <c:v>8.653123836734693</c:v>
                </c:pt>
                <c:pt idx="344">
                  <c:v>8.499453061224493</c:v>
                </c:pt>
                <c:pt idx="345">
                  <c:v>8.3448756734693958</c:v>
                </c:pt>
                <c:pt idx="346">
                  <c:v>8.1893916734693946</c:v>
                </c:pt>
                <c:pt idx="347">
                  <c:v>8.0330010612244891</c:v>
                </c:pt>
                <c:pt idx="348">
                  <c:v>7.8757038367347008</c:v>
                </c:pt>
                <c:pt idx="349">
                  <c:v>7.7175000000000082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D2-4DC4-8AC4-1376402B75F1}"/>
            </c:ext>
          </c:extLst>
        </c:ser>
        <c:ser>
          <c:idx val="2"/>
          <c:order val="2"/>
          <c:tx>
            <c:strRef>
              <c:f>Equilibrio!$D$1</c:f>
              <c:strCache>
                <c:ptCount val="1"/>
                <c:pt idx="0">
                  <c:v>Peso Superestrutura (ton/m)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Equilibrio!$A$2:$A$351</c:f>
              <c:numCache>
                <c:formatCode>General</c:formatCode>
                <c:ptCount val="3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</c:numCache>
            </c:numRef>
          </c:xVal>
          <c:yVal>
            <c:numRef>
              <c:f>Equilibrio!$D$2:$D$351</c:f>
              <c:numCache>
                <c:formatCode>General</c:formatCode>
                <c:ptCount val="350"/>
                <c:pt idx="0">
                  <c:v>617.4</c:v>
                </c:pt>
                <c:pt idx="1">
                  <c:v>617.4</c:v>
                </c:pt>
                <c:pt idx="2">
                  <c:v>617.4</c:v>
                </c:pt>
                <c:pt idx="3">
                  <c:v>617.4</c:v>
                </c:pt>
                <c:pt idx="4">
                  <c:v>617.4</c:v>
                </c:pt>
                <c:pt idx="5">
                  <c:v>617.4</c:v>
                </c:pt>
                <c:pt idx="6">
                  <c:v>617.4</c:v>
                </c:pt>
                <c:pt idx="7">
                  <c:v>617.4</c:v>
                </c:pt>
                <c:pt idx="8">
                  <c:v>617.4</c:v>
                </c:pt>
                <c:pt idx="9">
                  <c:v>617.4</c:v>
                </c:pt>
                <c:pt idx="10">
                  <c:v>617.4</c:v>
                </c:pt>
                <c:pt idx="11">
                  <c:v>617.4</c:v>
                </c:pt>
                <c:pt idx="12">
                  <c:v>617.4</c:v>
                </c:pt>
                <c:pt idx="13">
                  <c:v>617.4</c:v>
                </c:pt>
                <c:pt idx="14">
                  <c:v>617.4</c:v>
                </c:pt>
                <c:pt idx="15">
                  <c:v>617.4</c:v>
                </c:pt>
                <c:pt idx="16">
                  <c:v>617.4</c:v>
                </c:pt>
                <c:pt idx="17">
                  <c:v>617.4</c:v>
                </c:pt>
                <c:pt idx="18">
                  <c:v>617.4</c:v>
                </c:pt>
                <c:pt idx="19">
                  <c:v>617.4</c:v>
                </c:pt>
                <c:pt idx="20">
                  <c:v>617.4</c:v>
                </c:pt>
                <c:pt idx="21">
                  <c:v>617.4</c:v>
                </c:pt>
                <c:pt idx="22">
                  <c:v>617.4</c:v>
                </c:pt>
                <c:pt idx="23">
                  <c:v>617.4</c:v>
                </c:pt>
                <c:pt idx="24">
                  <c:v>617.4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6D2-4DC4-8AC4-1376402B75F1}"/>
            </c:ext>
          </c:extLst>
        </c:ser>
        <c:ser>
          <c:idx val="3"/>
          <c:order val="3"/>
          <c:tx>
            <c:strRef>
              <c:f>Equilibrio!$E$1</c:f>
              <c:strCache>
                <c:ptCount val="1"/>
                <c:pt idx="0">
                  <c:v>Peso PM (ton/m)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Equilibrio!$A$2:$A$351</c:f>
              <c:numCache>
                <c:formatCode>General</c:formatCode>
                <c:ptCount val="3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</c:numCache>
            </c:numRef>
          </c:xVal>
          <c:yVal>
            <c:numRef>
              <c:f>Equilibrio!$E$2:$E$351</c:f>
              <c:numCache>
                <c:formatCode>General</c:formatCode>
                <c:ptCount val="350"/>
                <c:pt idx="0">
                  <c:v>385.87499999999994</c:v>
                </c:pt>
                <c:pt idx="1">
                  <c:v>385.87499999999994</c:v>
                </c:pt>
                <c:pt idx="2">
                  <c:v>385.87499999999994</c:v>
                </c:pt>
                <c:pt idx="3">
                  <c:v>385.87499999999994</c:v>
                </c:pt>
                <c:pt idx="4">
                  <c:v>385.87499999999994</c:v>
                </c:pt>
                <c:pt idx="5">
                  <c:v>385.87499999999994</c:v>
                </c:pt>
                <c:pt idx="6">
                  <c:v>385.87499999999994</c:v>
                </c:pt>
                <c:pt idx="7">
                  <c:v>385.87499999999994</c:v>
                </c:pt>
                <c:pt idx="8">
                  <c:v>385.87499999999994</c:v>
                </c:pt>
                <c:pt idx="9">
                  <c:v>385.87499999999994</c:v>
                </c:pt>
                <c:pt idx="10">
                  <c:v>385.87499999999994</c:v>
                </c:pt>
                <c:pt idx="11">
                  <c:v>385.87499999999994</c:v>
                </c:pt>
                <c:pt idx="12">
                  <c:v>385.87499999999994</c:v>
                </c:pt>
                <c:pt idx="13">
                  <c:v>385.87499999999994</c:v>
                </c:pt>
                <c:pt idx="14">
                  <c:v>385.87499999999994</c:v>
                </c:pt>
                <c:pt idx="15">
                  <c:v>385.87499999999994</c:v>
                </c:pt>
                <c:pt idx="16">
                  <c:v>385.87499999999994</c:v>
                </c:pt>
                <c:pt idx="17">
                  <c:v>385.87499999999994</c:v>
                </c:pt>
                <c:pt idx="18">
                  <c:v>385.87499999999994</c:v>
                </c:pt>
                <c:pt idx="19">
                  <c:v>385.87499999999994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6D2-4DC4-8AC4-1376402B75F1}"/>
            </c:ext>
          </c:extLst>
        </c:ser>
        <c:ser>
          <c:idx val="4"/>
          <c:order val="4"/>
          <c:tx>
            <c:strRef>
              <c:f>Equilibrio!$F$1</c:f>
              <c:strCache>
                <c:ptCount val="1"/>
                <c:pt idx="0">
                  <c:v>Peso Carga - C1 (ton/m)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Equilibrio!$A$2:$A$351</c:f>
              <c:numCache>
                <c:formatCode>General</c:formatCode>
                <c:ptCount val="3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</c:numCache>
            </c:numRef>
          </c:xVal>
          <c:yVal>
            <c:numRef>
              <c:f>Equilibrio!$F$2:$F$351</c:f>
              <c:numCache>
                <c:formatCode>0.00</c:formatCode>
                <c:ptCount val="3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285.60000000000002</c:v>
                </c:pt>
                <c:pt idx="21">
                  <c:v>285.60000000000002</c:v>
                </c:pt>
                <c:pt idx="22">
                  <c:v>285.60000000000002</c:v>
                </c:pt>
                <c:pt idx="23">
                  <c:v>285.60000000000002</c:v>
                </c:pt>
                <c:pt idx="24">
                  <c:v>285.60000000000002</c:v>
                </c:pt>
                <c:pt idx="25">
                  <c:v>285.60000000000002</c:v>
                </c:pt>
                <c:pt idx="26">
                  <c:v>285.60000000000002</c:v>
                </c:pt>
                <c:pt idx="27">
                  <c:v>285.60000000000002</c:v>
                </c:pt>
                <c:pt idx="28">
                  <c:v>285.60000000000002</c:v>
                </c:pt>
                <c:pt idx="29">
                  <c:v>285.60000000000002</c:v>
                </c:pt>
                <c:pt idx="30">
                  <c:v>285.60000000000002</c:v>
                </c:pt>
                <c:pt idx="31">
                  <c:v>285.60000000000002</c:v>
                </c:pt>
                <c:pt idx="32">
                  <c:v>285.60000000000002</c:v>
                </c:pt>
                <c:pt idx="33">
                  <c:v>285.60000000000002</c:v>
                </c:pt>
                <c:pt idx="34">
                  <c:v>285.60000000000002</c:v>
                </c:pt>
                <c:pt idx="35">
                  <c:v>285.60000000000002</c:v>
                </c:pt>
                <c:pt idx="36">
                  <c:v>285.60000000000002</c:v>
                </c:pt>
                <c:pt idx="37">
                  <c:v>285.60000000000002</c:v>
                </c:pt>
                <c:pt idx="38">
                  <c:v>285.60000000000002</c:v>
                </c:pt>
                <c:pt idx="39">
                  <c:v>285.60000000000002</c:v>
                </c:pt>
                <c:pt idx="40">
                  <c:v>285.60000000000002</c:v>
                </c:pt>
                <c:pt idx="41">
                  <c:v>285.60000000000002</c:v>
                </c:pt>
                <c:pt idx="42">
                  <c:v>285.60000000000002</c:v>
                </c:pt>
                <c:pt idx="43">
                  <c:v>285.60000000000002</c:v>
                </c:pt>
                <c:pt idx="44">
                  <c:v>285.60000000000002</c:v>
                </c:pt>
                <c:pt idx="45">
                  <c:v>285.60000000000002</c:v>
                </c:pt>
                <c:pt idx="46">
                  <c:v>285.60000000000002</c:v>
                </c:pt>
                <c:pt idx="47">
                  <c:v>285.60000000000002</c:v>
                </c:pt>
                <c:pt idx="48">
                  <c:v>285.60000000000002</c:v>
                </c:pt>
                <c:pt idx="49">
                  <c:v>285.60000000000002</c:v>
                </c:pt>
                <c:pt idx="50">
                  <c:v>285.60000000000002</c:v>
                </c:pt>
                <c:pt idx="51">
                  <c:v>285.60000000000002</c:v>
                </c:pt>
                <c:pt idx="52">
                  <c:v>285.60000000000002</c:v>
                </c:pt>
                <c:pt idx="53">
                  <c:v>285.60000000000002</c:v>
                </c:pt>
                <c:pt idx="54">
                  <c:v>285.60000000000002</c:v>
                </c:pt>
                <c:pt idx="55">
                  <c:v>285.60000000000002</c:v>
                </c:pt>
                <c:pt idx="56">
                  <c:v>285.60000000000002</c:v>
                </c:pt>
                <c:pt idx="57">
                  <c:v>285.60000000000002</c:v>
                </c:pt>
                <c:pt idx="58">
                  <c:v>285.60000000000002</c:v>
                </c:pt>
                <c:pt idx="59">
                  <c:v>285.60000000000002</c:v>
                </c:pt>
                <c:pt idx="60">
                  <c:v>285.60000000000002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6D2-4DC4-8AC4-1376402B75F1}"/>
            </c:ext>
          </c:extLst>
        </c:ser>
        <c:ser>
          <c:idx val="5"/>
          <c:order val="5"/>
          <c:tx>
            <c:strRef>
              <c:f>Equilibrio!$G$1</c:f>
              <c:strCache>
                <c:ptCount val="1"/>
                <c:pt idx="0">
                  <c:v>Peso Carga - C2 (ton/m)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Equilibrio!$A$2:$A$351</c:f>
              <c:numCache>
                <c:formatCode>General</c:formatCode>
                <c:ptCount val="3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</c:numCache>
            </c:numRef>
          </c:xVal>
          <c:yVal>
            <c:numRef>
              <c:f>Equilibrio!$G$2:$G$351</c:f>
              <c:numCache>
                <c:formatCode>0.00</c:formatCode>
                <c:ptCount val="3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217.05599999999998</c:v>
                </c:pt>
                <c:pt idx="62">
                  <c:v>217.05599999999998</c:v>
                </c:pt>
                <c:pt idx="63">
                  <c:v>217.05599999999998</c:v>
                </c:pt>
                <c:pt idx="64">
                  <c:v>217.05599999999998</c:v>
                </c:pt>
                <c:pt idx="65">
                  <c:v>217.05599999999998</c:v>
                </c:pt>
                <c:pt idx="66">
                  <c:v>217.05599999999998</c:v>
                </c:pt>
                <c:pt idx="67">
                  <c:v>217.05599999999998</c:v>
                </c:pt>
                <c:pt idx="68">
                  <c:v>217.05599999999998</c:v>
                </c:pt>
                <c:pt idx="69">
                  <c:v>217.05599999999998</c:v>
                </c:pt>
                <c:pt idx="70">
                  <c:v>217.05599999999998</c:v>
                </c:pt>
                <c:pt idx="71">
                  <c:v>217.05599999999998</c:v>
                </c:pt>
                <c:pt idx="72">
                  <c:v>217.05599999999998</c:v>
                </c:pt>
                <c:pt idx="73">
                  <c:v>217.05599999999998</c:v>
                </c:pt>
                <c:pt idx="74">
                  <c:v>217.05599999999998</c:v>
                </c:pt>
                <c:pt idx="75">
                  <c:v>217.05599999999998</c:v>
                </c:pt>
                <c:pt idx="76">
                  <c:v>217.05599999999998</c:v>
                </c:pt>
                <c:pt idx="77">
                  <c:v>217.05599999999998</c:v>
                </c:pt>
                <c:pt idx="78">
                  <c:v>217.05599999999998</c:v>
                </c:pt>
                <c:pt idx="79">
                  <c:v>217.05599999999998</c:v>
                </c:pt>
                <c:pt idx="80">
                  <c:v>217.05599999999998</c:v>
                </c:pt>
                <c:pt idx="81">
                  <c:v>217.05599999999998</c:v>
                </c:pt>
                <c:pt idx="82">
                  <c:v>217.05599999999998</c:v>
                </c:pt>
                <c:pt idx="83">
                  <c:v>217.05599999999998</c:v>
                </c:pt>
                <c:pt idx="84">
                  <c:v>217.05599999999998</c:v>
                </c:pt>
                <c:pt idx="85">
                  <c:v>217.05599999999998</c:v>
                </c:pt>
                <c:pt idx="86">
                  <c:v>217.05599999999998</c:v>
                </c:pt>
                <c:pt idx="87">
                  <c:v>217.05599999999998</c:v>
                </c:pt>
                <c:pt idx="88">
                  <c:v>217.05599999999998</c:v>
                </c:pt>
                <c:pt idx="89">
                  <c:v>217.05599999999998</c:v>
                </c:pt>
                <c:pt idx="90">
                  <c:v>217.05599999999998</c:v>
                </c:pt>
                <c:pt idx="91">
                  <c:v>217.05599999999998</c:v>
                </c:pt>
                <c:pt idx="92">
                  <c:v>217.05599999999998</c:v>
                </c:pt>
                <c:pt idx="93">
                  <c:v>217.05599999999998</c:v>
                </c:pt>
                <c:pt idx="94">
                  <c:v>217.05599999999998</c:v>
                </c:pt>
                <c:pt idx="95">
                  <c:v>217.05599999999998</c:v>
                </c:pt>
                <c:pt idx="96">
                  <c:v>217.05599999999998</c:v>
                </c:pt>
                <c:pt idx="97">
                  <c:v>217.05599999999998</c:v>
                </c:pt>
                <c:pt idx="98">
                  <c:v>217.05599999999998</c:v>
                </c:pt>
                <c:pt idx="99">
                  <c:v>217.05599999999998</c:v>
                </c:pt>
                <c:pt idx="100">
                  <c:v>217.05599999999998</c:v>
                </c:pt>
                <c:pt idx="101">
                  <c:v>217.05599999999998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6D2-4DC4-8AC4-1376402B75F1}"/>
            </c:ext>
          </c:extLst>
        </c:ser>
        <c:ser>
          <c:idx val="6"/>
          <c:order val="6"/>
          <c:tx>
            <c:strRef>
              <c:f>Equilibrio!$H$1</c:f>
              <c:strCache>
                <c:ptCount val="1"/>
                <c:pt idx="0">
                  <c:v>Peso Carga - C3 (ton/m)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Equilibrio!$A$2:$A$351</c:f>
              <c:numCache>
                <c:formatCode>General</c:formatCode>
                <c:ptCount val="3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</c:numCache>
            </c:numRef>
          </c:xVal>
          <c:yVal>
            <c:numRef>
              <c:f>Equilibrio!$H$2:$H$351</c:f>
              <c:numCache>
                <c:formatCode>0.00</c:formatCode>
                <c:ptCount val="3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411.26400000000001</c:v>
                </c:pt>
                <c:pt idx="103">
                  <c:v>411.26400000000001</c:v>
                </c:pt>
                <c:pt idx="104">
                  <c:v>411.26400000000001</c:v>
                </c:pt>
                <c:pt idx="105">
                  <c:v>411.26400000000001</c:v>
                </c:pt>
                <c:pt idx="106">
                  <c:v>411.26400000000001</c:v>
                </c:pt>
                <c:pt idx="107">
                  <c:v>411.26400000000001</c:v>
                </c:pt>
                <c:pt idx="108">
                  <c:v>411.26400000000001</c:v>
                </c:pt>
                <c:pt idx="109">
                  <c:v>411.26400000000001</c:v>
                </c:pt>
                <c:pt idx="110">
                  <c:v>411.26400000000001</c:v>
                </c:pt>
                <c:pt idx="111">
                  <c:v>411.26400000000001</c:v>
                </c:pt>
                <c:pt idx="112">
                  <c:v>411.26400000000001</c:v>
                </c:pt>
                <c:pt idx="113">
                  <c:v>411.26400000000001</c:v>
                </c:pt>
                <c:pt idx="114">
                  <c:v>411.26400000000001</c:v>
                </c:pt>
                <c:pt idx="115">
                  <c:v>411.26400000000001</c:v>
                </c:pt>
                <c:pt idx="116">
                  <c:v>411.26400000000001</c:v>
                </c:pt>
                <c:pt idx="117">
                  <c:v>411.26400000000001</c:v>
                </c:pt>
                <c:pt idx="118">
                  <c:v>411.26400000000001</c:v>
                </c:pt>
                <c:pt idx="119">
                  <c:v>411.26400000000001</c:v>
                </c:pt>
                <c:pt idx="120">
                  <c:v>411.26400000000001</c:v>
                </c:pt>
                <c:pt idx="121">
                  <c:v>411.26400000000001</c:v>
                </c:pt>
                <c:pt idx="122">
                  <c:v>411.26400000000001</c:v>
                </c:pt>
                <c:pt idx="123">
                  <c:v>411.26400000000001</c:v>
                </c:pt>
                <c:pt idx="124">
                  <c:v>411.26400000000001</c:v>
                </c:pt>
                <c:pt idx="125">
                  <c:v>411.26400000000001</c:v>
                </c:pt>
                <c:pt idx="126">
                  <c:v>411.26400000000001</c:v>
                </c:pt>
                <c:pt idx="127">
                  <c:v>411.26400000000001</c:v>
                </c:pt>
                <c:pt idx="128">
                  <c:v>411.26400000000001</c:v>
                </c:pt>
                <c:pt idx="129">
                  <c:v>411.26400000000001</c:v>
                </c:pt>
                <c:pt idx="130">
                  <c:v>411.26400000000001</c:v>
                </c:pt>
                <c:pt idx="131">
                  <c:v>411.26400000000001</c:v>
                </c:pt>
                <c:pt idx="132">
                  <c:v>411.26400000000001</c:v>
                </c:pt>
                <c:pt idx="133">
                  <c:v>411.26400000000001</c:v>
                </c:pt>
                <c:pt idx="134">
                  <c:v>411.26400000000001</c:v>
                </c:pt>
                <c:pt idx="135">
                  <c:v>411.26400000000001</c:v>
                </c:pt>
                <c:pt idx="136">
                  <c:v>411.26400000000001</c:v>
                </c:pt>
                <c:pt idx="137">
                  <c:v>411.26400000000001</c:v>
                </c:pt>
                <c:pt idx="138">
                  <c:v>411.26400000000001</c:v>
                </c:pt>
                <c:pt idx="139">
                  <c:v>411.26400000000001</c:v>
                </c:pt>
                <c:pt idx="140">
                  <c:v>411.26400000000001</c:v>
                </c:pt>
                <c:pt idx="141">
                  <c:v>411.26400000000001</c:v>
                </c:pt>
                <c:pt idx="142">
                  <c:v>411.26400000000001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6D2-4DC4-8AC4-1376402B75F1}"/>
            </c:ext>
          </c:extLst>
        </c:ser>
        <c:ser>
          <c:idx val="7"/>
          <c:order val="7"/>
          <c:tx>
            <c:strRef>
              <c:f>Equilibrio!$I$1</c:f>
              <c:strCache>
                <c:ptCount val="1"/>
                <c:pt idx="0">
                  <c:v>Peso Carga - C4 (ton/m)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Equilibrio!$A$2:$A$351</c:f>
              <c:numCache>
                <c:formatCode>General</c:formatCode>
                <c:ptCount val="3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</c:numCache>
            </c:numRef>
          </c:xVal>
          <c:yVal>
            <c:numRef>
              <c:f>Equilibrio!$I$2:$I$351</c:f>
              <c:numCache>
                <c:formatCode>0.00</c:formatCode>
                <c:ptCount val="3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571.20000000000005</c:v>
                </c:pt>
                <c:pt idx="144">
                  <c:v>571.20000000000005</c:v>
                </c:pt>
                <c:pt idx="145">
                  <c:v>571.20000000000005</c:v>
                </c:pt>
                <c:pt idx="146">
                  <c:v>571.20000000000005</c:v>
                </c:pt>
                <c:pt idx="147">
                  <c:v>571.20000000000005</c:v>
                </c:pt>
                <c:pt idx="148">
                  <c:v>571.20000000000005</c:v>
                </c:pt>
                <c:pt idx="149">
                  <c:v>571.20000000000005</c:v>
                </c:pt>
                <c:pt idx="150">
                  <c:v>571.20000000000005</c:v>
                </c:pt>
                <c:pt idx="151">
                  <c:v>571.20000000000005</c:v>
                </c:pt>
                <c:pt idx="152">
                  <c:v>571.20000000000005</c:v>
                </c:pt>
                <c:pt idx="153">
                  <c:v>571.20000000000005</c:v>
                </c:pt>
                <c:pt idx="154">
                  <c:v>571.20000000000005</c:v>
                </c:pt>
                <c:pt idx="155">
                  <c:v>571.20000000000005</c:v>
                </c:pt>
                <c:pt idx="156">
                  <c:v>571.20000000000005</c:v>
                </c:pt>
                <c:pt idx="157">
                  <c:v>571.20000000000005</c:v>
                </c:pt>
                <c:pt idx="158">
                  <c:v>571.20000000000005</c:v>
                </c:pt>
                <c:pt idx="159">
                  <c:v>571.20000000000005</c:v>
                </c:pt>
                <c:pt idx="160">
                  <c:v>571.20000000000005</c:v>
                </c:pt>
                <c:pt idx="161">
                  <c:v>571.20000000000005</c:v>
                </c:pt>
                <c:pt idx="162">
                  <c:v>571.20000000000005</c:v>
                </c:pt>
                <c:pt idx="163">
                  <c:v>571.20000000000005</c:v>
                </c:pt>
                <c:pt idx="164">
                  <c:v>571.20000000000005</c:v>
                </c:pt>
                <c:pt idx="165">
                  <c:v>571.20000000000005</c:v>
                </c:pt>
                <c:pt idx="166">
                  <c:v>571.20000000000005</c:v>
                </c:pt>
                <c:pt idx="167">
                  <c:v>571.20000000000005</c:v>
                </c:pt>
                <c:pt idx="168">
                  <c:v>571.20000000000005</c:v>
                </c:pt>
                <c:pt idx="169">
                  <c:v>571.20000000000005</c:v>
                </c:pt>
                <c:pt idx="170">
                  <c:v>571.20000000000005</c:v>
                </c:pt>
                <c:pt idx="171">
                  <c:v>571.20000000000005</c:v>
                </c:pt>
                <c:pt idx="172">
                  <c:v>571.20000000000005</c:v>
                </c:pt>
                <c:pt idx="173">
                  <c:v>571.20000000000005</c:v>
                </c:pt>
                <c:pt idx="174">
                  <c:v>571.20000000000005</c:v>
                </c:pt>
                <c:pt idx="175">
                  <c:v>571.20000000000005</c:v>
                </c:pt>
                <c:pt idx="176">
                  <c:v>571.20000000000005</c:v>
                </c:pt>
                <c:pt idx="177">
                  <c:v>571.20000000000005</c:v>
                </c:pt>
                <c:pt idx="178">
                  <c:v>571.20000000000005</c:v>
                </c:pt>
                <c:pt idx="179">
                  <c:v>571.20000000000005</c:v>
                </c:pt>
                <c:pt idx="180">
                  <c:v>571.20000000000005</c:v>
                </c:pt>
                <c:pt idx="181">
                  <c:v>571.20000000000005</c:v>
                </c:pt>
                <c:pt idx="182">
                  <c:v>571.20000000000005</c:v>
                </c:pt>
                <c:pt idx="183">
                  <c:v>571.20000000000005</c:v>
                </c:pt>
                <c:pt idx="184">
                  <c:v>571.20000000000005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6D2-4DC4-8AC4-1376402B75F1}"/>
            </c:ext>
          </c:extLst>
        </c:ser>
        <c:ser>
          <c:idx val="8"/>
          <c:order val="8"/>
          <c:tx>
            <c:strRef>
              <c:f>Equilibrio!$J$1</c:f>
              <c:strCache>
                <c:ptCount val="1"/>
                <c:pt idx="0">
                  <c:v>Peso Carga - C5 (ton/m)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Equilibrio!$A$2:$A$351</c:f>
              <c:numCache>
                <c:formatCode>General</c:formatCode>
                <c:ptCount val="3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</c:numCache>
            </c:numRef>
          </c:xVal>
          <c:yVal>
            <c:numRef>
              <c:f>Equilibrio!$J$2:$J$351</c:f>
              <c:numCache>
                <c:formatCode>0.00</c:formatCode>
                <c:ptCount val="3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571.20000000000005</c:v>
                </c:pt>
                <c:pt idx="186">
                  <c:v>571.20000000000005</c:v>
                </c:pt>
                <c:pt idx="187">
                  <c:v>571.20000000000005</c:v>
                </c:pt>
                <c:pt idx="188">
                  <c:v>571.20000000000005</c:v>
                </c:pt>
                <c:pt idx="189">
                  <c:v>571.20000000000005</c:v>
                </c:pt>
                <c:pt idx="190">
                  <c:v>571.20000000000005</c:v>
                </c:pt>
                <c:pt idx="191">
                  <c:v>571.20000000000005</c:v>
                </c:pt>
                <c:pt idx="192">
                  <c:v>571.20000000000005</c:v>
                </c:pt>
                <c:pt idx="193">
                  <c:v>571.20000000000005</c:v>
                </c:pt>
                <c:pt idx="194">
                  <c:v>571.20000000000005</c:v>
                </c:pt>
                <c:pt idx="195">
                  <c:v>571.20000000000005</c:v>
                </c:pt>
                <c:pt idx="196">
                  <c:v>571.20000000000005</c:v>
                </c:pt>
                <c:pt idx="197">
                  <c:v>571.20000000000005</c:v>
                </c:pt>
                <c:pt idx="198">
                  <c:v>571.20000000000005</c:v>
                </c:pt>
                <c:pt idx="199">
                  <c:v>571.20000000000005</c:v>
                </c:pt>
                <c:pt idx="200">
                  <c:v>571.20000000000005</c:v>
                </c:pt>
                <c:pt idx="201">
                  <c:v>571.20000000000005</c:v>
                </c:pt>
                <c:pt idx="202">
                  <c:v>571.20000000000005</c:v>
                </c:pt>
                <c:pt idx="203">
                  <c:v>571.20000000000005</c:v>
                </c:pt>
                <c:pt idx="204">
                  <c:v>571.20000000000005</c:v>
                </c:pt>
                <c:pt idx="205">
                  <c:v>571.20000000000005</c:v>
                </c:pt>
                <c:pt idx="206">
                  <c:v>571.20000000000005</c:v>
                </c:pt>
                <c:pt idx="207">
                  <c:v>571.20000000000005</c:v>
                </c:pt>
                <c:pt idx="208">
                  <c:v>571.20000000000005</c:v>
                </c:pt>
                <c:pt idx="209">
                  <c:v>571.20000000000005</c:v>
                </c:pt>
                <c:pt idx="210">
                  <c:v>571.20000000000005</c:v>
                </c:pt>
                <c:pt idx="211">
                  <c:v>571.20000000000005</c:v>
                </c:pt>
                <c:pt idx="212">
                  <c:v>571.20000000000005</c:v>
                </c:pt>
                <c:pt idx="213">
                  <c:v>571.20000000000005</c:v>
                </c:pt>
                <c:pt idx="214">
                  <c:v>571.20000000000005</c:v>
                </c:pt>
                <c:pt idx="215">
                  <c:v>571.20000000000005</c:v>
                </c:pt>
                <c:pt idx="216">
                  <c:v>571.20000000000005</c:v>
                </c:pt>
                <c:pt idx="217">
                  <c:v>571.20000000000005</c:v>
                </c:pt>
                <c:pt idx="218">
                  <c:v>571.20000000000005</c:v>
                </c:pt>
                <c:pt idx="219">
                  <c:v>571.20000000000005</c:v>
                </c:pt>
                <c:pt idx="220">
                  <c:v>571.20000000000005</c:v>
                </c:pt>
                <c:pt idx="221">
                  <c:v>571.20000000000005</c:v>
                </c:pt>
                <c:pt idx="222">
                  <c:v>571.20000000000005</c:v>
                </c:pt>
                <c:pt idx="223">
                  <c:v>571.20000000000005</c:v>
                </c:pt>
                <c:pt idx="224">
                  <c:v>571.20000000000005</c:v>
                </c:pt>
                <c:pt idx="225">
                  <c:v>571.20000000000005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6D2-4DC4-8AC4-1376402B75F1}"/>
            </c:ext>
          </c:extLst>
        </c:ser>
        <c:ser>
          <c:idx val="9"/>
          <c:order val="9"/>
          <c:tx>
            <c:strRef>
              <c:f>Equilibrio!$K$1</c:f>
              <c:strCache>
                <c:ptCount val="1"/>
                <c:pt idx="0">
                  <c:v>Peso Carga - C6 (ton/m)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Equilibrio!$A$2:$A$351</c:f>
              <c:numCache>
                <c:formatCode>General</c:formatCode>
                <c:ptCount val="3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</c:numCache>
            </c:numRef>
          </c:xVal>
          <c:yVal>
            <c:numRef>
              <c:f>Equilibrio!$K$2:$K$351</c:f>
              <c:numCache>
                <c:formatCode>0.00</c:formatCode>
                <c:ptCount val="3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399.84</c:v>
                </c:pt>
                <c:pt idx="227">
                  <c:v>399.84</c:v>
                </c:pt>
                <c:pt idx="228">
                  <c:v>399.84</c:v>
                </c:pt>
                <c:pt idx="229">
                  <c:v>399.84</c:v>
                </c:pt>
                <c:pt idx="230">
                  <c:v>399.84</c:v>
                </c:pt>
                <c:pt idx="231">
                  <c:v>399.84</c:v>
                </c:pt>
                <c:pt idx="232">
                  <c:v>399.84</c:v>
                </c:pt>
                <c:pt idx="233">
                  <c:v>399.84</c:v>
                </c:pt>
                <c:pt idx="234">
                  <c:v>399.84</c:v>
                </c:pt>
                <c:pt idx="235">
                  <c:v>399.84</c:v>
                </c:pt>
                <c:pt idx="236">
                  <c:v>399.84</c:v>
                </c:pt>
                <c:pt idx="237">
                  <c:v>399.84</c:v>
                </c:pt>
                <c:pt idx="238">
                  <c:v>399.84</c:v>
                </c:pt>
                <c:pt idx="239">
                  <c:v>399.84</c:v>
                </c:pt>
                <c:pt idx="240">
                  <c:v>399.84</c:v>
                </c:pt>
                <c:pt idx="241">
                  <c:v>399.84</c:v>
                </c:pt>
                <c:pt idx="242">
                  <c:v>399.84</c:v>
                </c:pt>
                <c:pt idx="243">
                  <c:v>399.84</c:v>
                </c:pt>
                <c:pt idx="244">
                  <c:v>399.84</c:v>
                </c:pt>
                <c:pt idx="245">
                  <c:v>399.84</c:v>
                </c:pt>
                <c:pt idx="246">
                  <c:v>399.84</c:v>
                </c:pt>
                <c:pt idx="247">
                  <c:v>399.84</c:v>
                </c:pt>
                <c:pt idx="248">
                  <c:v>399.84</c:v>
                </c:pt>
                <c:pt idx="249">
                  <c:v>399.84</c:v>
                </c:pt>
                <c:pt idx="250">
                  <c:v>399.84</c:v>
                </c:pt>
                <c:pt idx="251">
                  <c:v>399.84</c:v>
                </c:pt>
                <c:pt idx="252">
                  <c:v>399.84</c:v>
                </c:pt>
                <c:pt idx="253">
                  <c:v>399.84</c:v>
                </c:pt>
                <c:pt idx="254">
                  <c:v>399.84</c:v>
                </c:pt>
                <c:pt idx="255">
                  <c:v>399.84</c:v>
                </c:pt>
                <c:pt idx="256">
                  <c:v>399.84</c:v>
                </c:pt>
                <c:pt idx="257">
                  <c:v>399.84</c:v>
                </c:pt>
                <c:pt idx="258">
                  <c:v>399.84</c:v>
                </c:pt>
                <c:pt idx="259">
                  <c:v>399.84</c:v>
                </c:pt>
                <c:pt idx="260">
                  <c:v>399.84</c:v>
                </c:pt>
                <c:pt idx="261">
                  <c:v>399.84</c:v>
                </c:pt>
                <c:pt idx="262">
                  <c:v>399.84</c:v>
                </c:pt>
                <c:pt idx="263">
                  <c:v>399.84</c:v>
                </c:pt>
                <c:pt idx="264">
                  <c:v>399.84</c:v>
                </c:pt>
                <c:pt idx="265">
                  <c:v>399.84</c:v>
                </c:pt>
                <c:pt idx="266">
                  <c:v>399.84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6D2-4DC4-8AC4-1376402B75F1}"/>
            </c:ext>
          </c:extLst>
        </c:ser>
        <c:ser>
          <c:idx val="10"/>
          <c:order val="10"/>
          <c:tx>
            <c:strRef>
              <c:f>Equilibrio!$L$1</c:f>
              <c:strCache>
                <c:ptCount val="1"/>
                <c:pt idx="0">
                  <c:v>Peso Carga - C7 (ton/m)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Equilibrio!$A$2:$A$351</c:f>
              <c:numCache>
                <c:formatCode>General</c:formatCode>
                <c:ptCount val="3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</c:numCache>
            </c:numRef>
          </c:xVal>
          <c:yVal>
            <c:numRef>
              <c:f>Equilibrio!$L$2:$L$351</c:f>
              <c:numCache>
                <c:formatCode>0.00</c:formatCode>
                <c:ptCount val="3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571.20000000000005</c:v>
                </c:pt>
                <c:pt idx="268">
                  <c:v>571.20000000000005</c:v>
                </c:pt>
                <c:pt idx="269">
                  <c:v>571.20000000000005</c:v>
                </c:pt>
                <c:pt idx="270">
                  <c:v>571.20000000000005</c:v>
                </c:pt>
                <c:pt idx="271">
                  <c:v>571.20000000000005</c:v>
                </c:pt>
                <c:pt idx="272">
                  <c:v>571.20000000000005</c:v>
                </c:pt>
                <c:pt idx="273">
                  <c:v>571.20000000000005</c:v>
                </c:pt>
                <c:pt idx="274">
                  <c:v>571.20000000000005</c:v>
                </c:pt>
                <c:pt idx="275">
                  <c:v>571.20000000000005</c:v>
                </c:pt>
                <c:pt idx="276">
                  <c:v>571.20000000000005</c:v>
                </c:pt>
                <c:pt idx="277">
                  <c:v>571.20000000000005</c:v>
                </c:pt>
                <c:pt idx="278">
                  <c:v>571.20000000000005</c:v>
                </c:pt>
                <c:pt idx="279">
                  <c:v>571.20000000000005</c:v>
                </c:pt>
                <c:pt idx="280">
                  <c:v>571.20000000000005</c:v>
                </c:pt>
                <c:pt idx="281">
                  <c:v>571.20000000000005</c:v>
                </c:pt>
                <c:pt idx="282">
                  <c:v>571.20000000000005</c:v>
                </c:pt>
                <c:pt idx="283">
                  <c:v>571.20000000000005</c:v>
                </c:pt>
                <c:pt idx="284">
                  <c:v>571.20000000000005</c:v>
                </c:pt>
                <c:pt idx="285">
                  <c:v>571.20000000000005</c:v>
                </c:pt>
                <c:pt idx="286">
                  <c:v>571.20000000000005</c:v>
                </c:pt>
                <c:pt idx="287">
                  <c:v>571.20000000000005</c:v>
                </c:pt>
                <c:pt idx="288">
                  <c:v>571.20000000000005</c:v>
                </c:pt>
                <c:pt idx="289">
                  <c:v>571.20000000000005</c:v>
                </c:pt>
                <c:pt idx="290">
                  <c:v>571.20000000000005</c:v>
                </c:pt>
                <c:pt idx="291">
                  <c:v>571.20000000000005</c:v>
                </c:pt>
                <c:pt idx="292">
                  <c:v>571.20000000000005</c:v>
                </c:pt>
                <c:pt idx="293">
                  <c:v>571.20000000000005</c:v>
                </c:pt>
                <c:pt idx="294">
                  <c:v>571.20000000000005</c:v>
                </c:pt>
                <c:pt idx="295">
                  <c:v>571.20000000000005</c:v>
                </c:pt>
                <c:pt idx="296">
                  <c:v>571.20000000000005</c:v>
                </c:pt>
                <c:pt idx="297">
                  <c:v>571.20000000000005</c:v>
                </c:pt>
                <c:pt idx="298">
                  <c:v>571.20000000000005</c:v>
                </c:pt>
                <c:pt idx="299">
                  <c:v>571.20000000000005</c:v>
                </c:pt>
                <c:pt idx="300">
                  <c:v>571.20000000000005</c:v>
                </c:pt>
                <c:pt idx="301">
                  <c:v>571.20000000000005</c:v>
                </c:pt>
                <c:pt idx="302">
                  <c:v>571.20000000000005</c:v>
                </c:pt>
                <c:pt idx="303">
                  <c:v>571.20000000000005</c:v>
                </c:pt>
                <c:pt idx="304">
                  <c:v>571.20000000000005</c:v>
                </c:pt>
                <c:pt idx="305">
                  <c:v>571.20000000000005</c:v>
                </c:pt>
                <c:pt idx="306">
                  <c:v>571.20000000000005</c:v>
                </c:pt>
                <c:pt idx="307">
                  <c:v>571.20000000000005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6D2-4DC4-8AC4-1376402B75F1}"/>
            </c:ext>
          </c:extLst>
        </c:ser>
        <c:ser>
          <c:idx val="11"/>
          <c:order val="11"/>
          <c:tx>
            <c:strRef>
              <c:f>Equilibrio!$M$1</c:f>
              <c:strCache>
                <c:ptCount val="1"/>
                <c:pt idx="0">
                  <c:v>Peso Carga - C8 (ton/m)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Equilibrio!$A$2:$A$351</c:f>
              <c:numCache>
                <c:formatCode>General</c:formatCode>
                <c:ptCount val="3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</c:numCache>
            </c:numRef>
          </c:xVal>
          <c:yVal>
            <c:numRef>
              <c:f>Equilibrio!$M$2:$M$351</c:f>
              <c:numCache>
                <c:formatCode>0.00</c:formatCode>
                <c:ptCount val="3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571.20000000000005</c:v>
                </c:pt>
                <c:pt idx="309">
                  <c:v>571.20000000000005</c:v>
                </c:pt>
                <c:pt idx="310">
                  <c:v>571.20000000000005</c:v>
                </c:pt>
                <c:pt idx="311">
                  <c:v>571.20000000000005</c:v>
                </c:pt>
                <c:pt idx="312">
                  <c:v>571.20000000000005</c:v>
                </c:pt>
                <c:pt idx="313">
                  <c:v>571.20000000000005</c:v>
                </c:pt>
                <c:pt idx="314">
                  <c:v>571.20000000000005</c:v>
                </c:pt>
                <c:pt idx="315">
                  <c:v>571.20000000000005</c:v>
                </c:pt>
                <c:pt idx="316">
                  <c:v>571.20000000000005</c:v>
                </c:pt>
                <c:pt idx="317">
                  <c:v>571.20000000000005</c:v>
                </c:pt>
                <c:pt idx="318">
                  <c:v>571.20000000000005</c:v>
                </c:pt>
                <c:pt idx="319">
                  <c:v>571.20000000000005</c:v>
                </c:pt>
                <c:pt idx="320">
                  <c:v>571.20000000000005</c:v>
                </c:pt>
                <c:pt idx="321">
                  <c:v>571.20000000000005</c:v>
                </c:pt>
                <c:pt idx="322">
                  <c:v>571.20000000000005</c:v>
                </c:pt>
                <c:pt idx="323">
                  <c:v>571.20000000000005</c:v>
                </c:pt>
                <c:pt idx="324">
                  <c:v>571.20000000000005</c:v>
                </c:pt>
                <c:pt idx="325">
                  <c:v>571.20000000000005</c:v>
                </c:pt>
                <c:pt idx="326">
                  <c:v>571.20000000000005</c:v>
                </c:pt>
                <c:pt idx="327">
                  <c:v>571.20000000000005</c:v>
                </c:pt>
                <c:pt idx="328">
                  <c:v>571.20000000000005</c:v>
                </c:pt>
                <c:pt idx="329">
                  <c:v>571.20000000000005</c:v>
                </c:pt>
                <c:pt idx="330">
                  <c:v>571.20000000000005</c:v>
                </c:pt>
                <c:pt idx="331">
                  <c:v>571.20000000000005</c:v>
                </c:pt>
                <c:pt idx="332">
                  <c:v>571.20000000000005</c:v>
                </c:pt>
                <c:pt idx="333">
                  <c:v>571.20000000000005</c:v>
                </c:pt>
                <c:pt idx="334">
                  <c:v>571.20000000000005</c:v>
                </c:pt>
                <c:pt idx="335">
                  <c:v>571.20000000000005</c:v>
                </c:pt>
                <c:pt idx="336">
                  <c:v>571.20000000000005</c:v>
                </c:pt>
                <c:pt idx="337">
                  <c:v>571.20000000000005</c:v>
                </c:pt>
                <c:pt idx="338">
                  <c:v>571.20000000000005</c:v>
                </c:pt>
                <c:pt idx="339">
                  <c:v>571.20000000000005</c:v>
                </c:pt>
                <c:pt idx="340">
                  <c:v>571.20000000000005</c:v>
                </c:pt>
                <c:pt idx="341">
                  <c:v>571.20000000000005</c:v>
                </c:pt>
                <c:pt idx="342">
                  <c:v>571.20000000000005</c:v>
                </c:pt>
                <c:pt idx="343">
                  <c:v>571.20000000000005</c:v>
                </c:pt>
                <c:pt idx="344">
                  <c:v>571.20000000000005</c:v>
                </c:pt>
                <c:pt idx="345">
                  <c:v>571.20000000000005</c:v>
                </c:pt>
                <c:pt idx="346">
                  <c:v>571.20000000000005</c:v>
                </c:pt>
                <c:pt idx="347">
                  <c:v>571.20000000000005</c:v>
                </c:pt>
                <c:pt idx="348">
                  <c:v>571.20000000000005</c:v>
                </c:pt>
                <c:pt idx="349">
                  <c:v>571.20000000000005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6D2-4DC4-8AC4-1376402B7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9950912"/>
        <c:axId val="1774922816"/>
      </c:scatterChart>
      <c:valAx>
        <c:axId val="1579950912"/>
        <c:scaling>
          <c:orientation val="minMax"/>
          <c:max val="350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1774922816"/>
        <c:crosses val="autoZero"/>
        <c:crossBetween val="midCat"/>
      </c:valAx>
      <c:valAx>
        <c:axId val="1774922816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579950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/>
      <a:stretch>
        <a:fillRect/>
      </a:stretch>
    </a:blipFill>
    <a:ln w="762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Equilibrio!$A$2:$A$450</c:f>
              <c:numCache>
                <c:formatCode>General</c:formatCode>
                <c:ptCount val="44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</c:numCache>
            </c:numRef>
          </c:xVal>
          <c:yVal>
            <c:numRef>
              <c:f>Equilibrio!$S$2:$S$450</c:f>
              <c:numCache>
                <c:formatCode>0.00</c:formatCode>
                <c:ptCount val="449"/>
                <c:pt idx="0">
                  <c:v>219.64042677642965</c:v>
                </c:pt>
                <c:pt idx="1">
                  <c:v>659.92306277681655</c:v>
                </c:pt>
                <c:pt idx="2">
                  <c:v>1321.9299974766232</c:v>
                </c:pt>
                <c:pt idx="3">
                  <c:v>2206.8235575435965</c:v>
                </c:pt>
                <c:pt idx="4">
                  <c:v>3315.846209099368</c:v>
                </c:pt>
                <c:pt idx="5">
                  <c:v>4650.320432109801</c:v>
                </c:pt>
                <c:pt idx="6">
                  <c:v>6211.6485669445647</c:v>
                </c:pt>
                <c:pt idx="7">
                  <c:v>8001.3126331553813</c:v>
                </c:pt>
                <c:pt idx="8">
                  <c:v>10020.874120531354</c:v>
                </c:pt>
                <c:pt idx="9">
                  <c:v>12271.973752498707</c:v>
                </c:pt>
                <c:pt idx="10">
                  <c:v>14756.331221941171</c:v>
                </c:pt>
                <c:pt idx="11">
                  <c:v>17475.744899526191</c:v>
                </c:pt>
                <c:pt idx="12">
                  <c:v>20432.091514630898</c:v>
                </c:pt>
                <c:pt idx="13">
                  <c:v>23627.325808970716</c:v>
                </c:pt>
                <c:pt idx="14">
                  <c:v>27063.480163042201</c:v>
                </c:pt>
                <c:pt idx="15">
                  <c:v>30742.664195500503</c:v>
                </c:pt>
                <c:pt idx="16">
                  <c:v>34667.064335600575</c:v>
                </c:pt>
                <c:pt idx="17">
                  <c:v>38838.943368839864</c:v>
                </c:pt>
                <c:pt idx="18">
                  <c:v>43260.639955948995</c:v>
                </c:pt>
                <c:pt idx="19">
                  <c:v>47934.568125385355</c:v>
                </c:pt>
                <c:pt idx="20">
                  <c:v>52762.941739493217</c:v>
                </c:pt>
                <c:pt idx="21">
                  <c:v>57748.32393450239</c:v>
                </c:pt>
                <c:pt idx="22">
                  <c:v>62893.351534545873</c:v>
                </c:pt>
                <c:pt idx="23">
                  <c:v>68200.734439885389</c:v>
                </c:pt>
                <c:pt idx="24">
                  <c:v>73673.254989541878</c:v>
                </c:pt>
                <c:pt idx="25">
                  <c:v>78696.367298536425</c:v>
                </c:pt>
                <c:pt idx="26">
                  <c:v>83272.996569955198</c:v>
                </c:pt>
                <c:pt idx="27">
                  <c:v>87406.138382060002</c:v>
                </c:pt>
                <c:pt idx="28">
                  <c:v>91098.857950674326</c:v>
                </c:pt>
                <c:pt idx="29">
                  <c:v>94354.2893670825</c:v>
                </c:pt>
                <c:pt idx="30">
                  <c:v>97175.634811687531</c:v>
                </c:pt>
                <c:pt idx="31">
                  <c:v>99566.163743681187</c:v>
                </c:pt>
                <c:pt idx="32">
                  <c:v>101529.21206698722</c:v>
                </c:pt>
                <c:pt idx="33">
                  <c:v>103068.18127274681</c:v>
                </c:pt>
                <c:pt idx="34">
                  <c:v>104186.53755862224</c:v>
                </c:pt>
                <c:pt idx="35">
                  <c:v>104887.81092520298</c:v>
                </c:pt>
                <c:pt idx="36">
                  <c:v>105175.5942498051</c:v>
                </c:pt>
                <c:pt idx="37">
                  <c:v>105053.54233796253</c:v>
                </c:pt>
                <c:pt idx="38">
                  <c:v>104525.37095291606</c:v>
                </c:pt>
                <c:pt idx="39">
                  <c:v>103594.85582341251</c:v>
                </c:pt>
                <c:pt idx="40">
                  <c:v>102265.83163013411</c:v>
                </c:pt>
                <c:pt idx="41">
                  <c:v>100542.19097108452</c:v>
                </c:pt>
                <c:pt idx="42">
                  <c:v>98427.883306265052</c:v>
                </c:pt>
                <c:pt idx="43">
                  <c:v>95926.913881981091</c:v>
                </c:pt>
                <c:pt idx="44">
                  <c:v>93043.342635125431</c:v>
                </c:pt>
                <c:pt idx="45">
                  <c:v>89781.28307779161</c:v>
                </c:pt>
                <c:pt idx="46">
                  <c:v>86144.901162576673</c:v>
                </c:pt>
                <c:pt idx="47">
                  <c:v>82138.414128939141</c:v>
                </c:pt>
                <c:pt idx="48">
                  <c:v>77766.089330983756</c:v>
                </c:pt>
                <c:pt idx="49">
                  <c:v>73032.24304705103</c:v>
                </c:pt>
                <c:pt idx="50">
                  <c:v>67941.239271494982</c:v>
                </c:pt>
                <c:pt idx="51">
                  <c:v>62497.488489038587</c:v>
                </c:pt>
                <c:pt idx="52">
                  <c:v>56705.446432101839</c:v>
                </c:pt>
                <c:pt idx="53">
                  <c:v>50569.612821502953</c:v>
                </c:pt>
                <c:pt idx="54">
                  <c:v>44094.530090938475</c:v>
                </c:pt>
                <c:pt idx="55">
                  <c:v>37284.782095653398</c:v>
                </c:pt>
                <c:pt idx="56">
                  <c:v>30144.992805717418</c:v>
                </c:pt>
                <c:pt idx="57">
                  <c:v>22679.824984328436</c:v>
                </c:pt>
                <c:pt idx="58">
                  <c:v>14893.978851569234</c:v>
                </c:pt>
                <c:pt idx="59">
                  <c:v>6792.1907340479884</c:v>
                </c:pt>
                <c:pt idx="60">
                  <c:v>-1620.7682991422625</c:v>
                </c:pt>
                <c:pt idx="61">
                  <c:v>-10408.637813705576</c:v>
                </c:pt>
                <c:pt idx="62">
                  <c:v>-19566.581400222654</c:v>
                </c:pt>
                <c:pt idx="63">
                  <c:v>-29089.73207658</c:v>
                </c:pt>
                <c:pt idx="64">
                  <c:v>-38973.193702296754</c:v>
                </c:pt>
                <c:pt idx="65">
                  <c:v>-49212.042404293403</c:v>
                </c:pt>
                <c:pt idx="66">
                  <c:v>-59801.328013642873</c:v>
                </c:pt>
                <c:pt idx="67">
                  <c:v>-70736.075512841024</c:v>
                </c:pt>
                <c:pt idx="68">
                  <c:v>-82011.286493130159</c:v>
                </c:pt>
                <c:pt idx="69">
                  <c:v>-93621.940621405811</c:v>
                </c:pt>
                <c:pt idx="70">
                  <c:v>-105562.9971162342</c:v>
                </c:pt>
                <c:pt idx="71">
                  <c:v>-117829.3962325046</c:v>
                </c:pt>
                <c:pt idx="72">
                  <c:v>-130416.06075423825</c:v>
                </c:pt>
                <c:pt idx="73">
                  <c:v>-143317.89749507257</c:v>
                </c:pt>
                <c:pt idx="74">
                  <c:v>-156529.79880593735</c:v>
                </c:pt>
                <c:pt idx="75">
                  <c:v>-170046.64408943692</c:v>
                </c:pt>
                <c:pt idx="76">
                  <c:v>-183863.30132045018</c:v>
                </c:pt>
                <c:pt idx="77">
                  <c:v>-197974.62857245872</c:v>
                </c:pt>
                <c:pt idx="78">
                  <c:v>-212375.47554911079</c:v>
                </c:pt>
                <c:pt idx="79">
                  <c:v>-227060.68512052798</c:v>
                </c:pt>
                <c:pt idx="80">
                  <c:v>-242025.09486385903</c:v>
                </c:pt>
                <c:pt idx="81">
                  <c:v>-257263.53860758475</c:v>
                </c:pt>
                <c:pt idx="82">
                  <c:v>-272770.84797907609</c:v>
                </c:pt>
                <c:pt idx="83">
                  <c:v>-288541.85395490675</c:v>
                </c:pt>
                <c:pt idx="84">
                  <c:v>-304571.38841342065</c:v>
                </c:pt>
                <c:pt idx="85">
                  <c:v>-320854.28568905417</c:v>
                </c:pt>
                <c:pt idx="86">
                  <c:v>-337385.38412791176</c:v>
                </c:pt>
                <c:pt idx="87">
                  <c:v>-354159.52764409414</c:v>
                </c:pt>
                <c:pt idx="88">
                  <c:v>-371171.56727627711</c:v>
                </c:pt>
                <c:pt idx="89">
                  <c:v>-388416.36274403991</c:v>
                </c:pt>
                <c:pt idx="90">
                  <c:v>-405888.78400344081</c:v>
                </c:pt>
                <c:pt idx="91">
                  <c:v>-423583.71280133916</c:v>
                </c:pt>
                <c:pt idx="92">
                  <c:v>-441496.04422796308</c:v>
                </c:pt>
                <c:pt idx="93">
                  <c:v>-459620.68826722197</c:v>
                </c:pt>
                <c:pt idx="94">
                  <c:v>-477952.57134426455</c:v>
                </c:pt>
                <c:pt idx="95">
                  <c:v>-496486.63786978385</c:v>
                </c:pt>
                <c:pt idx="96">
                  <c:v>-515217.85178057099</c:v>
                </c:pt>
                <c:pt idx="97">
                  <c:v>-534141.19807582186</c:v>
                </c:pt>
                <c:pt idx="98">
                  <c:v>-553251.68434870103</c:v>
                </c:pt>
                <c:pt idx="99">
                  <c:v>-572544.34231266996</c:v>
                </c:pt>
                <c:pt idx="100">
                  <c:v>-592014.22932208702</c:v>
                </c:pt>
                <c:pt idx="101">
                  <c:v>-611656.42988658964</c:v>
                </c:pt>
                <c:pt idx="102">
                  <c:v>-631271.84917877056</c:v>
                </c:pt>
                <c:pt idx="103">
                  <c:v>-650855.63053466182</c:v>
                </c:pt>
                <c:pt idx="104">
                  <c:v>-670402.94894654397</c:v>
                </c:pt>
                <c:pt idx="105">
                  <c:v>-689909.01254759822</c:v>
                </c:pt>
                <c:pt idx="106">
                  <c:v>-709369.06408792397</c:v>
                </c:pt>
                <c:pt idx="107">
                  <c:v>-728778.38240144576</c:v>
                </c:pt>
                <c:pt idx="108">
                  <c:v>-748132.28386323643</c:v>
                </c:pt>
                <c:pt idx="109">
                  <c:v>-767426.123836788</c:v>
                </c:pt>
                <c:pt idx="110">
                  <c:v>-786655.29811076238</c:v>
                </c:pt>
                <c:pt idx="111">
                  <c:v>-805815.2443247604</c:v>
                </c:pt>
                <c:pt idx="112">
                  <c:v>-824901.44338364841</c:v>
                </c:pt>
                <c:pt idx="113">
                  <c:v>-843909.42085998761</c:v>
                </c:pt>
                <c:pt idx="114">
                  <c:v>-862834.74838411366</c:v>
                </c:pt>
                <c:pt idx="115">
                  <c:v>-881673.04502141825</c:v>
                </c:pt>
                <c:pt idx="116">
                  <c:v>-900419.97863639006</c:v>
                </c:pt>
                <c:pt idx="117">
                  <c:v>-919071.26724297414</c:v>
                </c:pt>
                <c:pt idx="118">
                  <c:v>-937622.68034081499</c:v>
                </c:pt>
                <c:pt idx="119">
                  <c:v>-956070.04023695341</c:v>
                </c:pt>
                <c:pt idx="120">
                  <c:v>-974409.22335254983</c:v>
                </c:pt>
                <c:pt idx="121">
                  <c:v>-992636.16151421471</c:v>
                </c:pt>
                <c:pt idx="122">
                  <c:v>-1010746.8432295281</c:v>
                </c:pt>
                <c:pt idx="123">
                  <c:v>-1028737.3149463384</c:v>
                </c:pt>
                <c:pt idx="124">
                  <c:v>-1046603.6822954345</c:v>
                </c:pt>
                <c:pt idx="125">
                  <c:v>-1064342.1113161901</c:v>
                </c:pt>
                <c:pt idx="126">
                  <c:v>-1081948.8296647861</c:v>
                </c:pt>
                <c:pt idx="127">
                  <c:v>-1099420.1278046214</c:v>
                </c:pt>
                <c:pt idx="128">
                  <c:v>-1116752.3601785272</c:v>
                </c:pt>
                <c:pt idx="129">
                  <c:v>-1133941.9463624102</c:v>
                </c:pt>
                <c:pt idx="130">
                  <c:v>-1150985.3721999489</c:v>
                </c:pt>
                <c:pt idx="131">
                  <c:v>-1167879.1909179809</c:v>
                </c:pt>
                <c:pt idx="132">
                  <c:v>-1184620.0242222191</c:v>
                </c:pt>
                <c:pt idx="133">
                  <c:v>-1201204.5633729456</c:v>
                </c:pt>
                <c:pt idx="134">
                  <c:v>-1217629.5702403353</c:v>
                </c:pt>
                <c:pt idx="135">
                  <c:v>-1233891.8783390699</c:v>
                </c:pt>
                <c:pt idx="136">
                  <c:v>-1249988.3938419085</c:v>
                </c:pt>
                <c:pt idx="137">
                  <c:v>-1265916.0965718888</c:v>
                </c:pt>
                <c:pt idx="138">
                  <c:v>-1281672.0409728375</c:v>
                </c:pt>
                <c:pt idx="139">
                  <c:v>-1297253.3570578794</c:v>
                </c:pt>
                <c:pt idx="140">
                  <c:v>-1312657.2513356381</c:v>
                </c:pt>
                <c:pt idx="141">
                  <c:v>-1327881.0077138294</c:v>
                </c:pt>
                <c:pt idx="142">
                  <c:v>-1342921.9883799581</c:v>
                </c:pt>
                <c:pt idx="143">
                  <c:v>-1357617.6986588323</c:v>
                </c:pt>
                <c:pt idx="144">
                  <c:v>-1371965.6598466206</c:v>
                </c:pt>
                <c:pt idx="145">
                  <c:v>-1385963.4740211817</c:v>
                </c:pt>
                <c:pt idx="146">
                  <c:v>-1399608.8248284061</c:v>
                </c:pt>
                <c:pt idx="147">
                  <c:v>-1412899.4782443179</c:v>
                </c:pt>
                <c:pt idx="148">
                  <c:v>-1425833.2833126879</c:v>
                </c:pt>
                <c:pt idx="149">
                  <c:v>-1438408.1728579237</c:v>
                </c:pt>
                <c:pt idx="150">
                  <c:v>-1450622.1641730045</c:v>
                </c:pt>
                <c:pt idx="151">
                  <c:v>-1462473.3596822396</c:v>
                </c:pt>
                <c:pt idx="152">
                  <c:v>-1473959.9475786393</c:v>
                </c:pt>
                <c:pt idx="153">
                  <c:v>-1485080.2024356879</c:v>
                </c:pt>
                <c:pt idx="154">
                  <c:v>-1495832.4857933267</c:v>
                </c:pt>
                <c:pt idx="155">
                  <c:v>-1506215.2467179557</c:v>
                </c:pt>
                <c:pt idx="156">
                  <c:v>-1516227.0223362728</c:v>
                </c:pt>
                <c:pt idx="157">
                  <c:v>-1525866.4383427803</c:v>
                </c:pt>
                <c:pt idx="158">
                  <c:v>-1535132.2094807951</c:v>
                </c:pt>
                <c:pt idx="159">
                  <c:v>-1544023.1399968045</c:v>
                </c:pt>
                <c:pt idx="160">
                  <c:v>-1552538.1240680264</c:v>
                </c:pt>
                <c:pt idx="161">
                  <c:v>-1560676.1462030311</c:v>
                </c:pt>
                <c:pt idx="162">
                  <c:v>-1568436.2816152985</c:v>
                </c:pt>
                <c:pt idx="163">
                  <c:v>-1575817.6965695899</c:v>
                </c:pt>
                <c:pt idx="164">
                  <c:v>-1582819.6487010214</c:v>
                </c:pt>
                <c:pt idx="165">
                  <c:v>-1589441.4873067385</c:v>
                </c:pt>
                <c:pt idx="166">
                  <c:v>-1595682.6536100947</c:v>
                </c:pt>
                <c:pt idx="167">
                  <c:v>-1601542.6809972525</c:v>
                </c:pt>
                <c:pt idx="168">
                  <c:v>-1607021.1952261282</c:v>
                </c:pt>
                <c:pt idx="169">
                  <c:v>-1612117.9146076129</c:v>
                </c:pt>
                <c:pt idx="170">
                  <c:v>-1616832.6501590135</c:v>
                </c:pt>
                <c:pt idx="171">
                  <c:v>-1621165.3057296623</c:v>
                </c:pt>
                <c:pt idx="172">
                  <c:v>-1625115.8780986555</c:v>
                </c:pt>
                <c:pt idx="173">
                  <c:v>-1628684.4570446881</c:v>
                </c:pt>
                <c:pt idx="174">
                  <c:v>-1631871.2253879653</c:v>
                </c:pt>
                <c:pt idx="175">
                  <c:v>-1634676.4590041738</c:v>
                </c:pt>
                <c:pt idx="176">
                  <c:v>-1637100.5268105094</c:v>
                </c:pt>
                <c:pt idx="177">
                  <c:v>-1639143.8907237679</c:v>
                </c:pt>
                <c:pt idx="178">
                  <c:v>-1640807.1055905088</c:v>
                </c:pt>
                <c:pt idx="179">
                  <c:v>-1642090.8190893165</c:v>
                </c:pt>
                <c:pt idx="180">
                  <c:v>-1642995.7716051913</c:v>
                </c:pt>
                <c:pt idx="181">
                  <c:v>-1643522.7960761087</c:v>
                </c:pt>
                <c:pt idx="182">
                  <c:v>-1643672.8178117978</c:v>
                </c:pt>
                <c:pt idx="183">
                  <c:v>-1643446.8542847964</c:v>
                </c:pt>
                <c:pt idx="184">
                  <c:v>-1642846.0148938508</c:v>
                </c:pt>
                <c:pt idx="185">
                  <c:v>-1641871.5006997364</c:v>
                </c:pt>
                <c:pt idx="186">
                  <c:v>-1640524.6041335836</c:v>
                </c:pt>
                <c:pt idx="187">
                  <c:v>-1638806.7086778039</c:v>
                </c:pt>
                <c:pt idx="188">
                  <c:v>-1636719.2885197185</c:v>
                </c:pt>
                <c:pt idx="189">
                  <c:v>-1634263.9081780014</c:v>
                </c:pt>
                <c:pt idx="190">
                  <c:v>-1631442.2221020565</c:v>
                </c:pt>
                <c:pt idx="191">
                  <c:v>-1628255.9742444586</c:v>
                </c:pt>
                <c:pt idx="192">
                  <c:v>-1624706.9976065969</c:v>
                </c:pt>
                <c:pt idx="193">
                  <c:v>-1620797.2137576651</c:v>
                </c:pt>
                <c:pt idx="194">
                  <c:v>-1616528.632327155</c:v>
                </c:pt>
                <c:pt idx="195">
                  <c:v>-1611903.3504710165</c:v>
                </c:pt>
                <c:pt idx="196">
                  <c:v>-1606923.5523116568</c:v>
                </c:pt>
                <c:pt idx="197">
                  <c:v>-1601591.5083519577</c:v>
                </c:pt>
                <c:pt idx="198">
                  <c:v>-1595909.5748635009</c:v>
                </c:pt>
                <c:pt idx="199">
                  <c:v>-1589880.1932491991</c:v>
                </c:pt>
                <c:pt idx="200">
                  <c:v>-1583505.889380536</c:v>
                </c:pt>
                <c:pt idx="201">
                  <c:v>-1576789.2729096327</c:v>
                </c:pt>
                <c:pt idx="202">
                  <c:v>-1569733.0365563566</c:v>
                </c:pt>
                <c:pt idx="203">
                  <c:v>-1562339.9553707084</c:v>
                </c:pt>
                <c:pt idx="204">
                  <c:v>-1554612.8859707213</c:v>
                </c:pt>
                <c:pt idx="205">
                  <c:v>-1546554.7657561183</c:v>
                </c:pt>
                <c:pt idx="206">
                  <c:v>-1538168.6120979828</c:v>
                </c:pt>
                <c:pt idx="207">
                  <c:v>-1529457.5215047016</c:v>
                </c:pt>
                <c:pt idx="208">
                  <c:v>-1520424.6687644501</c:v>
                </c:pt>
                <c:pt idx="209">
                  <c:v>-1511073.3060644965</c:v>
                </c:pt>
                <c:pt idx="210">
                  <c:v>-1501406.7620876078</c:v>
                </c:pt>
                <c:pt idx="211">
                  <c:v>-1491428.4410858485</c:v>
                </c:pt>
                <c:pt idx="212">
                  <c:v>-1481141.8219320728</c:v>
                </c:pt>
                <c:pt idx="213">
                  <c:v>-1470550.4571494129</c:v>
                </c:pt>
                <c:pt idx="214">
                  <c:v>-1459657.9719190788</c:v>
                </c:pt>
                <c:pt idx="215">
                  <c:v>-1448468.0630667871</c:v>
                </c:pt>
                <c:pt idx="216">
                  <c:v>-1436984.4980281473</c:v>
                </c:pt>
                <c:pt idx="217">
                  <c:v>-1425211.113793338</c:v>
                </c:pt>
                <c:pt idx="218">
                  <c:v>-1413151.815831413</c:v>
                </c:pt>
                <c:pt idx="219">
                  <c:v>-1400810.5769945858</c:v>
                </c:pt>
                <c:pt idx="220">
                  <c:v>-1388191.436402841</c:v>
                </c:pt>
                <c:pt idx="221">
                  <c:v>-1375298.4983092388</c:v>
                </c:pt>
                <c:pt idx="222">
                  <c:v>-1362135.9309462723</c:v>
                </c:pt>
                <c:pt idx="223">
                  <c:v>-1348707.9653536519</c:v>
                </c:pt>
                <c:pt idx="224">
                  <c:v>-1335018.8941878956</c:v>
                </c:pt>
                <c:pt idx="225">
                  <c:v>-1321073.070514106</c:v>
                </c:pt>
                <c:pt idx="226">
                  <c:v>-1307046.266580326</c:v>
                </c:pt>
                <c:pt idx="227">
                  <c:v>-1292942.9525748675</c:v>
                </c:pt>
                <c:pt idx="228">
                  <c:v>-1278767.6553670114</c:v>
                </c:pt>
                <c:pt idx="229">
                  <c:v>-1264524.957231489</c:v>
                </c:pt>
                <c:pt idx="230">
                  <c:v>-1250219.4945571509</c:v>
                </c:pt>
                <c:pt idx="231">
                  <c:v>-1235855.9565402442</c:v>
                </c:pt>
                <c:pt idx="232">
                  <c:v>-1221439.0838627154</c:v>
                </c:pt>
                <c:pt idx="233">
                  <c:v>-1206973.6673559675</c:v>
                </c:pt>
                <c:pt idx="234">
                  <c:v>-1192464.5466505</c:v>
                </c:pt>
                <c:pt idx="235">
                  <c:v>-1177916.6088118693</c:v>
                </c:pt>
                <c:pt idx="236">
                  <c:v>-1163334.7869634056</c:v>
                </c:pt>
                <c:pt idx="237">
                  <c:v>-1148724.0588961341</c:v>
                </c:pt>
                <c:pt idx="238">
                  <c:v>-1134089.4456663455</c:v>
                </c:pt>
                <c:pt idx="239">
                  <c:v>-1119436.0101812694</c:v>
                </c:pt>
                <c:pt idx="240">
                  <c:v>-1104768.8557733055</c:v>
                </c:pt>
                <c:pt idx="241">
                  <c:v>-1090093.1247632722</c:v>
                </c:pt>
                <c:pt idx="242">
                  <c:v>-1075413.997013137</c:v>
                </c:pt>
                <c:pt idx="243">
                  <c:v>-1060736.6884686917</c:v>
                </c:pt>
                <c:pt idx="244">
                  <c:v>-1046066.4496926467</c:v>
                </c:pt>
                <c:pt idx="245">
                  <c:v>-1031408.5643886132</c:v>
                </c:pt>
                <c:pt idx="246">
                  <c:v>-1016768.3479164506</c:v>
                </c:pt>
                <c:pt idx="247">
                  <c:v>-1002151.1457994577</c:v>
                </c:pt>
                <c:pt idx="248">
                  <c:v>-987562.33222388872</c:v>
                </c:pt>
                <c:pt idx="249">
                  <c:v>-973007.30853127677</c:v>
                </c:pt>
                <c:pt idx="250">
                  <c:v>-958491.50170405197</c:v>
                </c:pt>
                <c:pt idx="251">
                  <c:v>-944020.36284494132</c:v>
                </c:pt>
                <c:pt idx="252">
                  <c:v>-929599.36565064045</c:v>
                </c:pt>
                <c:pt idx="253">
                  <c:v>-915234.00488024985</c:v>
                </c:pt>
                <c:pt idx="254">
                  <c:v>-900929.79481896805</c:v>
                </c:pt>
                <c:pt idx="255">
                  <c:v>-886692.26773753797</c:v>
                </c:pt>
                <c:pt idx="256">
                  <c:v>-872526.97234794172</c:v>
                </c:pt>
                <c:pt idx="257">
                  <c:v>-858439.47225584276</c:v>
                </c:pt>
                <c:pt idx="258">
                  <c:v>-844435.34441027325</c:v>
                </c:pt>
                <c:pt idx="259">
                  <c:v>-830520.1775510665</c:v>
                </c:pt>
                <c:pt idx="260">
                  <c:v>-816699.57065453485</c:v>
                </c:pt>
                <c:pt idx="261">
                  <c:v>-802979.13137789397</c:v>
                </c:pt>
                <c:pt idx="262">
                  <c:v>-789364.47450293484</c:v>
                </c:pt>
                <c:pt idx="263">
                  <c:v>-775861.22037944454</c:v>
                </c:pt>
                <c:pt idx="264">
                  <c:v>-762474.99336887826</c:v>
                </c:pt>
                <c:pt idx="265">
                  <c:v>-749211.42028878361</c:v>
                </c:pt>
                <c:pt idx="266">
                  <c:v>-736076.12885847851</c:v>
                </c:pt>
                <c:pt idx="267">
                  <c:v>-722903.38614648348</c:v>
                </c:pt>
                <c:pt idx="268">
                  <c:v>-709698.81702020927</c:v>
                </c:pt>
                <c:pt idx="269">
                  <c:v>-696468.04259839875</c:v>
                </c:pt>
                <c:pt idx="270">
                  <c:v>-683216.67870682199</c:v>
                </c:pt>
                <c:pt idx="271">
                  <c:v>-669950.33433772216</c:v>
                </c:pt>
                <c:pt idx="272">
                  <c:v>-656674.61011350935</c:v>
                </c:pt>
                <c:pt idx="273">
                  <c:v>-643395.09675519611</c:v>
                </c:pt>
                <c:pt idx="274">
                  <c:v>-630117.3735560698</c:v>
                </c:pt>
                <c:pt idx="275">
                  <c:v>-616847.00686109206</c:v>
                </c:pt>
                <c:pt idx="276">
                  <c:v>-603589.54855251708</c:v>
                </c:pt>
                <c:pt idx="277">
                  <c:v>-590350.53454221517</c:v>
                </c:pt>
                <c:pt idx="278">
                  <c:v>-577135.48327118868</c:v>
                </c:pt>
                <c:pt idx="279">
                  <c:v>-563949.89421676297</c:v>
                </c:pt>
                <c:pt idx="280">
                  <c:v>-550799.246407934</c:v>
                </c:pt>
                <c:pt idx="281">
                  <c:v>-537688.99694935104</c:v>
                </c:pt>
                <c:pt idx="282">
                  <c:v>-524624.57955440984</c:v>
                </c:pt>
                <c:pt idx="283">
                  <c:v>-511611.40308792895</c:v>
                </c:pt>
                <c:pt idx="284">
                  <c:v>-498654.85011887952</c:v>
                </c:pt>
                <c:pt idx="285">
                  <c:v>-485760.27548363397</c:v>
                </c:pt>
                <c:pt idx="286">
                  <c:v>-472933.00486019737</c:v>
                </c:pt>
                <c:pt idx="287">
                  <c:v>-460178.33335388056</c:v>
                </c:pt>
                <c:pt idx="288">
                  <c:v>-447501.52409487101</c:v>
                </c:pt>
                <c:pt idx="289">
                  <c:v>-434907.80684815341</c:v>
                </c:pt>
                <c:pt idx="290">
                  <c:v>-422402.37663622742</c:v>
                </c:pt>
                <c:pt idx="291">
                  <c:v>-409990.3923750674</c:v>
                </c:pt>
                <c:pt idx="292">
                  <c:v>-397676.97552376287</c:v>
                </c:pt>
                <c:pt idx="293">
                  <c:v>-385467.20874827506</c:v>
                </c:pt>
                <c:pt idx="294">
                  <c:v>-373366.1345997405</c:v>
                </c:pt>
                <c:pt idx="295">
                  <c:v>-361378.75420774729</c:v>
                </c:pt>
                <c:pt idx="296">
                  <c:v>-349510.02598900528</c:v>
                </c:pt>
                <c:pt idx="297">
                  <c:v>-337764.864371826</c:v>
                </c:pt>
                <c:pt idx="298">
                  <c:v>-326148.13853682397</c:v>
                </c:pt>
                <c:pt idx="299">
                  <c:v>-314664.67117424478</c:v>
                </c:pt>
                <c:pt idx="300">
                  <c:v>-303319.2372583205</c:v>
                </c:pt>
                <c:pt idx="301">
                  <c:v>-292116.5628390474</c:v>
                </c:pt>
                <c:pt idx="302">
                  <c:v>-281061.32385177561</c:v>
                </c:pt>
                <c:pt idx="303">
                  <c:v>-270158.14494499378</c:v>
                </c:pt>
                <c:pt idx="304">
                  <c:v>-259411.59832668694</c:v>
                </c:pt>
                <c:pt idx="305">
                  <c:v>-248826.20262963948</c:v>
                </c:pt>
                <c:pt idx="306">
                  <c:v>-238406.42179604835</c:v>
                </c:pt>
                <c:pt idx="307">
                  <c:v>-228156.6639818064</c:v>
                </c:pt>
                <c:pt idx="308">
                  <c:v>-218081.28048080887</c:v>
                </c:pt>
                <c:pt idx="309">
                  <c:v>-208184.56466962956</c:v>
                </c:pt>
                <c:pt idx="310">
                  <c:v>-198470.75097290686</c:v>
                </c:pt>
                <c:pt idx="311">
                  <c:v>-188944.01384977309</c:v>
                </c:pt>
                <c:pt idx="312">
                  <c:v>-179608.46680165379</c:v>
                </c:pt>
                <c:pt idx="313">
                  <c:v>-170468.16140175657</c:v>
                </c:pt>
                <c:pt idx="314">
                  <c:v>-161527.08634656246</c:v>
                </c:pt>
                <c:pt idx="315">
                  <c:v>-152789.16652962533</c:v>
                </c:pt>
                <c:pt idx="316">
                  <c:v>-144258.2621379779</c:v>
                </c:pt>
                <c:pt idx="317">
                  <c:v>-135938.16777143549</c:v>
                </c:pt>
                <c:pt idx="318">
                  <c:v>-127832.61158508144</c:v>
                </c:pt>
                <c:pt idx="319">
                  <c:v>-119945.25445521032</c:v>
                </c:pt>
                <c:pt idx="320">
                  <c:v>-112279.68916899803</c:v>
                </c:pt>
                <c:pt idx="321">
                  <c:v>-104839.4396381596</c:v>
                </c:pt>
                <c:pt idx="322">
                  <c:v>-97627.960136848415</c:v>
                </c:pt>
                <c:pt idx="323">
                  <c:v>-90648.634564042193</c:v>
                </c:pt>
                <c:pt idx="324">
                  <c:v>-83904.775730653608</c:v>
                </c:pt>
                <c:pt idx="325">
                  <c:v>-77399.624671595142</c:v>
                </c:pt>
                <c:pt idx="326">
                  <c:v>-71136.349983020089</c:v>
                </c:pt>
                <c:pt idx="327">
                  <c:v>-65118.047184953022</c:v>
                </c:pt>
                <c:pt idx="328">
                  <c:v>-59347.73810951531</c:v>
                </c:pt>
                <c:pt idx="329">
                  <c:v>-53828.370314942782</c:v>
                </c:pt>
                <c:pt idx="330">
                  <c:v>-48562.816525584392</c:v>
                </c:pt>
                <c:pt idx="331">
                  <c:v>-43553.874098062326</c:v>
                </c:pt>
                <c:pt idx="332">
                  <c:v>-38804.264513765607</c:v>
                </c:pt>
                <c:pt idx="333">
                  <c:v>-34316.63289784074</c:v>
                </c:pt>
                <c:pt idx="334">
                  <c:v>-30093.547564834444</c:v>
                </c:pt>
                <c:pt idx="335">
                  <c:v>-26137.499591134838</c:v>
                </c:pt>
                <c:pt idx="336">
                  <c:v>-22450.902414348908</c:v>
                </c:pt>
                <c:pt idx="337">
                  <c:v>-19036.091459745348</c:v>
                </c:pt>
                <c:pt idx="338">
                  <c:v>-15895.32379388317</c:v>
                </c:pt>
                <c:pt idx="339">
                  <c:v>-13030.777805537669</c:v>
                </c:pt>
                <c:pt idx="340">
                  <c:v>-10444.552914026632</c:v>
                </c:pt>
                <c:pt idx="341">
                  <c:v>-8138.6693050307249</c:v>
                </c:pt>
                <c:pt idx="342">
                  <c:v>-6115.0676939932364</c:v>
                </c:pt>
                <c:pt idx="343">
                  <c:v>-4375.6091171753978</c:v>
                </c:pt>
                <c:pt idx="344">
                  <c:v>-2922.0747504346373</c:v>
                </c:pt>
                <c:pt idx="345">
                  <c:v>-1756.1657557841502</c:v>
                </c:pt>
                <c:pt idx="346">
                  <c:v>-879.50315578324762</c:v>
                </c:pt>
                <c:pt idx="347">
                  <c:v>-293.62773579895588</c:v>
                </c:pt>
                <c:pt idx="348">
                  <c:v>2.5829633386820205E-5</c:v>
                </c:pt>
                <c:pt idx="349">
                  <c:v>-2.9824252578691812E-7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967-488C-84B2-259B33DB8E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8242080"/>
        <c:axId val="1225900656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Equilibrio!$A$2:$A$450</c:f>
              <c:numCache>
                <c:formatCode>General</c:formatCode>
                <c:ptCount val="44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</c:numCache>
            </c:numRef>
          </c:xVal>
          <c:yVal>
            <c:numRef>
              <c:f>Equilibrio!$R$2:$R$450</c:f>
              <c:numCache>
                <c:formatCode>0.00</c:formatCode>
                <c:ptCount val="449"/>
                <c:pt idx="0">
                  <c:v>219.64042677642965</c:v>
                </c:pt>
                <c:pt idx="1">
                  <c:v>440.2826360003869</c:v>
                </c:pt>
                <c:pt idx="2">
                  <c:v>662.00693469980649</c:v>
                </c:pt>
                <c:pt idx="3">
                  <c:v>884.89356006697324</c:v>
                </c:pt>
                <c:pt idx="4">
                  <c:v>1109.0226515557715</c:v>
                </c:pt>
                <c:pt idx="5">
                  <c:v>1334.474223010433</c:v>
                </c:pt>
                <c:pt idx="6">
                  <c:v>1561.3281348347632</c:v>
                </c:pt>
                <c:pt idx="7">
                  <c:v>1789.6640662108168</c:v>
                </c:pt>
                <c:pt idx="8">
                  <c:v>2019.5614873759737</c:v>
                </c:pt>
                <c:pt idx="9">
                  <c:v>2251.0996319673513</c:v>
                </c:pt>
                <c:pt idx="10">
                  <c:v>2484.3574694424647</c:v>
                </c:pt>
                <c:pt idx="11">
                  <c:v>2719.4136775850202</c:v>
                </c:pt>
                <c:pt idx="12">
                  <c:v>2956.3466151047078</c:v>
                </c:pt>
                <c:pt idx="13">
                  <c:v>3195.2342943398185</c:v>
                </c:pt>
                <c:pt idx="14">
                  <c:v>3436.1543540714842</c:v>
                </c:pt>
                <c:pt idx="15">
                  <c:v>3679.1840324583031</c:v>
                </c:pt>
                <c:pt idx="16">
                  <c:v>3924.4001401000692</c:v>
                </c:pt>
                <c:pt idx="17">
                  <c:v>4171.8790332392909</c:v>
                </c:pt>
                <c:pt idx="18">
                  <c:v>4421.6965871091306</c:v>
                </c:pt>
                <c:pt idx="19">
                  <c:v>4673.9281694363599</c:v>
                </c:pt>
                <c:pt idx="20">
                  <c:v>4828.3736141078616</c:v>
                </c:pt>
                <c:pt idx="21">
                  <c:v>4985.3821950091697</c:v>
                </c:pt>
                <c:pt idx="22">
                  <c:v>5145.0276000434824</c:v>
                </c:pt>
                <c:pt idx="23">
                  <c:v>5307.3829053395111</c:v>
                </c:pt>
                <c:pt idx="24">
                  <c:v>5472.5205496564831</c:v>
                </c:pt>
                <c:pt idx="25">
                  <c:v>5023.1123089945495</c:v>
                </c:pt>
                <c:pt idx="26">
                  <c:v>4576.6292714187703</c:v>
                </c:pt>
                <c:pt idx="27">
                  <c:v>4133.1418121048036</c:v>
                </c:pt>
                <c:pt idx="28">
                  <c:v>3692.7195686143264</c:v>
                </c:pt>
                <c:pt idx="29">
                  <c:v>3255.431416408167</c:v>
                </c:pt>
                <c:pt idx="30">
                  <c:v>2821.3454446050332</c:v>
                </c:pt>
                <c:pt idx="31">
                  <c:v>2390.5289319936496</c:v>
                </c:pt>
                <c:pt idx="32">
                  <c:v>1963.0483233060381</c:v>
                </c:pt>
                <c:pt idx="33">
                  <c:v>1538.9692057595807</c:v>
                </c:pt>
                <c:pt idx="34">
                  <c:v>1118.3562858754328</c:v>
                </c:pt>
                <c:pt idx="35">
                  <c:v>701.27336658075012</c:v>
                </c:pt>
                <c:pt idx="36">
                  <c:v>287.78332460211305</c:v>
                </c:pt>
                <c:pt idx="37">
                  <c:v>-122.05191184256711</c:v>
                </c:pt>
                <c:pt idx="38">
                  <c:v>-528.17138504647369</c:v>
                </c:pt>
                <c:pt idx="39">
                  <c:v>-930.51512950354743</c:v>
                </c:pt>
                <c:pt idx="40">
                  <c:v>-1329.0241932783993</c:v>
                </c:pt>
                <c:pt idx="41">
                  <c:v>-1723.6406590495853</c:v>
                </c:pt>
                <c:pt idx="42">
                  <c:v>-2114.3076648194638</c:v>
                </c:pt>
                <c:pt idx="43">
                  <c:v>-2500.9694242839569</c:v>
                </c:pt>
                <c:pt idx="44">
                  <c:v>-2883.571246855658</c:v>
                </c:pt>
                <c:pt idx="45">
                  <c:v>-3262.0595573338264</c:v>
                </c:pt>
                <c:pt idx="46">
                  <c:v>-3636.3819152149335</c:v>
                </c:pt>
                <c:pt idx="47">
                  <c:v>-4006.4870336375379</c:v>
                </c:pt>
                <c:pt idx="48">
                  <c:v>-4372.3247979553817</c:v>
                </c:pt>
                <c:pt idx="49">
                  <c:v>-4733.8462839327231</c:v>
                </c:pt>
                <c:pt idx="50">
                  <c:v>-5091.0037755560452</c:v>
                </c:pt>
                <c:pt idx="51">
                  <c:v>-5443.7507824563963</c:v>
                </c:pt>
                <c:pt idx="52">
                  <c:v>-5792.0420569367488</c:v>
                </c:pt>
                <c:pt idx="53">
                  <c:v>-6135.8336105988883</c:v>
                </c:pt>
                <c:pt idx="54">
                  <c:v>-6475.0827305644807</c:v>
                </c:pt>
                <c:pt idx="55">
                  <c:v>-6809.7479952850772</c:v>
                </c:pt>
                <c:pt idx="56">
                  <c:v>-7139.7892899359795</c:v>
                </c:pt>
                <c:pt idx="57">
                  <c:v>-7465.1678213889845</c:v>
                </c:pt>
                <c:pt idx="58">
                  <c:v>-7785.8461327592022</c:v>
                </c:pt>
                <c:pt idx="59">
                  <c:v>-8101.788117521246</c:v>
                </c:pt>
                <c:pt idx="60">
                  <c:v>-8412.9590331902509</c:v>
                </c:pt>
                <c:pt idx="61">
                  <c:v>-8787.8695145633137</c:v>
                </c:pt>
                <c:pt idx="62">
                  <c:v>-9157.9435865170763</c:v>
                </c:pt>
                <c:pt idx="63">
                  <c:v>-9523.1506763573452</c:v>
                </c:pt>
                <c:pt idx="64">
                  <c:v>-9883.4616257167563</c:v>
                </c:pt>
                <c:pt idx="65">
                  <c:v>-10238.848701996649</c:v>
                </c:pt>
                <c:pt idx="66">
                  <c:v>-10589.285609349468</c:v>
                </c:pt>
                <c:pt idx="67">
                  <c:v>-10934.747499198156</c:v>
                </c:pt>
                <c:pt idx="68">
                  <c:v>-11275.210980289135</c:v>
                </c:pt>
                <c:pt idx="69">
                  <c:v>-11610.654128275653</c:v>
                </c:pt>
                <c:pt idx="70">
                  <c:v>-11941.056494828392</c:v>
                </c:pt>
                <c:pt idx="71">
                  <c:v>-12266.399116270411</c:v>
                </c:pt>
                <c:pt idx="72">
                  <c:v>-12586.664521733645</c:v>
                </c:pt>
                <c:pt idx="73">
                  <c:v>-12901.836740834311</c:v>
                </c:pt>
                <c:pt idx="74">
                  <c:v>-13211.90131086478</c:v>
                </c:pt>
                <c:pt idx="75">
                  <c:v>-13516.845283499559</c:v>
                </c:pt>
                <c:pt idx="76">
                  <c:v>-13816.657231013263</c:v>
                </c:pt>
                <c:pt idx="77">
                  <c:v>-14111.327252008534</c:v>
                </c:pt>
                <c:pt idx="78">
                  <c:v>-14400.846976652087</c:v>
                </c:pt>
                <c:pt idx="79">
                  <c:v>-14685.209571417192</c:v>
                </c:pt>
                <c:pt idx="80">
                  <c:v>-14964.409743331053</c:v>
                </c:pt>
                <c:pt idx="81">
                  <c:v>-15238.443743725718</c:v>
                </c:pt>
                <c:pt idx="82">
                  <c:v>-15507.309371491332</c:v>
                </c:pt>
                <c:pt idx="83">
                  <c:v>-15771.005975830643</c:v>
                </c:pt>
                <c:pt idx="84">
                  <c:v>-16029.534458513925</c:v>
                </c:pt>
                <c:pt idx="85">
                  <c:v>-16282.897275633535</c:v>
                </c:pt>
                <c:pt idx="86">
                  <c:v>-16531.098438857596</c:v>
                </c:pt>
                <c:pt idx="87">
                  <c:v>-16774.14351618235</c:v>
                </c:pt>
                <c:pt idx="88">
                  <c:v>-17012.039632182983</c:v>
                </c:pt>
                <c:pt idx="89">
                  <c:v>-17244.795467762804</c:v>
                </c:pt>
                <c:pt idx="90">
                  <c:v>-17472.421259400879</c:v>
                </c:pt>
                <c:pt idx="91">
                  <c:v>-17694.928797898367</c:v>
                </c:pt>
                <c:pt idx="92">
                  <c:v>-17912.331426623943</c:v>
                </c:pt>
                <c:pt idx="93">
                  <c:v>-18124.644039258899</c:v>
                </c:pt>
                <c:pt idx="94">
                  <c:v>-18331.88307704261</c:v>
                </c:pt>
                <c:pt idx="95">
                  <c:v>-18534.066525519302</c:v>
                </c:pt>
                <c:pt idx="96">
                  <c:v>-18731.213910787133</c:v>
                </c:pt>
                <c:pt idx="97">
                  <c:v>-18923.346295250816</c:v>
                </c:pt>
                <c:pt idx="98">
                  <c:v>-19110.486272879138</c:v>
                </c:pt>
                <c:pt idx="99">
                  <c:v>-19292.657963968915</c:v>
                </c:pt>
                <c:pt idx="100">
                  <c:v>-19469.887009417063</c:v>
                </c:pt>
                <c:pt idx="101">
                  <c:v>-19642.200564502644</c:v>
                </c:pt>
                <c:pt idx="102">
                  <c:v>-19615.419292180868</c:v>
                </c:pt>
                <c:pt idx="103">
                  <c:v>-19583.781355891231</c:v>
                </c:pt>
                <c:pt idx="104">
                  <c:v>-19547.318411882101</c:v>
                </c:pt>
                <c:pt idx="105">
                  <c:v>-19506.063601054222</c:v>
                </c:pt>
                <c:pt idx="106">
                  <c:v>-19460.051540325778</c:v>
                </c:pt>
                <c:pt idx="107">
                  <c:v>-19409.318313521773</c:v>
                </c:pt>
                <c:pt idx="108">
                  <c:v>-19353.901461790698</c:v>
                </c:pt>
                <c:pt idx="109">
                  <c:v>-19293.83997355153</c:v>
                </c:pt>
                <c:pt idx="110">
                  <c:v>-19229.174273974364</c:v>
                </c:pt>
                <c:pt idx="111">
                  <c:v>-19159.946213997988</c:v>
                </c:pt>
                <c:pt idx="112">
                  <c:v>-19086.199058888025</c:v>
                </c:pt>
                <c:pt idx="113">
                  <c:v>-19007.977476339263</c:v>
                </c:pt>
                <c:pt idx="114">
                  <c:v>-18925.327524126034</c:v>
                </c:pt>
                <c:pt idx="115">
                  <c:v>-18838.296637304633</c:v>
                </c:pt>
                <c:pt idx="116">
                  <c:v>-18746.933614971873</c:v>
                </c:pt>
                <c:pt idx="117">
                  <c:v>-18651.288606584072</c:v>
                </c:pt>
                <c:pt idx="118">
                  <c:v>-18551.413097840861</c:v>
                </c:pt>
                <c:pt idx="119">
                  <c:v>-18447.359896138369</c:v>
                </c:pt>
                <c:pt idx="120">
                  <c:v>-18339.183115596472</c:v>
                </c:pt>
                <c:pt idx="121">
                  <c:v>-18226.938161664933</c:v>
                </c:pt>
                <c:pt idx="122">
                  <c:v>-18110.681715313396</c:v>
                </c:pt>
                <c:pt idx="123">
                  <c:v>-17990.471716810316</c:v>
                </c:pt>
                <c:pt idx="124">
                  <c:v>-17866.367349096075</c:v>
                </c:pt>
                <c:pt idx="125">
                  <c:v>-17738.429020755619</c:v>
                </c:pt>
                <c:pt idx="126">
                  <c:v>-17606.718348596114</c:v>
                </c:pt>
                <c:pt idx="127">
                  <c:v>-17471.298139835249</c:v>
                </c:pt>
                <c:pt idx="128">
                  <c:v>-17332.232373905896</c:v>
                </c:pt>
                <c:pt idx="129">
                  <c:v>-17189.58618388301</c:v>
                </c:pt>
                <c:pt idx="130">
                  <c:v>-17043.425837538758</c:v>
                </c:pt>
                <c:pt idx="131">
                  <c:v>-16893.81871803198</c:v>
                </c:pt>
                <c:pt idx="132">
                  <c:v>-16740.833304238182</c:v>
                </c:pt>
                <c:pt idx="133">
                  <c:v>-16584.539150726432</c:v>
                </c:pt>
                <c:pt idx="134">
                  <c:v>-16425.006867389602</c:v>
                </c:pt>
                <c:pt idx="135">
                  <c:v>-16262.308098734511</c:v>
                </c:pt>
                <c:pt idx="136">
                  <c:v>-16096.515502838645</c:v>
                </c:pt>
                <c:pt idx="137">
                  <c:v>-15927.702729980252</c:v>
                </c:pt>
                <c:pt idx="138">
                  <c:v>-15755.944400948671</c:v>
                </c:pt>
                <c:pt idx="139">
                  <c:v>-15581.316085041908</c:v>
                </c:pt>
                <c:pt idx="140">
                  <c:v>-15403.894277758551</c:v>
                </c:pt>
                <c:pt idx="141">
                  <c:v>-15223.756378191183</c:v>
                </c:pt>
                <c:pt idx="142">
                  <c:v>-15040.980666128615</c:v>
                </c:pt>
                <c:pt idx="143">
                  <c:v>-14695.710278874296</c:v>
                </c:pt>
                <c:pt idx="144">
                  <c:v>-14347.96118778838</c:v>
                </c:pt>
                <c:pt idx="145">
                  <c:v>-13997.814174561003</c:v>
                </c:pt>
                <c:pt idx="146">
                  <c:v>-13645.350807224422</c:v>
                </c:pt>
                <c:pt idx="147">
                  <c:v>-13290.653415911744</c:v>
                </c:pt>
                <c:pt idx="148">
                  <c:v>-12933.805068370053</c:v>
                </c:pt>
                <c:pt idx="149">
                  <c:v>-12574.889545235841</c:v>
                </c:pt>
                <c:pt idx="150">
                  <c:v>-12213.991315080684</c:v>
                </c:pt>
                <c:pt idx="151">
                  <c:v>-11851.19550923524</c:v>
                </c:pt>
                <c:pt idx="152">
                  <c:v>-11486.587896399649</c:v>
                </c:pt>
                <c:pt idx="153">
                  <c:v>-11120.254857048538</c:v>
                </c:pt>
                <c:pt idx="154">
                  <c:v>-10752.283357638868</c:v>
                </c:pt>
                <c:pt idx="155">
                  <c:v>-10382.76092462895</c:v>
                </c:pt>
                <c:pt idx="156">
                  <c:v>-10011.775618316986</c:v>
                </c:pt>
                <c:pt idx="157">
                  <c:v>-9639.4160065075666</c:v>
                </c:pt>
                <c:pt idx="158">
                  <c:v>-9265.7711380146284</c:v>
                </c:pt>
                <c:pt idx="159">
                  <c:v>-8890.9305160093954</c:v>
                </c:pt>
                <c:pt idx="160">
                  <c:v>-8514.984071221892</c:v>
                </c:pt>
                <c:pt idx="161">
                  <c:v>-8138.0221350046804</c:v>
                </c:pt>
                <c:pt idx="162">
                  <c:v>-7760.1354122674793</c:v>
                </c:pt>
                <c:pt idx="163">
                  <c:v>-7381.4149542914074</c:v>
                </c:pt>
                <c:pt idx="164">
                  <c:v>-7001.9521314316007</c:v>
                </c:pt>
                <c:pt idx="165">
                  <c:v>-6621.838605717001</c:v>
                </c:pt>
                <c:pt idx="166">
                  <c:v>-6241.1663033561554</c:v>
                </c:pt>
                <c:pt idx="167">
                  <c:v>-5860.027387157872</c:v>
                </c:pt>
                <c:pt idx="168">
                  <c:v>-5478.5142288756342</c:v>
                </c:pt>
                <c:pt idx="169">
                  <c:v>-5096.719381484676</c:v>
                </c:pt>
                <c:pt idx="170">
                  <c:v>-4714.7355514006576</c:v>
                </c:pt>
                <c:pt idx="171">
                  <c:v>-4332.6555706488916</c:v>
                </c:pt>
                <c:pt idx="172">
                  <c:v>-3950.5723689930924</c:v>
                </c:pt>
                <c:pt idx="173">
                  <c:v>-3568.5789460326223</c:v>
                </c:pt>
                <c:pt idx="174">
                  <c:v>-3186.7683432772396</c:v>
                </c:pt>
                <c:pt idx="175">
                  <c:v>-2805.2336162083338</c:v>
                </c:pt>
                <c:pt idx="176">
                  <c:v>-2424.0678063356627</c:v>
                </c:pt>
                <c:pt idx="177">
                  <c:v>-2043.363913258589</c:v>
                </c:pt>
                <c:pt idx="178">
                  <c:v>-1663.2148667408264</c:v>
                </c:pt>
                <c:pt idx="179">
                  <c:v>-1283.7134988076882</c:v>
                </c:pt>
                <c:pt idx="180">
                  <c:v>-904.95251587483426</c:v>
                </c:pt>
                <c:pt idx="181">
                  <c:v>-527.02447091749877</c:v>
                </c:pt>
                <c:pt idx="182">
                  <c:v>-150.02173568916464</c:v>
                </c:pt>
                <c:pt idx="183">
                  <c:v>225.96352700135901</c:v>
                </c:pt>
                <c:pt idx="184">
                  <c:v>600.83939094552647</c:v>
                </c:pt>
                <c:pt idx="185">
                  <c:v>974.51419411439451</c:v>
                </c:pt>
                <c:pt idx="186">
                  <c:v>1346.896566152828</c:v>
                </c:pt>
                <c:pt idx="187">
                  <c:v>1717.8954557797078</c:v>
                </c:pt>
                <c:pt idx="188">
                  <c:v>2087.4201580853151</c:v>
                </c:pt>
                <c:pt idx="189">
                  <c:v>2455.3803417170889</c:v>
                </c:pt>
                <c:pt idx="190">
                  <c:v>2821.6860759450028</c:v>
                </c:pt>
                <c:pt idx="191">
                  <c:v>3186.2478575978344</c:v>
                </c:pt>
                <c:pt idx="192">
                  <c:v>3548.9766378616464</c:v>
                </c:pt>
                <c:pt idx="193">
                  <c:v>3909.7838489318474</c:v>
                </c:pt>
                <c:pt idx="194">
                  <c:v>4268.5814305102376</c:v>
                </c:pt>
                <c:pt idx="195">
                  <c:v>4625.2818561385066</c:v>
                </c:pt>
                <c:pt idx="196">
                  <c:v>4979.7981593596905</c:v>
                </c:pt>
                <c:pt idx="197">
                  <c:v>5332.0439596991628</c:v>
                </c:pt>
                <c:pt idx="198">
                  <c:v>5681.9334884567843</c:v>
                </c:pt>
                <c:pt idx="199">
                  <c:v>6029.3816143018976</c:v>
                </c:pt>
                <c:pt idx="200">
                  <c:v>6374.3038686629243</c:v>
                </c:pt>
                <c:pt idx="201">
                  <c:v>6716.6164709033756</c:v>
                </c:pt>
                <c:pt idx="202">
                  <c:v>7056.2363532761647</c:v>
                </c:pt>
                <c:pt idx="203">
                  <c:v>7393.081185648186</c:v>
                </c:pt>
                <c:pt idx="204">
                  <c:v>7727.0693999871828</c:v>
                </c:pt>
                <c:pt idx="205">
                  <c:v>8058.1202146030191</c:v>
                </c:pt>
                <c:pt idx="206">
                  <c:v>8386.1536581355413</c:v>
                </c:pt>
                <c:pt idx="207">
                  <c:v>8711.0905932812984</c:v>
                </c:pt>
                <c:pt idx="208">
                  <c:v>9032.8527402514792</c:v>
                </c:pt>
                <c:pt idx="209">
                  <c:v>9351.3626999535009</c:v>
                </c:pt>
                <c:pt idx="210">
                  <c:v>9666.5439768887809</c:v>
                </c:pt>
                <c:pt idx="211">
                  <c:v>9978.3210017593065</c:v>
                </c:pt>
                <c:pt idx="212">
                  <c:v>10286.61915377574</c:v>
                </c:pt>
                <c:pt idx="213">
                  <c:v>10591.364782659837</c:v>
                </c:pt>
                <c:pt idx="214">
                  <c:v>10892.485230334109</c:v>
                </c:pt>
                <c:pt idx="215">
                  <c:v>11189.908852291737</c:v>
                </c:pt>
                <c:pt idx="216">
                  <c:v>11483.56503863985</c:v>
                </c:pt>
                <c:pt idx="217">
                  <c:v>11773.384234809377</c:v>
                </c:pt>
                <c:pt idx="218">
                  <c:v>12059.297961924811</c:v>
                </c:pt>
                <c:pt idx="219">
                  <c:v>12341.238836827319</c:v>
                </c:pt>
                <c:pt idx="220">
                  <c:v>12619.14059174473</c:v>
                </c:pt>
                <c:pt idx="221">
                  <c:v>12892.938093602086</c:v>
                </c:pt>
                <c:pt idx="222">
                  <c:v>13162.56736296652</c:v>
                </c:pt>
                <c:pt idx="223">
                  <c:v>13427.965592620341</c:v>
                </c:pt>
                <c:pt idx="224">
                  <c:v>13689.071165756382</c:v>
                </c:pt>
                <c:pt idx="225">
                  <c:v>13945.823673789699</c:v>
                </c:pt>
                <c:pt idx="226">
                  <c:v>14026.803933779907</c:v>
                </c:pt>
                <c:pt idx="227">
                  <c:v>14103.314005458555</c:v>
                </c:pt>
                <c:pt idx="228">
                  <c:v>14175.297207855996</c:v>
                </c:pt>
                <c:pt idx="229">
                  <c:v>14242.698135522469</c:v>
                </c:pt>
                <c:pt idx="230">
                  <c:v>14305.462674338096</c:v>
                </c:pt>
                <c:pt idx="231">
                  <c:v>14363.53801690675</c:v>
                </c:pt>
                <c:pt idx="232">
                  <c:v>14416.872677528801</c:v>
                </c:pt>
                <c:pt idx="233">
                  <c:v>14465.41650674793</c:v>
                </c:pt>
                <c:pt idx="234">
                  <c:v>14509.12070546732</c:v>
                </c:pt>
                <c:pt idx="235">
                  <c:v>14547.93783863068</c:v>
                </c:pt>
                <c:pt idx="236">
                  <c:v>14581.821848463675</c:v>
                </c:pt>
                <c:pt idx="237">
                  <c:v>14610.728067271519</c:v>
                </c:pt>
                <c:pt idx="238">
                  <c:v>14634.613229788592</c:v>
                </c:pt>
                <c:pt idx="239">
                  <c:v>14653.435485076101</c:v>
                </c:pt>
                <c:pt idx="240">
                  <c:v>14667.154407963955</c:v>
                </c:pt>
                <c:pt idx="241">
                  <c:v>14675.731010033172</c:v>
                </c:pt>
                <c:pt idx="242">
                  <c:v>14679.127750135267</c:v>
                </c:pt>
                <c:pt idx="243">
                  <c:v>14677.308544445232</c:v>
                </c:pt>
                <c:pt idx="244">
                  <c:v>14670.238776044884</c:v>
                </c:pt>
                <c:pt idx="245">
                  <c:v>14657.885304033478</c:v>
                </c:pt>
                <c:pt idx="246">
                  <c:v>14640.216472162647</c:v>
                </c:pt>
                <c:pt idx="247">
                  <c:v>14617.202116992894</c:v>
                </c:pt>
                <c:pt idx="248">
                  <c:v>14588.813575569011</c:v>
                </c:pt>
                <c:pt idx="249">
                  <c:v>14555.023692611936</c:v>
                </c:pt>
                <c:pt idx="250">
                  <c:v>14515.806827224753</c:v>
                </c:pt>
                <c:pt idx="251">
                  <c:v>14471.138859110644</c:v>
                </c:pt>
                <c:pt idx="252">
                  <c:v>14420.997194300824</c:v>
                </c:pt>
                <c:pt idx="253">
                  <c:v>14365.36077039058</c:v>
                </c:pt>
                <c:pt idx="254">
                  <c:v>14304.210061281752</c:v>
                </c:pt>
                <c:pt idx="255">
                  <c:v>14237.527081430115</c:v>
                </c:pt>
                <c:pt idx="256">
                  <c:v>14165.295389596291</c:v>
                </c:pt>
                <c:pt idx="257">
                  <c:v>14087.500092098993</c:v>
                </c:pt>
                <c:pt idx="258">
                  <c:v>14004.127845569545</c:v>
                </c:pt>
                <c:pt idx="259">
                  <c:v>13915.166859206787</c:v>
                </c:pt>
                <c:pt idx="260">
                  <c:v>13820.606896531652</c:v>
                </c:pt>
                <c:pt idx="261">
                  <c:v>13720.439276640831</c:v>
                </c:pt>
                <c:pt idx="262">
                  <c:v>13614.656874959141</c:v>
                </c:pt>
                <c:pt idx="263">
                  <c:v>13503.254123490336</c:v>
                </c:pt>
                <c:pt idx="264">
                  <c:v>13386.227010566297</c:v>
                </c:pt>
                <c:pt idx="265">
                  <c:v>13263.573080094664</c:v>
                </c:pt>
                <c:pt idx="266">
                  <c:v>13135.291430305166</c:v>
                </c:pt>
                <c:pt idx="267">
                  <c:v>13172.74271199505</c:v>
                </c:pt>
                <c:pt idx="268">
                  <c:v>13204.569126274177</c:v>
                </c:pt>
                <c:pt idx="269">
                  <c:v>13230.774421810493</c:v>
                </c:pt>
                <c:pt idx="270">
                  <c:v>13251.363891576797</c:v>
                </c:pt>
                <c:pt idx="271">
                  <c:v>13266.344369099821</c:v>
                </c:pt>
                <c:pt idx="272">
                  <c:v>13275.724224212847</c:v>
                </c:pt>
                <c:pt idx="273">
                  <c:v>13279.513358313234</c:v>
                </c:pt>
                <c:pt idx="274">
                  <c:v>13277.723199126369</c:v>
                </c:pt>
                <c:pt idx="275">
                  <c:v>13270.366694977742</c:v>
                </c:pt>
                <c:pt idx="276">
                  <c:v>13257.458308574984</c:v>
                </c:pt>
                <c:pt idx="277">
                  <c:v>13239.014010301875</c:v>
                </c:pt>
                <c:pt idx="278">
                  <c:v>13215.051271026483</c:v>
                </c:pt>
                <c:pt idx="279">
                  <c:v>13185.589054425747</c:v>
                </c:pt>
                <c:pt idx="280">
                  <c:v>13150.647808828986</c:v>
                </c:pt>
                <c:pt idx="281">
                  <c:v>13110.249458582954</c:v>
                </c:pt>
                <c:pt idx="282">
                  <c:v>13064.417394941225</c:v>
                </c:pt>
                <c:pt idx="283">
                  <c:v>13013.17646648086</c:v>
                </c:pt>
                <c:pt idx="284">
                  <c:v>12956.552969049411</c:v>
                </c:pt>
                <c:pt idx="285">
                  <c:v>12894.574635245541</c:v>
                </c:pt>
                <c:pt idx="286">
                  <c:v>12827.270623436614</c:v>
                </c:pt>
                <c:pt idx="287">
                  <c:v>12754.671506316823</c:v>
                </c:pt>
                <c:pt idx="288">
                  <c:v>12676.809259009524</c:v>
                </c:pt>
                <c:pt idx="289">
                  <c:v>12593.717246717622</c:v>
                </c:pt>
                <c:pt idx="290">
                  <c:v>12505.430211925983</c:v>
                </c:pt>
                <c:pt idx="291">
                  <c:v>12411.984261159992</c:v>
                </c:pt>
                <c:pt idx="292">
                  <c:v>12313.416851304541</c:v>
                </c:pt>
                <c:pt idx="293">
                  <c:v>12209.766775487831</c:v>
                </c:pt>
                <c:pt idx="294">
                  <c:v>12101.074148534562</c:v>
                </c:pt>
                <c:pt idx="295">
                  <c:v>11987.380391993182</c:v>
                </c:pt>
                <c:pt idx="296">
                  <c:v>11868.728218742024</c:v>
                </c:pt>
                <c:pt idx="297">
                  <c:v>11745.161617179303</c:v>
                </c:pt>
                <c:pt idx="298">
                  <c:v>11616.725835002047</c:v>
                </c:pt>
                <c:pt idx="299">
                  <c:v>11483.467362579209</c:v>
                </c:pt>
                <c:pt idx="300">
                  <c:v>11345.433915924305</c:v>
                </c:pt>
                <c:pt idx="301">
                  <c:v>11202.674419273075</c:v>
                </c:pt>
                <c:pt idx="302">
                  <c:v>11055.238987271778</c:v>
                </c:pt>
                <c:pt idx="303">
                  <c:v>10903.178906781855</c:v>
                </c:pt>
                <c:pt idx="304">
                  <c:v>10746.546618306837</c:v>
                </c:pt>
                <c:pt idx="305">
                  <c:v>10585.395697047463</c:v>
                </c:pt>
                <c:pt idx="306">
                  <c:v>10419.78083359114</c:v>
                </c:pt>
                <c:pt idx="307">
                  <c:v>10249.757814241944</c:v>
                </c:pt>
                <c:pt idx="308">
                  <c:v>10075.383500997519</c:v>
                </c:pt>
                <c:pt idx="309">
                  <c:v>9896.7158111793087</c:v>
                </c:pt>
                <c:pt idx="310">
                  <c:v>9713.8136967227019</c:v>
                </c:pt>
                <c:pt idx="311">
                  <c:v>9526.7371231337565</c:v>
                </c:pt>
                <c:pt idx="312">
                  <c:v>9335.5470481192915</c:v>
                </c:pt>
                <c:pt idx="313">
                  <c:v>9140.3053998972155</c:v>
                </c:pt>
                <c:pt idx="314">
                  <c:v>8941.075055194111</c:v>
                </c:pt>
                <c:pt idx="315">
                  <c:v>8737.9198169371321</c:v>
                </c:pt>
                <c:pt idx="316">
                  <c:v>8530.9043916474347</c:v>
                </c:pt>
                <c:pt idx="317">
                  <c:v>8320.094366542402</c:v>
                </c:pt>
                <c:pt idx="318">
                  <c:v>8105.5561863540552</c:v>
                </c:pt>
                <c:pt idx="319">
                  <c:v>7887.3571298711186</c:v>
                </c:pt>
                <c:pt idx="320">
                  <c:v>7665.5652862123006</c:v>
                </c:pt>
                <c:pt idx="321">
                  <c:v>7440.2495308384296</c:v>
                </c:pt>
                <c:pt idx="322">
                  <c:v>7211.4795013111816</c:v>
                </c:pt>
                <c:pt idx="323">
                  <c:v>6979.325572806215</c:v>
                </c:pt>
                <c:pt idx="324">
                  <c:v>6743.85883338859</c:v>
                </c:pt>
                <c:pt idx="325">
                  <c:v>6505.1510590584585</c:v>
                </c:pt>
                <c:pt idx="326">
                  <c:v>6263.2746885750466</c:v>
                </c:pt>
                <c:pt idx="327">
                  <c:v>6018.3027980670668</c:v>
                </c:pt>
                <c:pt idx="328">
                  <c:v>5770.3090754377154</c:v>
                </c:pt>
                <c:pt idx="329">
                  <c:v>5519.3677945725285</c:v>
                </c:pt>
                <c:pt idx="330">
                  <c:v>5265.5537893583878</c:v>
                </c:pt>
                <c:pt idx="331">
                  <c:v>5008.9424275220645</c:v>
                </c:pt>
                <c:pt idx="332">
                  <c:v>4749.6095842967216</c:v>
                </c:pt>
                <c:pt idx="333">
                  <c:v>4487.6316159248681</c:v>
                </c:pt>
                <c:pt idx="334">
                  <c:v>4223.0853330062973</c:v>
                </c:pt>
                <c:pt idx="335">
                  <c:v>3956.0479736996076</c:v>
                </c:pt>
                <c:pt idx="336">
                  <c:v>3686.597176785931</c:v>
                </c:pt>
                <c:pt idx="337">
                  <c:v>3414.810954603558</c:v>
                </c:pt>
                <c:pt idx="338">
                  <c:v>3140.767665862179</c:v>
                </c:pt>
                <c:pt idx="339">
                  <c:v>2864.5459883455005</c:v>
                </c:pt>
                <c:pt idx="340">
                  <c:v>2586.2248915110372</c:v>
                </c:pt>
                <c:pt idx="341">
                  <c:v>2305.8836089959068</c:v>
                </c:pt>
                <c:pt idx="342">
                  <c:v>2023.601611037489</c:v>
                </c:pt>
                <c:pt idx="343">
                  <c:v>1739.4585768178383</c:v>
                </c:pt>
                <c:pt idx="344">
                  <c:v>1453.5343667407606</c:v>
                </c:pt>
                <c:pt idx="345">
                  <c:v>1165.9089946504871</c:v>
                </c:pt>
                <c:pt idx="346">
                  <c:v>876.66260000090256</c:v>
                </c:pt>
                <c:pt idx="347">
                  <c:v>585.87541998429174</c:v>
                </c:pt>
                <c:pt idx="348">
                  <c:v>293.62776162858927</c:v>
                </c:pt>
                <c:pt idx="349">
                  <c:v>-2.6127875912607124E-5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67-488C-84B2-259B33DB8E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9307039"/>
        <c:axId val="1029305375"/>
      </c:scatterChart>
      <c:valAx>
        <c:axId val="1038242080"/>
        <c:scaling>
          <c:orientation val="minMax"/>
          <c:max val="3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5900656"/>
        <c:crosses val="autoZero"/>
        <c:crossBetween val="midCat"/>
      </c:valAx>
      <c:valAx>
        <c:axId val="122590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8242080"/>
        <c:crosses val="autoZero"/>
        <c:crossBetween val="midCat"/>
      </c:valAx>
      <c:valAx>
        <c:axId val="1029305375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1029307039"/>
        <c:crosses val="max"/>
        <c:crossBetween val="midCat"/>
      </c:valAx>
      <c:valAx>
        <c:axId val="1029307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29305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2" dropStyle="combo" dx="22" fmlaLink="#REF!" fmlaRange="CARGAS!$P$4:$P$5" sel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5" dropStyle="combo" dx="22" fmlaLink="CARGAS!$Q$1" fmlaRange="CARGAS!$S$4:$S$8" sel="1" val="0"/>
</file>

<file path=xl/ctrlProps/ctrlProp4.xml><?xml version="1.0" encoding="utf-8"?>
<formControlPr xmlns="http://schemas.microsoft.com/office/spreadsheetml/2009/9/main" objectType="Spin" dx="22" fmlaLink="CARGAS!$Q$24" max="100" page="10" val="50"/>
</file>

<file path=xl/ctrlProps/ctrlProp5.xml><?xml version="1.0" encoding="utf-8"?>
<formControlPr xmlns="http://schemas.microsoft.com/office/spreadsheetml/2009/9/main" objectType="Drop" dropLines="3" dropStyle="combo" dx="22" fmlaLink="Equilibrio!$X$4" fmlaRange="Equilibrio!$X$1:$X$3" sel="2" val="0"/>
</file>

<file path=xl/ctrlProps/ctrlProp6.xml><?xml version="1.0" encoding="utf-8"?>
<formControlPr xmlns="http://schemas.microsoft.com/office/spreadsheetml/2009/9/main" objectType="Spin" dx="22" fmlaLink="CARGAS!$A$32" inc="5" max="100" page="10" val="35"/>
</file>

<file path=xl/ctrlProps/ctrlProp7.xml><?xml version="1.0" encoding="utf-8"?>
<formControlPr xmlns="http://schemas.microsoft.com/office/spreadsheetml/2009/9/main" objectType="Spin" dx="22" fmlaLink="CARGAS!$R$24" max="100" page="10" val="38"/>
</file>

<file path=xl/ctrlProps/ctrlProp8.xml><?xml version="1.0" encoding="utf-8"?>
<formControlPr xmlns="http://schemas.microsoft.com/office/spreadsheetml/2009/9/main" objectType="Spin" dx="22" fmlaLink="CARGAS!$S$24" max="100" page="10" val="72"/>
</file>

<file path=xl/ctrlProps/ctrlProp9.xml><?xml version="1.0" encoding="utf-8"?>
<formControlPr xmlns="http://schemas.microsoft.com/office/spreadsheetml/2009/9/main" objectType="Spin" dx="22" fmlaLink="CARGAS!$T$24" max="100" page="10" val="100"/>
</file>

<file path=xl/ctrlProps/ctrlProp10.xml><?xml version="1.0" encoding="utf-8"?>
<formControlPr xmlns="http://schemas.microsoft.com/office/spreadsheetml/2009/9/main" objectType="Spin" dx="22" fmlaLink="CARGAS!$U$24" max="100" page="10" val="100"/>
</file>

<file path=xl/ctrlProps/ctrlProp11.xml><?xml version="1.0" encoding="utf-8"?>
<formControlPr xmlns="http://schemas.microsoft.com/office/spreadsheetml/2009/9/main" objectType="Spin" dx="22" fmlaLink="CARGAS!$V$24" max="100" page="10" val="70"/>
</file>

<file path=xl/ctrlProps/ctrlProp12.xml><?xml version="1.0" encoding="utf-8"?>
<formControlPr xmlns="http://schemas.microsoft.com/office/spreadsheetml/2009/9/main" objectType="Spin" dx="22" fmlaLink="CARGAS!$W$24" max="100" page="10" val="100"/>
</file>

<file path=xl/ctrlProps/ctrlProp13.xml><?xml version="1.0" encoding="utf-8"?>
<formControlPr xmlns="http://schemas.microsoft.com/office/spreadsheetml/2009/9/main" objectType="Spin" dx="22" fmlaLink="CARGAS!$X$24" max="100" page="10" val="100"/>
</file>

<file path=xl/ctrlProps/ctrlProp14.xml><?xml version="1.0" encoding="utf-8"?>
<formControlPr xmlns="http://schemas.microsoft.com/office/spreadsheetml/2009/9/main" objectType="Spin" dx="22" fmlaLink="CARGAS!$L$15" max="60" min="30" page="10" val="30"/>
</file>

<file path=xl/ctrlProps/ctrlProp15.xml><?xml version="1.0" encoding="utf-8"?>
<formControlPr xmlns="http://schemas.microsoft.com/office/spreadsheetml/2009/9/main" objectType="Spin" dx="22" fmlaLink="CARGAS!$L$18" max="35" min="20" page="10" val="35"/>
</file>

<file path=xl/ctrlProps/ctrlProp16.xml><?xml version="1.0" encoding="utf-8"?>
<formControlPr xmlns="http://schemas.microsoft.com/office/spreadsheetml/2009/9/main" objectType="Spin" dx="22" fmlaLink="DADOS!$I$3" inc="2" max="50" min="30" page="10" val="40"/>
</file>

<file path=xl/ctrlProps/ctrlProp17.xml><?xml version="1.0" encoding="utf-8"?>
<formControlPr xmlns="http://schemas.microsoft.com/office/spreadsheetml/2009/9/main" objectType="Spin" dx="22" fmlaLink="$I$4" inc="2" max="50" min="30" page="10" val="38"/>
</file>

<file path=xl/ctrlProps/ctrlProp18.xml><?xml version="1.0" encoding="utf-8"?>
<formControlPr xmlns="http://schemas.microsoft.com/office/spreadsheetml/2009/9/main" objectType="Spin" dx="22" fmlaLink="$I$5" inc="2" max="50" min="30" page="10" val="48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11" Type="http://schemas.openxmlformats.org/officeDocument/2006/relationships/hyperlink" Target="https://www.linkedin.com/posts/pieperrafael_%E2%84%B9navio-quebra-voc%C3%AA-j%C3%A1-parou-pra-imaginar-activity-6576626468233760768-gibi" TargetMode="External"/><Relationship Id="rId5" Type="http://schemas.openxmlformats.org/officeDocument/2006/relationships/chart" Target="../charts/chart4.xml"/><Relationship Id="rId10" Type="http://schemas.openxmlformats.org/officeDocument/2006/relationships/image" Target="../media/image5.png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7</xdr:row>
      <xdr:rowOff>85725</xdr:rowOff>
    </xdr:from>
    <xdr:to>
      <xdr:col>12</xdr:col>
      <xdr:colOff>38100</xdr:colOff>
      <xdr:row>19</xdr:row>
      <xdr:rowOff>779929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525" y="2466975"/>
          <a:ext cx="10010775" cy="3666004"/>
        </a:xfrm>
        <a:prstGeom prst="rect">
          <a:avLst/>
        </a:prstGeom>
        <a:ln w="76200">
          <a:solidFill>
            <a:schemeClr val="tx1"/>
          </a:solidFill>
        </a:ln>
      </xdr:spPr>
    </xdr:pic>
    <xdr:clientData/>
  </xdr:twoCellAnchor>
  <xdr:twoCellAnchor>
    <xdr:from>
      <xdr:col>0</xdr:col>
      <xdr:colOff>1</xdr:colOff>
      <xdr:row>0</xdr:row>
      <xdr:rowOff>0</xdr:rowOff>
    </xdr:from>
    <xdr:to>
      <xdr:col>19</xdr:col>
      <xdr:colOff>28576</xdr:colOff>
      <xdr:row>23</xdr:row>
      <xdr:rowOff>276224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" y="0"/>
          <a:ext cx="14763750" cy="9401174"/>
        </a:xfrm>
        <a:prstGeom prst="rect">
          <a:avLst/>
        </a:prstGeom>
        <a:noFill/>
        <a:ln w="571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1171575</xdr:colOff>
          <xdr:row>4</xdr:row>
          <xdr:rowOff>0</xdr:rowOff>
        </xdr:from>
        <xdr:to>
          <xdr:col>17</xdr:col>
          <xdr:colOff>9525</xdr:colOff>
          <xdr:row>4</xdr:row>
          <xdr:rowOff>342900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1171575</xdr:colOff>
          <xdr:row>3</xdr:row>
          <xdr:rowOff>9525</xdr:rowOff>
        </xdr:from>
        <xdr:to>
          <xdr:col>17</xdr:col>
          <xdr:colOff>0</xdr:colOff>
          <xdr:row>3</xdr:row>
          <xdr:rowOff>342900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246531</xdr:colOff>
      <xdr:row>7</xdr:row>
      <xdr:rowOff>137831</xdr:rowOff>
    </xdr:from>
    <xdr:to>
      <xdr:col>10</xdr:col>
      <xdr:colOff>885266</xdr:colOff>
      <xdr:row>14</xdr:row>
      <xdr:rowOff>141143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685800</xdr:colOff>
          <xdr:row>5</xdr:row>
          <xdr:rowOff>190500</xdr:rowOff>
        </xdr:from>
        <xdr:to>
          <xdr:col>17</xdr:col>
          <xdr:colOff>190500</xdr:colOff>
          <xdr:row>6</xdr:row>
          <xdr:rowOff>257175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RESULTADOS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190500</xdr:colOff>
      <xdr:row>7</xdr:row>
      <xdr:rowOff>141194</xdr:rowOff>
    </xdr:from>
    <xdr:to>
      <xdr:col>1</xdr:col>
      <xdr:colOff>1109382</xdr:colOff>
      <xdr:row>14</xdr:row>
      <xdr:rowOff>146186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355587</xdr:colOff>
      <xdr:row>13</xdr:row>
      <xdr:rowOff>19050</xdr:rowOff>
    </xdr:from>
    <xdr:to>
      <xdr:col>13</xdr:col>
      <xdr:colOff>533401</xdr:colOff>
      <xdr:row>19</xdr:row>
      <xdr:rowOff>295275</xdr:rowOff>
    </xdr:to>
    <xdr:graphicFrame macro="">
      <xdr:nvGraphicFramePr>
        <xdr:cNvPr id="16" name="compartimentos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1502149</xdr:colOff>
      <xdr:row>7</xdr:row>
      <xdr:rowOff>147354</xdr:rowOff>
    </xdr:from>
    <xdr:to>
      <xdr:col>6</xdr:col>
      <xdr:colOff>403412</xdr:colOff>
      <xdr:row>14</xdr:row>
      <xdr:rowOff>150666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1514475</xdr:colOff>
          <xdr:row>6</xdr:row>
          <xdr:rowOff>28575</xdr:rowOff>
        </xdr:from>
        <xdr:to>
          <xdr:col>12</xdr:col>
          <xdr:colOff>523875</xdr:colOff>
          <xdr:row>6</xdr:row>
          <xdr:rowOff>352425</xdr:rowOff>
        </xdr:to>
        <xdr:sp macro="" textlink="">
          <xdr:nvSpPr>
            <xdr:cNvPr id="1046" name="Drop Dow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</xdr:colOff>
      <xdr:row>6</xdr:row>
      <xdr:rowOff>333094</xdr:rowOff>
    </xdr:from>
    <xdr:to>
      <xdr:col>12</xdr:col>
      <xdr:colOff>19050</xdr:colOff>
      <xdr:row>19</xdr:row>
      <xdr:rowOff>762000</xdr:rowOff>
    </xdr:to>
    <xdr:graphicFrame macro="">
      <xdr:nvGraphicFramePr>
        <xdr:cNvPr id="4" name="GRaf_principal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5953</xdr:colOff>
      <xdr:row>3</xdr:row>
      <xdr:rowOff>24850</xdr:rowOff>
    </xdr:from>
    <xdr:to>
      <xdr:col>12</xdr:col>
      <xdr:colOff>504824</xdr:colOff>
      <xdr:row>6</xdr:row>
      <xdr:rowOff>3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10</xdr:row>
          <xdr:rowOff>219075</xdr:rowOff>
        </xdr:from>
        <xdr:to>
          <xdr:col>3</xdr:col>
          <xdr:colOff>400050</xdr:colOff>
          <xdr:row>12</xdr:row>
          <xdr:rowOff>104775</xdr:rowOff>
        </xdr:to>
        <xdr:sp macro="" textlink="">
          <xdr:nvSpPr>
            <xdr:cNvPr id="1038" name="Spinner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588157</xdr:colOff>
      <xdr:row>9</xdr:row>
      <xdr:rowOff>190500</xdr:rowOff>
    </xdr:from>
    <xdr:to>
      <xdr:col>4</xdr:col>
      <xdr:colOff>114301</xdr:colOff>
      <xdr:row>10</xdr:row>
      <xdr:rowOff>209550</xdr:rowOff>
    </xdr:to>
    <xdr:sp macro="" textlink="CARGAS!Q25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045482" y="3162300"/>
          <a:ext cx="611994" cy="314325"/>
        </a:xfrm>
        <a:prstGeom prst="roundRect">
          <a:avLst>
            <a:gd name="adj" fmla="val 0"/>
          </a:avLst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75982B9-88EB-4672-8E3C-5BA9798FCDE2}" type="TxLink">
            <a:rPr lang="en-US" sz="700" b="1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1
50%</a:t>
          </a:fld>
          <a:endParaRPr lang="pt-BR" sz="7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676275</xdr:colOff>
          <xdr:row>3</xdr:row>
          <xdr:rowOff>47625</xdr:rowOff>
        </xdr:from>
        <xdr:to>
          <xdr:col>12</xdr:col>
          <xdr:colOff>466725</xdr:colOff>
          <xdr:row>4</xdr:row>
          <xdr:rowOff>57150</xdr:rowOff>
        </xdr:to>
        <xdr:sp macro="" textlink="">
          <xdr:nvSpPr>
            <xdr:cNvPr id="1048" name="Spinner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10</xdr:row>
          <xdr:rowOff>228600</xdr:rowOff>
        </xdr:from>
        <xdr:to>
          <xdr:col>4</xdr:col>
          <xdr:colOff>895350</xdr:colOff>
          <xdr:row>12</xdr:row>
          <xdr:rowOff>114300</xdr:rowOff>
        </xdr:to>
        <xdr:sp macro="" textlink="">
          <xdr:nvSpPr>
            <xdr:cNvPr id="1051" name="Spinner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483382</xdr:colOff>
      <xdr:row>9</xdr:row>
      <xdr:rowOff>200025</xdr:rowOff>
    </xdr:from>
    <xdr:to>
      <xdr:col>4</xdr:col>
      <xdr:colOff>1095376</xdr:colOff>
      <xdr:row>10</xdr:row>
      <xdr:rowOff>219075</xdr:rowOff>
    </xdr:to>
    <xdr:sp macro="" textlink="CARGAS!$R$25">
      <xdr:nvSpPr>
        <xdr:cNvPr id="34" name="Retângulo: Cantos Arredondados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3026557" y="3171825"/>
          <a:ext cx="611994" cy="314325"/>
        </a:xfrm>
        <a:prstGeom prst="roundRect">
          <a:avLst>
            <a:gd name="adj" fmla="val 0"/>
          </a:avLst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55AF6D8-3A21-4838-913D-462616900A25}" type="TxLink">
            <a:rPr lang="en-US" sz="700" b="1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2
38%</a:t>
          </a:fld>
          <a:endParaRPr lang="pt-BR" sz="7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10</xdr:row>
          <xdr:rowOff>238125</xdr:rowOff>
        </xdr:from>
        <xdr:to>
          <xdr:col>5</xdr:col>
          <xdr:colOff>409575</xdr:colOff>
          <xdr:row>12</xdr:row>
          <xdr:rowOff>123825</xdr:rowOff>
        </xdr:to>
        <xdr:sp macro="" textlink="">
          <xdr:nvSpPr>
            <xdr:cNvPr id="1052" name="Spinner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1502557</xdr:colOff>
      <xdr:row>9</xdr:row>
      <xdr:rowOff>209550</xdr:rowOff>
    </xdr:from>
    <xdr:to>
      <xdr:col>5</xdr:col>
      <xdr:colOff>609601</xdr:colOff>
      <xdr:row>10</xdr:row>
      <xdr:rowOff>228600</xdr:rowOff>
    </xdr:to>
    <xdr:sp macro="" textlink="CARGAS!$S$25">
      <xdr:nvSpPr>
        <xdr:cNvPr id="35" name="Retângulo: Cantos Arredondados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4045732" y="3181350"/>
          <a:ext cx="611994" cy="314325"/>
        </a:xfrm>
        <a:prstGeom prst="roundRect">
          <a:avLst>
            <a:gd name="adj" fmla="val 0"/>
          </a:avLst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FA97F0C-0AAC-42F8-8AF2-125FD685FD05}" type="TxLink">
            <a:rPr lang="en-US" sz="700" b="1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3
72%</a:t>
          </a:fld>
          <a:endParaRPr lang="pt-BR" sz="7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10</xdr:row>
          <xdr:rowOff>238125</xdr:rowOff>
        </xdr:from>
        <xdr:to>
          <xdr:col>7</xdr:col>
          <xdr:colOff>180975</xdr:colOff>
          <xdr:row>12</xdr:row>
          <xdr:rowOff>123825</xdr:rowOff>
        </xdr:to>
        <xdr:sp macro="" textlink="">
          <xdr:nvSpPr>
            <xdr:cNvPr id="1053" name="Spinner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273832</xdr:colOff>
      <xdr:row>9</xdr:row>
      <xdr:rowOff>209550</xdr:rowOff>
    </xdr:from>
    <xdr:to>
      <xdr:col>7</xdr:col>
      <xdr:colOff>381001</xdr:colOff>
      <xdr:row>10</xdr:row>
      <xdr:rowOff>228600</xdr:rowOff>
    </xdr:to>
    <xdr:sp macro="" textlink="CARGAS!$T$25">
      <xdr:nvSpPr>
        <xdr:cNvPr id="37" name="Retângulo: Cantos Arredondados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4998232" y="3181350"/>
          <a:ext cx="611994" cy="314325"/>
        </a:xfrm>
        <a:prstGeom prst="roundRect">
          <a:avLst>
            <a:gd name="adj" fmla="val 0"/>
          </a:avLst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9546D8B-0DBD-4247-B91E-8DEA10EF6B10}" type="TxLink">
            <a:rPr lang="en-US" sz="700" b="1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4
100%</a:t>
          </a:fld>
          <a:endParaRPr lang="pt-BR" sz="7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895350</xdr:colOff>
          <xdr:row>10</xdr:row>
          <xdr:rowOff>238125</xdr:rowOff>
        </xdr:from>
        <xdr:to>
          <xdr:col>7</xdr:col>
          <xdr:colOff>1143000</xdr:colOff>
          <xdr:row>12</xdr:row>
          <xdr:rowOff>123825</xdr:rowOff>
        </xdr:to>
        <xdr:sp macro="" textlink="">
          <xdr:nvSpPr>
            <xdr:cNvPr id="1054" name="Spinner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731032</xdr:colOff>
      <xdr:row>9</xdr:row>
      <xdr:rowOff>209550</xdr:rowOff>
    </xdr:from>
    <xdr:to>
      <xdr:col>7</xdr:col>
      <xdr:colOff>1343026</xdr:colOff>
      <xdr:row>10</xdr:row>
      <xdr:rowOff>228600</xdr:rowOff>
    </xdr:to>
    <xdr:sp macro="" textlink="CARGAS!$U$25">
      <xdr:nvSpPr>
        <xdr:cNvPr id="39" name="Retângulo: Cantos Arredondados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5960257" y="3181350"/>
          <a:ext cx="611994" cy="314325"/>
        </a:xfrm>
        <a:prstGeom prst="roundRect">
          <a:avLst>
            <a:gd name="adj" fmla="val 0"/>
          </a:avLst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5438D79-D36C-4C60-9111-2D890C8FDCEF}" type="TxLink">
            <a:rPr lang="en-US" sz="700" b="1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5
100%</a:t>
          </a:fld>
          <a:endParaRPr lang="pt-BR" sz="7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485775</xdr:colOff>
          <xdr:row>10</xdr:row>
          <xdr:rowOff>219075</xdr:rowOff>
        </xdr:from>
        <xdr:to>
          <xdr:col>9</xdr:col>
          <xdr:colOff>142875</xdr:colOff>
          <xdr:row>12</xdr:row>
          <xdr:rowOff>104775</xdr:rowOff>
        </xdr:to>
        <xdr:sp macro="" textlink="">
          <xdr:nvSpPr>
            <xdr:cNvPr id="1055" name="Spinner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321457</xdr:colOff>
      <xdr:row>9</xdr:row>
      <xdr:rowOff>190500</xdr:rowOff>
    </xdr:from>
    <xdr:to>
      <xdr:col>9</xdr:col>
      <xdr:colOff>342901</xdr:colOff>
      <xdr:row>10</xdr:row>
      <xdr:rowOff>209550</xdr:rowOff>
    </xdr:to>
    <xdr:sp macro="" textlink="CARGAS!$V$25">
      <xdr:nvSpPr>
        <xdr:cNvPr id="41" name="Retângulo: Cantos Arredondados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988957" y="3162300"/>
          <a:ext cx="611994" cy="314325"/>
        </a:xfrm>
        <a:prstGeom prst="roundRect">
          <a:avLst>
            <a:gd name="adj" fmla="val 0"/>
          </a:avLst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9B8B80E-9C2A-4547-82E3-6519C7DC53AD}" type="TxLink">
            <a:rPr lang="en-US" sz="700" b="1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6
70%</a:t>
          </a:fld>
          <a:endParaRPr lang="pt-BR" sz="7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323850</xdr:colOff>
          <xdr:row>10</xdr:row>
          <xdr:rowOff>209550</xdr:rowOff>
        </xdr:from>
        <xdr:to>
          <xdr:col>10</xdr:col>
          <xdr:colOff>571500</xdr:colOff>
          <xdr:row>12</xdr:row>
          <xdr:rowOff>95250</xdr:rowOff>
        </xdr:to>
        <xdr:sp macro="" textlink="">
          <xdr:nvSpPr>
            <xdr:cNvPr id="1056" name="Spinner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159532</xdr:colOff>
      <xdr:row>9</xdr:row>
      <xdr:rowOff>180975</xdr:rowOff>
    </xdr:from>
    <xdr:to>
      <xdr:col>10</xdr:col>
      <xdr:colOff>771526</xdr:colOff>
      <xdr:row>10</xdr:row>
      <xdr:rowOff>200025</xdr:rowOff>
    </xdr:to>
    <xdr:sp macro="" textlink="CARGAS!$W$25">
      <xdr:nvSpPr>
        <xdr:cNvPr id="43" name="Retângulo: Cantos Arredondados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7922407" y="3152775"/>
          <a:ext cx="611994" cy="314325"/>
        </a:xfrm>
        <a:prstGeom prst="roundRect">
          <a:avLst>
            <a:gd name="adj" fmla="val 0"/>
          </a:avLst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40A0529-9E94-4322-BEB0-0A56E8C59011}" type="TxLink">
            <a:rPr lang="en-US" sz="700" b="1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7
100%</a:t>
          </a:fld>
          <a:endParaRPr lang="pt-BR" sz="7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1304925</xdr:colOff>
          <xdr:row>10</xdr:row>
          <xdr:rowOff>228600</xdr:rowOff>
        </xdr:from>
        <xdr:to>
          <xdr:col>11</xdr:col>
          <xdr:colOff>38100</xdr:colOff>
          <xdr:row>12</xdr:row>
          <xdr:rowOff>114300</xdr:rowOff>
        </xdr:to>
        <xdr:sp macro="" textlink="">
          <xdr:nvSpPr>
            <xdr:cNvPr id="1057" name="Spinner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1140607</xdr:colOff>
      <xdr:row>9</xdr:row>
      <xdr:rowOff>200025</xdr:rowOff>
    </xdr:from>
    <xdr:to>
      <xdr:col>11</xdr:col>
      <xdr:colOff>238126</xdr:colOff>
      <xdr:row>10</xdr:row>
      <xdr:rowOff>219075</xdr:rowOff>
    </xdr:to>
    <xdr:sp macro="" textlink="CARGAS!X25">
      <xdr:nvSpPr>
        <xdr:cNvPr id="45" name="Retângulo: Cantos Arredondados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8903482" y="3171825"/>
          <a:ext cx="611994" cy="314325"/>
        </a:xfrm>
        <a:prstGeom prst="roundRect">
          <a:avLst>
            <a:gd name="adj" fmla="val 0"/>
          </a:avLst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BC2DECF-FF0D-4E79-9AB9-218C4BD7BC9E}" type="TxLink">
            <a:rPr lang="en-US" sz="700" b="1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8
100%</a:t>
          </a:fld>
          <a:endParaRPr lang="pt-BR" sz="7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409575</xdr:colOff>
          <xdr:row>3</xdr:row>
          <xdr:rowOff>9525</xdr:rowOff>
        </xdr:from>
        <xdr:to>
          <xdr:col>3</xdr:col>
          <xdr:colOff>171450</xdr:colOff>
          <xdr:row>3</xdr:row>
          <xdr:rowOff>352425</xdr:rowOff>
        </xdr:to>
        <xdr:sp macro="" textlink="">
          <xdr:nvSpPr>
            <xdr:cNvPr id="1059" name="Spinner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409575</xdr:colOff>
          <xdr:row>4</xdr:row>
          <xdr:rowOff>9525</xdr:rowOff>
        </xdr:from>
        <xdr:to>
          <xdr:col>3</xdr:col>
          <xdr:colOff>171450</xdr:colOff>
          <xdr:row>4</xdr:row>
          <xdr:rowOff>352425</xdr:rowOff>
        </xdr:to>
        <xdr:sp macro="" textlink="">
          <xdr:nvSpPr>
            <xdr:cNvPr id="1060" name="Spinner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12</xdr:col>
      <xdr:colOff>112755</xdr:colOff>
      <xdr:row>7</xdr:row>
      <xdr:rowOff>37367</xdr:rowOff>
    </xdr:from>
    <xdr:to>
      <xdr:col>19</xdr:col>
      <xdr:colOff>19049</xdr:colOff>
      <xdr:row>19</xdr:row>
      <xdr:rowOff>800100</xdr:rowOff>
    </xdr:to>
    <xdr:graphicFrame macro="">
      <xdr:nvGraphicFramePr>
        <xdr:cNvPr id="29" name="Graf_secao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19</xdr:row>
      <xdr:rowOff>438150</xdr:rowOff>
    </xdr:from>
    <xdr:to>
      <xdr:col>19</xdr:col>
      <xdr:colOff>89705</xdr:colOff>
      <xdr:row>19</xdr:row>
      <xdr:rowOff>676274</xdr:rowOff>
    </xdr:to>
    <xdr:sp macro="" textlink="tensões!M11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3515975" y="5791200"/>
          <a:ext cx="1308905" cy="23812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C486C76D-0A77-4245-A87A-3D61B49EB8A4}" type="TxLink">
            <a:rPr lang="el-GR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σ Aço [MPa] =270</a:t>
          </a:fld>
          <a:endParaRPr lang="pt-BR" sz="1100"/>
        </a:p>
      </xdr:txBody>
    </xdr:sp>
    <xdr:clientData/>
  </xdr:twoCellAnchor>
  <xdr:twoCellAnchor>
    <xdr:from>
      <xdr:col>0</xdr:col>
      <xdr:colOff>1</xdr:colOff>
      <xdr:row>19</xdr:row>
      <xdr:rowOff>809625</xdr:rowOff>
    </xdr:from>
    <xdr:to>
      <xdr:col>12</xdr:col>
      <xdr:colOff>76201</xdr:colOff>
      <xdr:row>23</xdr:row>
      <xdr:rowOff>219075</xdr:rowOff>
    </xdr:to>
    <xdr:graphicFrame macro="">
      <xdr:nvGraphicFramePr>
        <xdr:cNvPr id="49" name="Gráfico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904875</xdr:colOff>
      <xdr:row>7</xdr:row>
      <xdr:rowOff>95250</xdr:rowOff>
    </xdr:from>
    <xdr:to>
      <xdr:col>12</xdr:col>
      <xdr:colOff>47626</xdr:colOff>
      <xdr:row>8</xdr:row>
      <xdr:rowOff>85725</xdr:rowOff>
    </xdr:to>
    <xdr:sp macro="" textlink="infoatualizar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134100" y="2476500"/>
          <a:ext cx="3895726" cy="2857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CE4AED10-0F48-425D-B97F-E2B8FE78CE56}" type="TxLink">
            <a:rPr lang="en-US" sz="1400" b="1" i="0" u="none" strike="noStrike">
              <a:solidFill>
                <a:srgbClr val="FF0000"/>
              </a:solidFill>
              <a:latin typeface="Calibri"/>
              <a:cs typeface="Calibri"/>
            </a:rPr>
            <a:pPr algn="r"/>
            <a:t> </a:t>
          </a:fld>
          <a:endParaRPr lang="pt-BR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1504950</xdr:colOff>
      <xdr:row>3</xdr:row>
      <xdr:rowOff>85725</xdr:rowOff>
    </xdr:from>
    <xdr:to>
      <xdr:col>11</xdr:col>
      <xdr:colOff>657225</xdr:colOff>
      <xdr:row>3</xdr:row>
      <xdr:rowOff>323850</xdr:rowOff>
    </xdr:to>
    <xdr:sp macro="" textlink="CARGAS!A32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267825" y="1019175"/>
          <a:ext cx="666750" cy="2381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11EF06C-4B8D-4E45-82CD-703F9CB7AA46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35</a:t>
          </a:fld>
          <a:endParaRPr lang="pt-BR" sz="1100" b="1"/>
        </a:p>
      </xdr:txBody>
    </xdr:sp>
    <xdr:clientData/>
  </xdr:twoCellAnchor>
  <xdr:twoCellAnchor editAs="oneCell">
    <xdr:from>
      <xdr:col>12</xdr:col>
      <xdr:colOff>114300</xdr:colOff>
      <xdr:row>19</xdr:row>
      <xdr:rowOff>847724</xdr:rowOff>
    </xdr:from>
    <xdr:to>
      <xdr:col>18</xdr:col>
      <xdr:colOff>590550</xdr:colOff>
      <xdr:row>23</xdr:row>
      <xdr:rowOff>180975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96500" y="6200774"/>
          <a:ext cx="4619625" cy="3105151"/>
        </a:xfrm>
        <a:prstGeom prst="rect">
          <a:avLst/>
        </a:prstGeom>
        <a:ln w="76200">
          <a:solidFill>
            <a:schemeClr val="tx1"/>
          </a:solidFill>
        </a:ln>
      </xdr:spPr>
    </xdr:pic>
    <xdr:clientData/>
  </xdr:twoCellAnchor>
  <xdr:twoCellAnchor>
    <xdr:from>
      <xdr:col>13</xdr:col>
      <xdr:colOff>1066800</xdr:colOff>
      <xdr:row>22</xdr:row>
      <xdr:rowOff>666750</xdr:rowOff>
    </xdr:from>
    <xdr:to>
      <xdr:col>15</xdr:col>
      <xdr:colOff>95250</xdr:colOff>
      <xdr:row>22</xdr:row>
      <xdr:rowOff>838200</xdr:rowOff>
    </xdr:to>
    <xdr:sp macro="" textlink="CARGAS!H9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1572875" y="8848725"/>
          <a:ext cx="819150" cy="171450"/>
        </a:xfrm>
        <a:prstGeom prst="round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BB45E27-902F-42E9-945A-2EA8ACF11512}" type="TxLink">
            <a:rPr lang="en-US" sz="1100" b="1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24</a:t>
          </a:fld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219075</xdr:colOff>
      <xdr:row>21</xdr:row>
      <xdr:rowOff>466725</xdr:rowOff>
    </xdr:from>
    <xdr:to>
      <xdr:col>13</xdr:col>
      <xdr:colOff>390525</xdr:colOff>
      <xdr:row>22</xdr:row>
      <xdr:rowOff>342900</xdr:rowOff>
    </xdr:to>
    <xdr:sp macro="" textlink="CARGAS!H10">
      <xdr:nvSpPr>
        <xdr:cNvPr id="56" name="Retângulo: Cantos Arredondados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 rot="16200000">
          <a:off x="10401300" y="8029575"/>
          <a:ext cx="819150" cy="171450"/>
        </a:xfrm>
        <a:prstGeom prst="round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5484110-F7C1-41A6-B401-693E6FE7A0C6}" type="TxLink">
            <a:rPr lang="en-US" sz="1100" b="1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28</a:t>
          </a:fld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361950</xdr:colOff>
      <xdr:row>22</xdr:row>
      <xdr:rowOff>504825</xdr:rowOff>
    </xdr:from>
    <xdr:to>
      <xdr:col>17</xdr:col>
      <xdr:colOff>571500</xdr:colOff>
      <xdr:row>22</xdr:row>
      <xdr:rowOff>676275</xdr:rowOff>
    </xdr:to>
    <xdr:sp macro="" textlink="CARGAS!H8">
      <xdr:nvSpPr>
        <xdr:cNvPr id="57" name="Retângulo: Cantos Arredondados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3268325" y="8686800"/>
          <a:ext cx="819150" cy="171450"/>
        </a:xfrm>
        <a:prstGeom prst="roundRect">
          <a:avLst/>
        </a:prstGeom>
        <a:noFill/>
        <a:ln>
          <a:solidFill>
            <a:schemeClr val="tx1"/>
          </a:solidFill>
        </a:ln>
        <a:scene3d>
          <a:camera prst="orthographicFront">
            <a:rot lat="0" lon="0" rev="90000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6AD718A-FE32-48CB-95C0-409B17BC5F50}" type="TxLink">
            <a:rPr lang="en-US" sz="1100" b="1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41.25</a:t>
          </a:fld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419100</xdr:colOff>
          <xdr:row>2</xdr:row>
          <xdr:rowOff>9525</xdr:rowOff>
        </xdr:from>
        <xdr:to>
          <xdr:col>9</xdr:col>
          <xdr:colOff>190500</xdr:colOff>
          <xdr:row>3</xdr:row>
          <xdr:rowOff>0</xdr:rowOff>
        </xdr:to>
        <xdr:sp macro="" textlink="">
          <xdr:nvSpPr>
            <xdr:cNvPr id="1061" name="Spinner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419100</xdr:colOff>
          <xdr:row>3</xdr:row>
          <xdr:rowOff>0</xdr:rowOff>
        </xdr:from>
        <xdr:to>
          <xdr:col>9</xdr:col>
          <xdr:colOff>190500</xdr:colOff>
          <xdr:row>4</xdr:row>
          <xdr:rowOff>0</xdr:rowOff>
        </xdr:to>
        <xdr:sp macro="" textlink="">
          <xdr:nvSpPr>
            <xdr:cNvPr id="1062" name="Spinner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419100</xdr:colOff>
          <xdr:row>4</xdr:row>
          <xdr:rowOff>0</xdr:rowOff>
        </xdr:from>
        <xdr:to>
          <xdr:col>9</xdr:col>
          <xdr:colOff>190500</xdr:colOff>
          <xdr:row>5</xdr:row>
          <xdr:rowOff>0</xdr:rowOff>
        </xdr:to>
        <xdr:sp macro="" textlink="">
          <xdr:nvSpPr>
            <xdr:cNvPr id="1063" name="Spinner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9525</xdr:colOff>
      <xdr:row>2</xdr:row>
      <xdr:rowOff>9525</xdr:rowOff>
    </xdr:from>
    <xdr:to>
      <xdr:col>8</xdr:col>
      <xdr:colOff>428625</xdr:colOff>
      <xdr:row>3</xdr:row>
      <xdr:rowOff>9525</xdr:rowOff>
    </xdr:to>
    <xdr:sp macro="" textlink="$I$3">
      <xdr:nvSpPr>
        <xdr:cNvPr id="9" name="Retângul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677025" y="571500"/>
          <a:ext cx="419100" cy="371475"/>
        </a:xfrm>
        <a:prstGeom prst="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3C1FF6D-7DC6-44C8-9700-9ED80828F1D5}" type="TxLink">
            <a:rPr lang="en-US" sz="11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40</a:t>
          </a:fld>
          <a:endParaRPr lang="pt-BR" sz="1100"/>
        </a:p>
      </xdr:txBody>
    </xdr:sp>
    <xdr:clientData/>
  </xdr:twoCellAnchor>
  <xdr:twoCellAnchor>
    <xdr:from>
      <xdr:col>8</xdr:col>
      <xdr:colOff>9525</xdr:colOff>
      <xdr:row>2</xdr:row>
      <xdr:rowOff>361950</xdr:rowOff>
    </xdr:from>
    <xdr:to>
      <xdr:col>8</xdr:col>
      <xdr:colOff>428625</xdr:colOff>
      <xdr:row>4</xdr:row>
      <xdr:rowOff>0</xdr:rowOff>
    </xdr:to>
    <xdr:sp macro="" textlink="$I$4">
      <xdr:nvSpPr>
        <xdr:cNvPr id="48" name="Retângulo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6677025" y="923925"/>
          <a:ext cx="419100" cy="371475"/>
        </a:xfrm>
        <a:prstGeom prst="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75E13F7-3707-4953-9CF7-63A44330C4BF}" type="TxLink">
            <a:rPr lang="en-US" sz="11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38</a:t>
          </a:fld>
          <a:endParaRPr lang="pt-BR" sz="1100"/>
        </a:p>
      </xdr:txBody>
    </xdr:sp>
    <xdr:clientData/>
  </xdr:twoCellAnchor>
  <xdr:twoCellAnchor>
    <xdr:from>
      <xdr:col>8</xdr:col>
      <xdr:colOff>9525</xdr:colOff>
      <xdr:row>3</xdr:row>
      <xdr:rowOff>352425</xdr:rowOff>
    </xdr:from>
    <xdr:to>
      <xdr:col>8</xdr:col>
      <xdr:colOff>428625</xdr:colOff>
      <xdr:row>5</xdr:row>
      <xdr:rowOff>0</xdr:rowOff>
    </xdr:to>
    <xdr:sp macro="" textlink="$I$5">
      <xdr:nvSpPr>
        <xdr:cNvPr id="50" name="Retângulo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677025" y="1285875"/>
          <a:ext cx="419100" cy="371475"/>
        </a:xfrm>
        <a:prstGeom prst="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6F2545B-90C1-452F-B935-4AA84A37C432}" type="TxLink">
            <a:rPr lang="en-US" sz="11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48</a:t>
          </a:fld>
          <a:endParaRPr lang="pt-BR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2</xdr:col>
      <xdr:colOff>419100</xdr:colOff>
      <xdr:row>4</xdr:row>
      <xdr:rowOff>9525</xdr:rowOff>
    </xdr:to>
    <xdr:sp macro="" textlink="$C$4">
      <xdr:nvSpPr>
        <xdr:cNvPr id="51" name="Retângulo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1457325" y="933450"/>
          <a:ext cx="419100" cy="371475"/>
        </a:xfrm>
        <a:prstGeom prst="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50CBB44-8E7D-4EC4-9FC6-5A9669A550DE}" type="TxLink">
            <a:rPr lang="en-US" sz="11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30</a:t>
          </a:fld>
          <a:endParaRPr lang="pt-BR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2</xdr:col>
      <xdr:colOff>419100</xdr:colOff>
      <xdr:row>5</xdr:row>
      <xdr:rowOff>9525</xdr:rowOff>
    </xdr:to>
    <xdr:sp macro="" textlink="$C$5">
      <xdr:nvSpPr>
        <xdr:cNvPr id="52" name="Retângulo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1457325" y="1295400"/>
          <a:ext cx="419100" cy="371475"/>
        </a:xfrm>
        <a:prstGeom prst="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53AEA4E-6180-42E7-93C8-5F6E1B927AF2}" type="TxLink">
            <a:rPr lang="en-US" sz="11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35</a:t>
          </a:fld>
          <a:endParaRPr lang="pt-BR" sz="1100"/>
        </a:p>
      </xdr:txBody>
    </xdr:sp>
    <xdr:clientData/>
  </xdr:twoCellAnchor>
  <xdr:twoCellAnchor>
    <xdr:from>
      <xdr:col>15</xdr:col>
      <xdr:colOff>266700</xdr:colOff>
      <xdr:row>0</xdr:row>
      <xdr:rowOff>114300</xdr:rowOff>
    </xdr:from>
    <xdr:to>
      <xdr:col>18</xdr:col>
      <xdr:colOff>523875</xdr:colOff>
      <xdr:row>1</xdr:row>
      <xdr:rowOff>200025</xdr:rowOff>
    </xdr:to>
    <xdr:sp macro="" textlink="">
      <xdr:nvSpPr>
        <xdr:cNvPr id="13" name="Retângulo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2563475" y="114300"/>
          <a:ext cx="2085975" cy="361950"/>
        </a:xfrm>
        <a:prstGeom prst="rect">
          <a:avLst/>
        </a:prstGeom>
        <a:solidFill>
          <a:schemeClr val="bg1">
            <a:lumMod val="9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Ir para artigo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40822</xdr:colOff>
      <xdr:row>20</xdr:row>
      <xdr:rowOff>5442</xdr:rowOff>
    </xdr:from>
    <xdr:to>
      <xdr:col>28</xdr:col>
      <xdr:colOff>0</xdr:colOff>
      <xdr:row>34</xdr:row>
      <xdr:rowOff>136072</xdr:rowOff>
    </xdr:to>
    <xdr:graphicFrame macro="">
      <xdr:nvGraphicFramePr>
        <xdr:cNvPr id="3" name="graf_mom_fcort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215b02b5d226853/UFSC/8&#176;%20Semestre/Estrutural%201/ATUALIZADO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dos"/>
      <sheetName val="Estimativa de Pesos"/>
      <sheetName val="Sem Onda"/>
      <sheetName val="Alquebramento"/>
      <sheetName val="Tosamento"/>
      <sheetName val="Comparação Momentos"/>
      <sheetName val="SM Requerido"/>
      <sheetName val="Secção Mestra"/>
      <sheetName val="Cálculo SM Reforçadores1"/>
      <sheetName val="Chapas Navais Fornecedor"/>
      <sheetName val="Cálculos na Secção Mestra"/>
      <sheetName val="Comparação de Aço"/>
      <sheetName val="Círculo de Mohr e Von Mises"/>
    </sheetNames>
    <sheetDataSet>
      <sheetData sheetId="0">
        <row r="5">
          <cell r="B5">
            <v>23.74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1:S59"/>
  <sheetViews>
    <sheetView showGridLines="0" tabSelected="1" zoomScaleNormal="100" workbookViewId="0">
      <selection activeCell="U8" sqref="U8"/>
    </sheetView>
  </sheetViews>
  <sheetFormatPr defaultRowHeight="14.25" x14ac:dyDescent="0.25"/>
  <cols>
    <col min="1" max="1" width="3.28515625" style="76" customWidth="1"/>
    <col min="2" max="2" width="18.5703125" style="77" customWidth="1"/>
    <col min="3" max="3" width="9" style="77" customWidth="1"/>
    <col min="4" max="4" width="7.28515625" style="77" customWidth="1"/>
    <col min="5" max="5" width="22.5703125" style="77" customWidth="1"/>
    <col min="6" max="6" width="10.140625" style="77" customWidth="1"/>
    <col min="7" max="7" width="7.5703125" style="76" customWidth="1"/>
    <col min="8" max="8" width="21.5703125" style="76" customWidth="1"/>
    <col min="9" max="9" width="8.85546875" style="76" customWidth="1"/>
    <col min="10" max="10" width="7.5703125" style="76" customWidth="1"/>
    <col min="11" max="11" width="22.7109375" style="76" customWidth="1"/>
    <col min="12" max="12" width="10.5703125" style="76" customWidth="1"/>
    <col min="13" max="13" width="7.85546875" style="76" customWidth="1"/>
    <col min="14" max="14" width="17.7109375" style="76" customWidth="1"/>
    <col min="15" max="16384" width="9.140625" style="76"/>
  </cols>
  <sheetData>
    <row r="1" spans="1:19" ht="21.75" customHeight="1" x14ac:dyDescent="0.25">
      <c r="A1" s="53"/>
      <c r="B1" s="84" t="s">
        <v>68</v>
      </c>
      <c r="C1" s="85"/>
      <c r="D1" s="85"/>
      <c r="E1" s="85"/>
      <c r="F1" s="85"/>
      <c r="G1" s="86"/>
      <c r="H1" s="90" t="s">
        <v>133</v>
      </c>
      <c r="I1" s="85"/>
      <c r="J1" s="85"/>
      <c r="K1" s="85"/>
      <c r="L1" s="85"/>
      <c r="M1" s="85"/>
      <c r="N1" s="85"/>
      <c r="O1" s="85"/>
      <c r="P1" s="85"/>
      <c r="Q1" s="91"/>
      <c r="R1" s="49"/>
      <c r="S1" s="49"/>
    </row>
    <row r="2" spans="1:19" ht="22.5" customHeight="1" x14ac:dyDescent="0.25">
      <c r="A2" s="53"/>
      <c r="B2" s="87"/>
      <c r="C2" s="88"/>
      <c r="D2" s="88"/>
      <c r="E2" s="88"/>
      <c r="F2" s="88"/>
      <c r="G2" s="89"/>
      <c r="H2" s="92"/>
      <c r="I2" s="88"/>
      <c r="J2" s="88"/>
      <c r="K2" s="88"/>
      <c r="L2" s="88"/>
      <c r="M2" s="88"/>
      <c r="N2" s="93"/>
      <c r="O2" s="93"/>
      <c r="P2" s="93"/>
      <c r="Q2" s="94"/>
      <c r="R2" s="49"/>
      <c r="S2" s="49"/>
    </row>
    <row r="3" spans="1:19" ht="29.25" customHeight="1" thickBot="1" x14ac:dyDescent="0.3">
      <c r="A3" s="53"/>
      <c r="B3" s="61" t="s">
        <v>8</v>
      </c>
      <c r="C3" s="64">
        <v>350</v>
      </c>
      <c r="D3" s="42" t="s">
        <v>0</v>
      </c>
      <c r="E3" s="54" t="s">
        <v>9</v>
      </c>
      <c r="F3" s="65">
        <f>CARGAS!L6</f>
        <v>46304.999999999993</v>
      </c>
      <c r="G3" s="59" t="s">
        <v>30</v>
      </c>
      <c r="H3" s="56" t="s">
        <v>128</v>
      </c>
      <c r="I3" s="81">
        <v>40</v>
      </c>
      <c r="J3" s="68" t="s">
        <v>94</v>
      </c>
      <c r="K3" s="95" t="s">
        <v>143</v>
      </c>
      <c r="L3" s="96"/>
      <c r="M3" s="97"/>
      <c r="N3" s="63" t="s">
        <v>122</v>
      </c>
      <c r="O3" s="100" t="s">
        <v>152</v>
      </c>
      <c r="P3" s="101"/>
      <c r="Q3" s="102"/>
      <c r="R3" s="53"/>
      <c r="S3" s="53"/>
    </row>
    <row r="4" spans="1:19" ht="28.5" customHeight="1" x14ac:dyDescent="0.25">
      <c r="A4" s="53"/>
      <c r="B4" s="61" t="s">
        <v>55</v>
      </c>
      <c r="C4" s="51">
        <f>CARGAS!L15</f>
        <v>30</v>
      </c>
      <c r="D4" s="42" t="s">
        <v>0</v>
      </c>
      <c r="E4" s="54" t="s">
        <v>11</v>
      </c>
      <c r="F4" s="65">
        <f>CARGAS!L7</f>
        <v>15434.999999999998</v>
      </c>
      <c r="G4" s="59" t="s">
        <v>30</v>
      </c>
      <c r="H4" s="56" t="s">
        <v>129</v>
      </c>
      <c r="I4" s="81">
        <v>38</v>
      </c>
      <c r="J4" s="68" t="s">
        <v>94</v>
      </c>
      <c r="K4" s="44"/>
      <c r="L4" s="44"/>
      <c r="M4" s="44"/>
      <c r="N4" s="54" t="s">
        <v>58</v>
      </c>
      <c r="O4" s="43"/>
      <c r="P4" s="43"/>
      <c r="Q4" s="46"/>
      <c r="R4" s="70" t="str">
        <f>VLOOKUP(CARGAS!Q1,CARGAS!R4:T8,3,FALSE)&amp;" t/m²"</f>
        <v>0.85 t/m²</v>
      </c>
      <c r="S4" s="70"/>
    </row>
    <row r="5" spans="1:19" ht="28.5" customHeight="1" x14ac:dyDescent="0.25">
      <c r="A5" s="53"/>
      <c r="B5" s="61" t="s">
        <v>56</v>
      </c>
      <c r="C5" s="51">
        <f>CARGAS!L18</f>
        <v>35</v>
      </c>
      <c r="D5" s="42" t="s">
        <v>0</v>
      </c>
      <c r="E5" s="54" t="s">
        <v>64</v>
      </c>
      <c r="F5" s="65">
        <f>CARGAS!L8</f>
        <v>7717.4999999999991</v>
      </c>
      <c r="G5" s="59" t="s">
        <v>30</v>
      </c>
      <c r="H5" s="56" t="s">
        <v>130</v>
      </c>
      <c r="I5" s="81">
        <v>48</v>
      </c>
      <c r="J5" s="68" t="s">
        <v>94</v>
      </c>
      <c r="K5" s="43"/>
      <c r="L5" s="43"/>
      <c r="M5" s="43"/>
      <c r="N5" s="54" t="s">
        <v>126</v>
      </c>
      <c r="O5" s="48"/>
      <c r="P5" s="48"/>
      <c r="Q5" s="50"/>
      <c r="R5" s="53"/>
      <c r="S5" s="53"/>
    </row>
    <row r="6" spans="1:19" ht="28.5" customHeight="1" x14ac:dyDescent="0.25">
      <c r="A6" s="53"/>
      <c r="B6" s="61" t="s">
        <v>66</v>
      </c>
      <c r="C6" s="65">
        <f>Equilibrio!Z8</f>
        <v>19.826077959174544</v>
      </c>
      <c r="D6" s="42" t="s">
        <v>0</v>
      </c>
      <c r="E6" s="54" t="s">
        <v>131</v>
      </c>
      <c r="F6" s="65">
        <f>CARGAS!L9</f>
        <v>7717.4999999999991</v>
      </c>
      <c r="G6" s="59" t="s">
        <v>30</v>
      </c>
      <c r="H6" s="57" t="s">
        <v>49</v>
      </c>
      <c r="I6" s="65">
        <v>25</v>
      </c>
      <c r="J6" s="68" t="s">
        <v>0</v>
      </c>
      <c r="K6" s="43"/>
      <c r="L6" s="43"/>
      <c r="M6" s="46"/>
      <c r="N6" s="53"/>
      <c r="O6" s="53"/>
      <c r="P6" s="53"/>
      <c r="Q6" s="53"/>
      <c r="R6" s="53"/>
      <c r="S6" s="53"/>
    </row>
    <row r="7" spans="1:19" ht="28.5" customHeight="1" thickBot="1" x14ac:dyDescent="0.3">
      <c r="A7" s="53"/>
      <c r="B7" s="62" t="s">
        <v>67</v>
      </c>
      <c r="C7" s="66">
        <f>Equilibrio!Y12</f>
        <v>213418.29989999995</v>
      </c>
      <c r="D7" s="4" t="s">
        <v>54</v>
      </c>
      <c r="E7" s="55" t="s">
        <v>132</v>
      </c>
      <c r="F7" s="67">
        <f>CARGAS!L10</f>
        <v>188496</v>
      </c>
      <c r="G7" s="60" t="s">
        <v>30</v>
      </c>
      <c r="H7" s="58" t="s">
        <v>142</v>
      </c>
      <c r="I7" s="67">
        <v>20</v>
      </c>
      <c r="J7" s="69" t="s">
        <v>0</v>
      </c>
      <c r="K7" s="55" t="s">
        <v>127</v>
      </c>
      <c r="L7" s="45"/>
      <c r="M7" s="47"/>
      <c r="N7" s="53"/>
      <c r="O7" s="53"/>
      <c r="P7" s="53"/>
      <c r="Q7" s="53"/>
      <c r="R7" s="53"/>
      <c r="S7" s="53"/>
    </row>
    <row r="8" spans="1:19" ht="23.25" customHeight="1" x14ac:dyDescent="0.25">
      <c r="A8" s="1"/>
      <c r="B8" s="2"/>
      <c r="C8" s="2"/>
      <c r="D8" s="2"/>
      <c r="E8" s="2"/>
      <c r="F8" s="2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23.25" customHeight="1" x14ac:dyDescent="0.25">
      <c r="A9" s="1"/>
      <c r="B9" s="2"/>
      <c r="C9" s="2"/>
      <c r="D9" s="2"/>
      <c r="E9" s="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23.25" customHeight="1" x14ac:dyDescent="0.25">
      <c r="A10" s="1"/>
      <c r="B10" s="2"/>
      <c r="C10" s="2"/>
      <c r="D10" s="2"/>
      <c r="E10" s="2"/>
      <c r="F10" s="2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23.25" customHeight="1" x14ac:dyDescent="0.25">
      <c r="A11" s="1"/>
      <c r="B11" s="2"/>
      <c r="C11" s="2"/>
      <c r="D11" s="2"/>
      <c r="E11" s="2"/>
      <c r="F11" s="2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ht="23.25" customHeight="1" x14ac:dyDescent="0.25">
      <c r="A12" s="1"/>
      <c r="B12" s="2"/>
      <c r="C12" s="2"/>
      <c r="D12" s="2"/>
      <c r="E12" s="2"/>
      <c r="F12" s="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3.25" customHeight="1" x14ac:dyDescent="0.25">
      <c r="A13" s="1"/>
      <c r="B13" s="2"/>
      <c r="C13" s="2"/>
      <c r="D13" s="2"/>
      <c r="E13" s="2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23.25" customHeight="1" x14ac:dyDescent="0.25">
      <c r="A14" s="1"/>
      <c r="B14" s="2"/>
      <c r="C14" s="2"/>
      <c r="D14" s="2"/>
      <c r="E14" s="2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2"/>
      <c r="C15" s="2"/>
      <c r="D15" s="2"/>
      <c r="E15" s="2"/>
      <c r="F15" s="1"/>
      <c r="G15" s="1"/>
      <c r="H15" s="1"/>
      <c r="I15" s="1"/>
      <c r="J15" s="1"/>
      <c r="K15" s="1"/>
      <c r="L15" s="1">
        <v>30</v>
      </c>
      <c r="M15" s="1"/>
      <c r="N15" s="1"/>
      <c r="O15" s="1"/>
      <c r="P15" s="1"/>
      <c r="Q15" s="1"/>
      <c r="R15" s="1"/>
      <c r="S15" s="1"/>
    </row>
    <row r="16" spans="1:19" x14ac:dyDescent="0.25">
      <c r="A16" s="1"/>
      <c r="B16" s="2"/>
      <c r="C16" s="2"/>
      <c r="D16" s="2"/>
      <c r="E16" s="2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"/>
      <c r="B17" s="2"/>
      <c r="C17" s="2"/>
      <c r="D17" s="2"/>
      <c r="E17" s="2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x14ac:dyDescent="0.2">
      <c r="A18" s="1"/>
      <c r="B18" s="2"/>
      <c r="C18" s="2"/>
      <c r="D18" s="2"/>
      <c r="E18" s="2"/>
      <c r="F18" s="2"/>
      <c r="G18" s="2"/>
      <c r="H18" s="3"/>
      <c r="I18" s="1"/>
      <c r="J18" s="1"/>
      <c r="K18" s="1"/>
      <c r="L18" s="1">
        <v>20</v>
      </c>
      <c r="M18" s="1"/>
      <c r="N18" s="1"/>
      <c r="O18" s="1"/>
      <c r="P18" s="1"/>
      <c r="Q18" s="1"/>
      <c r="R18" s="1"/>
      <c r="S18" s="1"/>
    </row>
    <row r="19" spans="1:19" x14ac:dyDescent="0.2">
      <c r="A19" s="1"/>
      <c r="B19" s="2"/>
      <c r="C19" s="2"/>
      <c r="D19" s="2"/>
      <c r="E19" s="2"/>
      <c r="F19" s="2"/>
      <c r="G19" s="1"/>
      <c r="H19" s="3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ht="74.25" customHeight="1" x14ac:dyDescent="0.25">
      <c r="A20" s="1"/>
      <c r="B20" s="2"/>
      <c r="C20" s="2"/>
      <c r="D20" s="2"/>
      <c r="E20" s="2"/>
      <c r="F20" s="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74.25" customHeight="1" x14ac:dyDescent="0.2">
      <c r="A21" s="1"/>
      <c r="B21" s="3"/>
      <c r="C21" s="3"/>
      <c r="D21" s="3"/>
      <c r="E21" s="3"/>
      <c r="F21" s="3"/>
      <c r="G21" s="3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1:19" ht="74.25" customHeight="1" x14ac:dyDescent="0.2">
      <c r="B22" s="75"/>
      <c r="C22" s="75"/>
      <c r="D22" s="75"/>
      <c r="E22" s="75"/>
      <c r="F22" s="75"/>
      <c r="G22" s="75"/>
    </row>
    <row r="23" spans="1:19" ht="74.25" customHeight="1" x14ac:dyDescent="0.2">
      <c r="B23" s="75"/>
      <c r="C23" s="75"/>
      <c r="D23" s="75"/>
      <c r="E23" s="75"/>
      <c r="F23" s="75"/>
      <c r="G23" s="75"/>
    </row>
    <row r="24" spans="1:19" ht="74.25" customHeight="1" x14ac:dyDescent="0.2">
      <c r="B24" s="75"/>
      <c r="C24" s="75"/>
      <c r="D24" s="75"/>
      <c r="E24" s="75"/>
      <c r="F24" s="75"/>
      <c r="G24" s="75"/>
    </row>
    <row r="25" spans="1:19" ht="15" x14ac:dyDescent="0.25">
      <c r="B25" s="99"/>
      <c r="C25" s="99"/>
      <c r="D25" s="99"/>
    </row>
    <row r="26" spans="1:19" ht="15" x14ac:dyDescent="0.25">
      <c r="B26" s="78"/>
      <c r="C26" s="79"/>
      <c r="D26" s="78"/>
    </row>
    <row r="32" spans="1:19" x14ac:dyDescent="0.25">
      <c r="E32" s="80"/>
    </row>
    <row r="33" spans="2:5" ht="14.25" customHeight="1" x14ac:dyDescent="0.25">
      <c r="E33" s="80" t="s">
        <v>44</v>
      </c>
    </row>
    <row r="34" spans="2:5" x14ac:dyDescent="0.25">
      <c r="B34" s="98"/>
      <c r="C34" s="98"/>
      <c r="E34" s="80"/>
    </row>
    <row r="35" spans="2:5" x14ac:dyDescent="0.25">
      <c r="E35" s="80"/>
    </row>
    <row r="36" spans="2:5" x14ac:dyDescent="0.25">
      <c r="E36" s="80"/>
    </row>
    <row r="37" spans="2:5" x14ac:dyDescent="0.25">
      <c r="D37" s="77">
        <v>1.4272264251847924E+33</v>
      </c>
    </row>
    <row r="43" spans="2:5" x14ac:dyDescent="0.25">
      <c r="B43" s="98"/>
      <c r="C43" s="98"/>
    </row>
    <row r="50" spans="4:4" x14ac:dyDescent="0.25">
      <c r="D50" s="77">
        <v>1.4272264251847924E+33</v>
      </c>
    </row>
    <row r="57" spans="4:4" ht="14.45" customHeight="1" x14ac:dyDescent="0.25"/>
    <row r="58" spans="4:4" ht="14.45" customHeight="1" x14ac:dyDescent="0.25"/>
    <row r="59" spans="4:4" ht="14.45" customHeight="1" x14ac:dyDescent="0.25"/>
  </sheetData>
  <sheetProtection algorithmName="SHA-512" hashValue="18iGAi1zzl6W+xg9oc4ysWGHMVlCMHjEL6JTEB4uqpkjkB0eJuhXVOTbPFOIjbaPTl8BnBfHN3cWVzjK4dM12g==" saltValue="WdpaGceV6+nx4riQaMXPzg==" spinCount="100000" sheet="1" objects="1" scenarios="1" selectLockedCells="1" selectUnlockedCells="1"/>
  <mergeCells count="7">
    <mergeCell ref="B1:G2"/>
    <mergeCell ref="H1:Q2"/>
    <mergeCell ref="K3:M3"/>
    <mergeCell ref="B34:C34"/>
    <mergeCell ref="B43:C43"/>
    <mergeCell ref="B25:D25"/>
    <mergeCell ref="O3:Q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Drop Down 6">
              <controlPr defaultSize="0" autoLine="0" autoPict="0">
                <anchor moveWithCells="1">
                  <from>
                    <xdr:col>13</xdr:col>
                    <xdr:colOff>1171575</xdr:colOff>
                    <xdr:row>4</xdr:row>
                    <xdr:rowOff>0</xdr:rowOff>
                  </from>
                  <to>
                    <xdr:col>17</xdr:col>
                    <xdr:colOff>9525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ITERAÇOES">
                <anchor moveWithCells="1" sizeWithCells="1">
                  <from>
                    <xdr:col>13</xdr:col>
                    <xdr:colOff>685800</xdr:colOff>
                    <xdr:row>5</xdr:row>
                    <xdr:rowOff>190500</xdr:rowOff>
                  </from>
                  <to>
                    <xdr:col>17</xdr:col>
                    <xdr:colOff>190500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Drop Down 13">
              <controlPr defaultSize="0" autoLine="0" autoPict="0">
                <anchor moveWithCells="1">
                  <from>
                    <xdr:col>13</xdr:col>
                    <xdr:colOff>1171575</xdr:colOff>
                    <xdr:row>3</xdr:row>
                    <xdr:rowOff>9525</xdr:rowOff>
                  </from>
                  <to>
                    <xdr:col>17</xdr:col>
                    <xdr:colOff>0</xdr:colOff>
                    <xdr:row>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Spinner 14">
              <controlPr defaultSize="0" autoPict="0">
                <anchor moveWithCells="1" sizeWithCells="1">
                  <from>
                    <xdr:col>3</xdr:col>
                    <xdr:colOff>152400</xdr:colOff>
                    <xdr:row>10</xdr:row>
                    <xdr:rowOff>219075</xdr:rowOff>
                  </from>
                  <to>
                    <xdr:col>3</xdr:col>
                    <xdr:colOff>400050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Drop Down 22">
              <controlPr defaultSize="0" autoLine="0" autoPict="0">
                <anchor moveWithCells="1">
                  <from>
                    <xdr:col>10</xdr:col>
                    <xdr:colOff>1514475</xdr:colOff>
                    <xdr:row>6</xdr:row>
                    <xdr:rowOff>28575</xdr:rowOff>
                  </from>
                  <to>
                    <xdr:col>12</xdr:col>
                    <xdr:colOff>523875</xdr:colOff>
                    <xdr:row>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Spinner 24">
              <controlPr defaultSize="0" autoPict="0">
                <anchor moveWithCells="1" sizeWithCells="1">
                  <from>
                    <xdr:col>11</xdr:col>
                    <xdr:colOff>676275</xdr:colOff>
                    <xdr:row>3</xdr:row>
                    <xdr:rowOff>47625</xdr:rowOff>
                  </from>
                  <to>
                    <xdr:col>12</xdr:col>
                    <xdr:colOff>466725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0" name="Spinner 27">
              <controlPr defaultSize="0" autoPict="0">
                <anchor moveWithCells="1" sizeWithCells="1">
                  <from>
                    <xdr:col>4</xdr:col>
                    <xdr:colOff>647700</xdr:colOff>
                    <xdr:row>10</xdr:row>
                    <xdr:rowOff>228600</xdr:rowOff>
                  </from>
                  <to>
                    <xdr:col>4</xdr:col>
                    <xdr:colOff>895350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1" name="Spinner 28">
              <controlPr defaultSize="0" autoPict="0">
                <anchor moveWithCells="1" sizeWithCells="1">
                  <from>
                    <xdr:col>5</xdr:col>
                    <xdr:colOff>161925</xdr:colOff>
                    <xdr:row>10</xdr:row>
                    <xdr:rowOff>238125</xdr:rowOff>
                  </from>
                  <to>
                    <xdr:col>5</xdr:col>
                    <xdr:colOff>409575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2" name="Spinner 29">
              <controlPr defaultSize="0" autoPict="0">
                <anchor moveWithCells="1" sizeWithCells="1">
                  <from>
                    <xdr:col>6</xdr:col>
                    <xdr:colOff>438150</xdr:colOff>
                    <xdr:row>10</xdr:row>
                    <xdr:rowOff>238125</xdr:rowOff>
                  </from>
                  <to>
                    <xdr:col>7</xdr:col>
                    <xdr:colOff>180975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3" name="Spinner 30">
              <controlPr defaultSize="0" autoPict="0">
                <anchor moveWithCells="1" sizeWithCells="1">
                  <from>
                    <xdr:col>7</xdr:col>
                    <xdr:colOff>895350</xdr:colOff>
                    <xdr:row>10</xdr:row>
                    <xdr:rowOff>238125</xdr:rowOff>
                  </from>
                  <to>
                    <xdr:col>7</xdr:col>
                    <xdr:colOff>1143000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4" name="Spinner 31">
              <controlPr defaultSize="0" autoPict="0">
                <anchor moveWithCells="1" sizeWithCells="1">
                  <from>
                    <xdr:col>8</xdr:col>
                    <xdr:colOff>485775</xdr:colOff>
                    <xdr:row>10</xdr:row>
                    <xdr:rowOff>219075</xdr:rowOff>
                  </from>
                  <to>
                    <xdr:col>9</xdr:col>
                    <xdr:colOff>142875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5" name="Spinner 32">
              <controlPr defaultSize="0" autoPict="0">
                <anchor moveWithCells="1" sizeWithCells="1">
                  <from>
                    <xdr:col>10</xdr:col>
                    <xdr:colOff>323850</xdr:colOff>
                    <xdr:row>10</xdr:row>
                    <xdr:rowOff>209550</xdr:rowOff>
                  </from>
                  <to>
                    <xdr:col>10</xdr:col>
                    <xdr:colOff>571500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6" name="Spinner 33">
              <controlPr defaultSize="0" autoPict="0">
                <anchor moveWithCells="1" sizeWithCells="1">
                  <from>
                    <xdr:col>10</xdr:col>
                    <xdr:colOff>1304925</xdr:colOff>
                    <xdr:row>10</xdr:row>
                    <xdr:rowOff>228600</xdr:rowOff>
                  </from>
                  <to>
                    <xdr:col>11</xdr:col>
                    <xdr:colOff>38100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7" name="Spinner 35">
              <controlPr defaultSize="0" autoPict="0">
                <anchor moveWithCells="1" sizeWithCells="1">
                  <from>
                    <xdr:col>2</xdr:col>
                    <xdr:colOff>409575</xdr:colOff>
                    <xdr:row>3</xdr:row>
                    <xdr:rowOff>9525</xdr:rowOff>
                  </from>
                  <to>
                    <xdr:col>3</xdr:col>
                    <xdr:colOff>171450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8" name="Spinner 36">
              <controlPr defaultSize="0" autoPict="0">
                <anchor moveWithCells="1" sizeWithCells="1">
                  <from>
                    <xdr:col>2</xdr:col>
                    <xdr:colOff>409575</xdr:colOff>
                    <xdr:row>4</xdr:row>
                    <xdr:rowOff>9525</xdr:rowOff>
                  </from>
                  <to>
                    <xdr:col>3</xdr:col>
                    <xdr:colOff>171450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9" name="Spinner 37">
              <controlPr defaultSize="0" autoPict="0">
                <anchor moveWithCells="1" sizeWithCells="1">
                  <from>
                    <xdr:col>8</xdr:col>
                    <xdr:colOff>419100</xdr:colOff>
                    <xdr:row>2</xdr:row>
                    <xdr:rowOff>9525</xdr:rowOff>
                  </from>
                  <to>
                    <xdr:col>9</xdr:col>
                    <xdr:colOff>190500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0" name="Spinner 38">
              <controlPr defaultSize="0" autoPict="0">
                <anchor moveWithCells="1" sizeWithCells="1">
                  <from>
                    <xdr:col>8</xdr:col>
                    <xdr:colOff>419100</xdr:colOff>
                    <xdr:row>3</xdr:row>
                    <xdr:rowOff>0</xdr:rowOff>
                  </from>
                  <to>
                    <xdr:col>9</xdr:col>
                    <xdr:colOff>190500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1" name="Spinner 39">
              <controlPr defaultSize="0" autoPict="0">
                <anchor moveWithCells="1" sizeWithCells="1">
                  <from>
                    <xdr:col>8</xdr:col>
                    <xdr:colOff>419100</xdr:colOff>
                    <xdr:row>4</xdr:row>
                    <xdr:rowOff>0</xdr:rowOff>
                  </from>
                  <to>
                    <xdr:col>9</xdr:col>
                    <xdr:colOff>190500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AK70"/>
  <sheetViews>
    <sheetView topLeftCell="A10" zoomScale="80" zoomScaleNormal="80" workbookViewId="0">
      <selection activeCell="A32" activeCellId="2" sqref="D37 D50 A32"/>
    </sheetView>
  </sheetViews>
  <sheetFormatPr defaultRowHeight="15" x14ac:dyDescent="0.25"/>
  <cols>
    <col min="1" max="1" width="9.140625" style="5"/>
    <col min="2" max="2" width="7.7109375" style="5" bestFit="1" customWidth="1"/>
    <col min="3" max="4" width="12.7109375" style="5" bestFit="1" customWidth="1"/>
    <col min="5" max="5" width="9.5703125" style="5" customWidth="1"/>
    <col min="6" max="6" width="28.5703125" style="5" customWidth="1"/>
    <col min="7" max="7" width="18.140625" style="5" bestFit="1" customWidth="1"/>
    <col min="8" max="8" width="12.7109375" style="5" bestFit="1" customWidth="1"/>
    <col min="9" max="9" width="9.42578125" style="5" bestFit="1" customWidth="1"/>
    <col min="10" max="10" width="9.140625" style="5"/>
    <col min="11" max="11" width="20.85546875" style="5" customWidth="1"/>
    <col min="12" max="13" width="9.140625" style="5"/>
    <col min="14" max="14" width="22.5703125" style="5" customWidth="1"/>
    <col min="15" max="16384" width="9.140625" style="5"/>
  </cols>
  <sheetData>
    <row r="1" spans="2:25" x14ac:dyDescent="0.25">
      <c r="C1" s="5" t="s">
        <v>90</v>
      </c>
      <c r="D1" s="5">
        <f>loa</f>
        <v>350</v>
      </c>
      <c r="F1" s="5">
        <f>loa*boa*pontal*D4*0.7</f>
        <v>257249.99999999997</v>
      </c>
      <c r="P1">
        <v>1</v>
      </c>
      <c r="Q1">
        <v>1</v>
      </c>
      <c r="Y1" s="6"/>
    </row>
    <row r="2" spans="2:25" x14ac:dyDescent="0.25">
      <c r="C2" s="5" t="s">
        <v>91</v>
      </c>
      <c r="D2" s="5">
        <f>boa</f>
        <v>30</v>
      </c>
    </row>
    <row r="3" spans="2:25" x14ac:dyDescent="0.25">
      <c r="C3" s="5" t="s">
        <v>92</v>
      </c>
      <c r="D3" s="5">
        <f>pontal</f>
        <v>35</v>
      </c>
    </row>
    <row r="4" spans="2:25" x14ac:dyDescent="0.25">
      <c r="C4" s="5" t="s">
        <v>93</v>
      </c>
      <c r="D4" s="5">
        <v>1</v>
      </c>
      <c r="P4" s="7" t="s">
        <v>50</v>
      </c>
      <c r="R4" s="5">
        <v>1</v>
      </c>
      <c r="S4" s="5" t="s">
        <v>59</v>
      </c>
      <c r="T4" s="5">
        <v>0.85</v>
      </c>
      <c r="U4" s="5" t="s">
        <v>53</v>
      </c>
      <c r="Y4" s="8"/>
    </row>
    <row r="5" spans="2:25" ht="18.75" x14ac:dyDescent="0.25">
      <c r="C5" s="103"/>
      <c r="D5" s="103"/>
      <c r="E5" s="103"/>
      <c r="F5" s="103"/>
      <c r="G5" s="103"/>
      <c r="H5" s="103"/>
      <c r="K5" s="9" t="s">
        <v>3</v>
      </c>
      <c r="L5" s="10">
        <f>F1*0.3</f>
        <v>77174.999999999985</v>
      </c>
      <c r="M5" s="9" t="s">
        <v>54</v>
      </c>
      <c r="P5" s="7" t="s">
        <v>51</v>
      </c>
      <c r="R5" s="5">
        <v>2</v>
      </c>
      <c r="S5" s="5" t="s">
        <v>60</v>
      </c>
      <c r="T5" s="5">
        <v>0.998</v>
      </c>
      <c r="U5" s="5" t="s">
        <v>53</v>
      </c>
      <c r="Y5" s="8"/>
    </row>
    <row r="6" spans="2:25" x14ac:dyDescent="0.25">
      <c r="C6" s="6" t="s">
        <v>7</v>
      </c>
      <c r="D6" s="6" t="s">
        <v>28</v>
      </c>
      <c r="E6" s="6"/>
      <c r="F6" s="6"/>
      <c r="G6" s="106" t="s">
        <v>80</v>
      </c>
      <c r="H6" s="106"/>
      <c r="I6" s="106"/>
      <c r="K6" s="9" t="s">
        <v>4</v>
      </c>
      <c r="L6" s="10">
        <f>0.6*L5</f>
        <v>46304.999999999993</v>
      </c>
      <c r="M6" s="9" t="s">
        <v>54</v>
      </c>
      <c r="N6" s="5">
        <f>L6/loa/boa</f>
        <v>4.4099999999999993</v>
      </c>
      <c r="R6" s="5">
        <v>3</v>
      </c>
      <c r="S6" s="5" t="s">
        <v>62</v>
      </c>
      <c r="T6" s="5">
        <v>4</v>
      </c>
      <c r="U6" s="5" t="s">
        <v>53</v>
      </c>
      <c r="Y6" s="8"/>
    </row>
    <row r="7" spans="2:25" x14ac:dyDescent="0.25">
      <c r="B7" s="5">
        <f>D7/$H$11</f>
        <v>13860</v>
      </c>
      <c r="C7" s="6">
        <v>1</v>
      </c>
      <c r="D7" s="11">
        <f>$H$12*CARGAS!Q24/100*$H$11</f>
        <v>11781</v>
      </c>
      <c r="E7" s="5" t="s">
        <v>54</v>
      </c>
      <c r="F7" s="6" t="str">
        <f>"C"&amp;C7&amp;"
 "&amp;ROUND(D7,2)&amp;" t"</f>
        <v>C1
 11781 t</v>
      </c>
      <c r="G7" s="12" t="s">
        <v>29</v>
      </c>
      <c r="H7" s="5">
        <v>8</v>
      </c>
      <c r="K7" s="9" t="s">
        <v>5</v>
      </c>
      <c r="L7" s="10">
        <f>0.2*L5</f>
        <v>15434.999999999998</v>
      </c>
      <c r="M7" s="9" t="s">
        <v>54</v>
      </c>
      <c r="N7" s="5">
        <f>L7/compsup/boa</f>
        <v>20.58</v>
      </c>
      <c r="R7" s="5">
        <v>4</v>
      </c>
      <c r="S7" s="5" t="s">
        <v>61</v>
      </c>
      <c r="T7" s="5">
        <v>0.8</v>
      </c>
      <c r="U7" s="5" t="s">
        <v>53</v>
      </c>
      <c r="Y7" s="8"/>
    </row>
    <row r="8" spans="2:25" x14ac:dyDescent="0.25">
      <c r="B8" s="5">
        <f t="shared" ref="B8:B10" si="0">D8/$H$11</f>
        <v>10533.6</v>
      </c>
      <c r="C8" s="6">
        <v>2</v>
      </c>
      <c r="D8" s="11">
        <f>$H$12*CARGAS!R24/100*$H$11</f>
        <v>8953.56</v>
      </c>
      <c r="E8" s="5" t="s">
        <v>54</v>
      </c>
      <c r="F8" s="6" t="str">
        <f t="shared" ref="F8:F14" si="1">"C"&amp;C8&amp;"
 "&amp;ROUND(D8,2)&amp;" t"</f>
        <v>C2
 8953.56 t</v>
      </c>
      <c r="G8" s="5" t="s">
        <v>8</v>
      </c>
      <c r="H8" s="5">
        <f>(loa-H25)/H7</f>
        <v>41.25</v>
      </c>
      <c r="I8" s="5" t="s">
        <v>0</v>
      </c>
      <c r="K8" s="9" t="s">
        <v>6</v>
      </c>
      <c r="L8" s="10">
        <f>0.1*L5</f>
        <v>7717.4999999999991</v>
      </c>
      <c r="M8" s="9" t="s">
        <v>54</v>
      </c>
      <c r="N8" s="5">
        <f>L8/loa/boa</f>
        <v>0.73499999999999988</v>
      </c>
      <c r="R8" s="5">
        <v>5</v>
      </c>
      <c r="S8" s="5" t="s">
        <v>65</v>
      </c>
      <c r="T8" s="5">
        <v>2.9</v>
      </c>
      <c r="U8" s="5" t="s">
        <v>53</v>
      </c>
      <c r="Y8" s="8"/>
    </row>
    <row r="9" spans="2:25" x14ac:dyDescent="0.25">
      <c r="B9" s="5">
        <f t="shared" si="0"/>
        <v>19958.400000000001</v>
      </c>
      <c r="C9" s="6">
        <v>3</v>
      </c>
      <c r="D9" s="11">
        <f>$H$12*CARGAS!S24/100*$H$11</f>
        <v>16964.64</v>
      </c>
      <c r="E9" s="5" t="s">
        <v>54</v>
      </c>
      <c r="F9" s="6" t="str">
        <f t="shared" si="1"/>
        <v>C3
 16964.64 t</v>
      </c>
      <c r="G9" s="5" t="s">
        <v>34</v>
      </c>
      <c r="H9" s="5">
        <f>boa*0.8</f>
        <v>24</v>
      </c>
      <c r="I9" s="5" t="s">
        <v>0</v>
      </c>
      <c r="K9" s="9" t="s">
        <v>86</v>
      </c>
      <c r="L9" s="10">
        <f>0.1*L5</f>
        <v>7717.4999999999991</v>
      </c>
      <c r="M9" s="9" t="s">
        <v>54</v>
      </c>
      <c r="N9" s="5">
        <f>L9/H25/boa</f>
        <v>12.862499999999999</v>
      </c>
      <c r="Y9" s="8"/>
    </row>
    <row r="10" spans="2:25" x14ac:dyDescent="0.25">
      <c r="B10" s="5">
        <f t="shared" si="0"/>
        <v>27720</v>
      </c>
      <c r="C10" s="6">
        <v>4</v>
      </c>
      <c r="D10" s="11">
        <f>$H$12*CARGAS!T24/100*$H$11</f>
        <v>23562</v>
      </c>
      <c r="E10" s="5" t="s">
        <v>54</v>
      </c>
      <c r="F10" s="6" t="str">
        <f t="shared" si="1"/>
        <v>C4
 23562 t</v>
      </c>
      <c r="G10" s="5" t="s">
        <v>35</v>
      </c>
      <c r="H10" s="5">
        <f>pontal*0.8</f>
        <v>28</v>
      </c>
      <c r="I10" s="5" t="s">
        <v>0</v>
      </c>
      <c r="K10" s="9" t="s">
        <v>2</v>
      </c>
      <c r="L10" s="10">
        <f>H11*CARGAS!H13</f>
        <v>188496</v>
      </c>
      <c r="M10" s="9" t="s">
        <v>54</v>
      </c>
      <c r="Y10" s="11"/>
    </row>
    <row r="11" spans="2:25" x14ac:dyDescent="0.25">
      <c r="B11" s="5">
        <f>D11/$H$11</f>
        <v>27720</v>
      </c>
      <c r="C11" s="6">
        <v>5</v>
      </c>
      <c r="D11" s="11">
        <f>$H$12*CARGAS!U24/100*$H$11</f>
        <v>23562</v>
      </c>
      <c r="E11" s="5" t="s">
        <v>54</v>
      </c>
      <c r="F11" s="6" t="str">
        <f t="shared" si="1"/>
        <v>C5
 23562 t</v>
      </c>
      <c r="G11" s="5" t="s">
        <v>48</v>
      </c>
      <c r="H11" s="13">
        <f>IF(CARGAS!$Q$1=1,CARGAS!T4,IF(CARGAS!$Q$1=2,CARGAS!T5,IF(CARGAS!$Q$1=3,CARGAS!T6,IF(CARGAS!$Q$1=4,CARGAS!T7,IF(CARGAS!$Q$1=5,CARGAS!T8)))))</f>
        <v>0.85</v>
      </c>
      <c r="I11" s="5" t="s">
        <v>1</v>
      </c>
    </row>
    <row r="12" spans="2:25" x14ac:dyDescent="0.25">
      <c r="B12" s="5">
        <f t="shared" ref="B12:B14" si="2">D12/$H$11</f>
        <v>19403.999999999996</v>
      </c>
      <c r="C12" s="6">
        <v>6</v>
      </c>
      <c r="D12" s="11">
        <f>$H$12*CARGAS!V24/100*$H$11</f>
        <v>16493.399999999998</v>
      </c>
      <c r="E12" s="5" t="s">
        <v>54</v>
      </c>
      <c r="F12" s="6" t="str">
        <f t="shared" si="1"/>
        <v>C6
 16493.4 t</v>
      </c>
      <c r="G12" s="5" t="s">
        <v>36</v>
      </c>
      <c r="H12" s="5">
        <f>H10*H9*H8</f>
        <v>27720</v>
      </c>
      <c r="I12" s="5" t="s">
        <v>27</v>
      </c>
      <c r="L12" s="8">
        <f>SUM(L6:L9)+SUM(D7:D14)</f>
        <v>225615.59999999998</v>
      </c>
      <c r="M12" s="9" t="s">
        <v>54</v>
      </c>
      <c r="N12" s="14">
        <f>L12-Equilibrio!Y12</f>
        <v>12197.300100000022</v>
      </c>
    </row>
    <row r="13" spans="2:25" x14ac:dyDescent="0.25">
      <c r="B13" s="5">
        <f t="shared" si="2"/>
        <v>27720</v>
      </c>
      <c r="C13" s="6">
        <v>7</v>
      </c>
      <c r="D13" s="11">
        <f>$H$12*CARGAS!W24/100*$H$11</f>
        <v>23562</v>
      </c>
      <c r="E13" s="5" t="s">
        <v>54</v>
      </c>
      <c r="F13" s="6" t="str">
        <f t="shared" si="1"/>
        <v>C7
 23562 t</v>
      </c>
      <c r="G13" s="5" t="s">
        <v>37</v>
      </c>
      <c r="H13" s="5">
        <f>H12*H7</f>
        <v>221760</v>
      </c>
      <c r="I13" s="5" t="s">
        <v>27</v>
      </c>
    </row>
    <row r="14" spans="2:25" x14ac:dyDescent="0.25">
      <c r="B14" s="5">
        <f t="shared" si="2"/>
        <v>27720</v>
      </c>
      <c r="C14" s="6">
        <v>8</v>
      </c>
      <c r="D14" s="11">
        <f>$H$12*CARGAS!X24/100*$H$11</f>
        <v>23562</v>
      </c>
      <c r="E14" s="5" t="s">
        <v>54</v>
      </c>
      <c r="F14" s="6" t="str">
        <f t="shared" si="1"/>
        <v>C8
 23562 t</v>
      </c>
    </row>
    <row r="15" spans="2:25" ht="15.75" x14ac:dyDescent="0.25">
      <c r="C15" s="40"/>
      <c r="D15" s="40"/>
      <c r="E15" s="12"/>
      <c r="F15" s="6"/>
      <c r="K15" s="5">
        <f>loa</f>
        <v>350</v>
      </c>
      <c r="L15" s="5">
        <v>30</v>
      </c>
    </row>
    <row r="16" spans="2:25" ht="15.75" x14ac:dyDescent="0.25">
      <c r="C16" s="40"/>
      <c r="D16" s="40"/>
      <c r="E16" s="12"/>
      <c r="F16" s="6"/>
      <c r="H16" s="105" t="s">
        <v>3</v>
      </c>
      <c r="I16" s="105"/>
      <c r="K16" s="5">
        <f>K15/8</f>
        <v>43.75</v>
      </c>
    </row>
    <row r="17" spans="1:37" ht="15.75" x14ac:dyDescent="0.25">
      <c r="C17" s="104" t="s">
        <v>75</v>
      </c>
      <c r="D17" s="104"/>
      <c r="E17" s="12"/>
      <c r="F17" s="6"/>
      <c r="H17" s="5" t="s">
        <v>9</v>
      </c>
      <c r="I17" s="8">
        <f>CARGAS!L6/loa</f>
        <v>132.29999999999998</v>
      </c>
      <c r="J17" s="6" t="s">
        <v>57</v>
      </c>
      <c r="K17" s="5">
        <f>K15/12</f>
        <v>29.166666666666668</v>
      </c>
    </row>
    <row r="18" spans="1:37" x14ac:dyDescent="0.25">
      <c r="C18" s="12">
        <v>1</v>
      </c>
      <c r="D18" s="15">
        <f>D7/$H$8</f>
        <v>285.60000000000002</v>
      </c>
      <c r="E18" s="6" t="s">
        <v>57</v>
      </c>
      <c r="H18" s="5" t="s">
        <v>10</v>
      </c>
      <c r="I18" s="8">
        <f>CARGAS!L8/loa</f>
        <v>22.049999999999997</v>
      </c>
      <c r="J18" s="6" t="s">
        <v>57</v>
      </c>
      <c r="L18" s="5">
        <v>35</v>
      </c>
    </row>
    <row r="19" spans="1:37" x14ac:dyDescent="0.25">
      <c r="C19" s="12">
        <v>2</v>
      </c>
      <c r="D19" s="15">
        <f t="shared" ref="D19:D22" si="3">D8/$H$8</f>
        <v>217.05599999999998</v>
      </c>
      <c r="E19" s="6" t="s">
        <v>57</v>
      </c>
      <c r="F19" s="12"/>
      <c r="H19" s="5" t="s">
        <v>11</v>
      </c>
      <c r="I19" s="8">
        <f>CARGAS!L7/compsup</f>
        <v>617.4</v>
      </c>
      <c r="J19" s="6" t="s">
        <v>57</v>
      </c>
      <c r="Y19" s="8"/>
    </row>
    <row r="20" spans="1:37" x14ac:dyDescent="0.25">
      <c r="C20" s="12">
        <v>3</v>
      </c>
      <c r="D20" s="15">
        <f t="shared" si="3"/>
        <v>411.26400000000001</v>
      </c>
      <c r="E20" s="6" t="s">
        <v>57</v>
      </c>
      <c r="F20" s="12"/>
      <c r="H20" s="5" t="s">
        <v>87</v>
      </c>
      <c r="I20" s="5">
        <f>L9/H25</f>
        <v>385.87499999999994</v>
      </c>
      <c r="J20" s="6" t="s">
        <v>57</v>
      </c>
      <c r="Y20" s="8"/>
    </row>
    <row r="21" spans="1:37" x14ac:dyDescent="0.25">
      <c r="C21" s="12">
        <v>4</v>
      </c>
      <c r="D21" s="15">
        <f t="shared" si="3"/>
        <v>571.20000000000005</v>
      </c>
      <c r="E21" s="6" t="s">
        <v>57</v>
      </c>
      <c r="F21" s="12"/>
      <c r="Y21" s="8"/>
    </row>
    <row r="22" spans="1:37" ht="21" x14ac:dyDescent="0.25">
      <c r="C22" s="12">
        <v>5</v>
      </c>
      <c r="D22" s="15">
        <f t="shared" si="3"/>
        <v>571.20000000000005</v>
      </c>
      <c r="E22" s="6" t="s">
        <v>57</v>
      </c>
      <c r="F22" s="12"/>
      <c r="P22" s="107" t="s">
        <v>7</v>
      </c>
      <c r="Q22" s="107"/>
      <c r="R22" s="107"/>
      <c r="S22" s="107"/>
      <c r="T22" s="107"/>
      <c r="U22" s="107"/>
      <c r="Y22" s="8"/>
    </row>
    <row r="23" spans="1:37" ht="18.75" x14ac:dyDescent="0.25">
      <c r="C23" s="12">
        <v>6</v>
      </c>
      <c r="D23" s="15">
        <f>D12/$H$8</f>
        <v>399.84</v>
      </c>
      <c r="E23" s="6" t="s">
        <v>57</v>
      </c>
      <c r="F23" s="12"/>
      <c r="P23" s="16"/>
      <c r="Q23" s="16">
        <v>1</v>
      </c>
      <c r="R23" s="16">
        <v>2</v>
      </c>
      <c r="S23" s="16">
        <v>3</v>
      </c>
      <c r="T23" s="16">
        <v>4</v>
      </c>
      <c r="U23" s="16">
        <v>5</v>
      </c>
      <c r="V23" s="16">
        <v>6</v>
      </c>
      <c r="W23" s="16">
        <v>7</v>
      </c>
      <c r="X23" s="16">
        <v>8</v>
      </c>
      <c r="Y23" s="11"/>
    </row>
    <row r="24" spans="1:37" ht="18.75" x14ac:dyDescent="0.25">
      <c r="C24" s="12">
        <v>7</v>
      </c>
      <c r="D24" s="15">
        <f t="shared" ref="D24:D25" si="4">D13/$H$8</f>
        <v>571.20000000000005</v>
      </c>
      <c r="E24" s="6" t="s">
        <v>57</v>
      </c>
      <c r="F24" s="12"/>
      <c r="G24" s="106" t="s">
        <v>89</v>
      </c>
      <c r="H24" s="106"/>
      <c r="I24" s="106"/>
      <c r="J24" s="106"/>
      <c r="K24" s="106"/>
      <c r="P24" s="17" t="s">
        <v>46</v>
      </c>
      <c r="Q24" s="18">
        <v>50</v>
      </c>
      <c r="R24" s="18">
        <v>38</v>
      </c>
      <c r="S24" s="18">
        <v>72</v>
      </c>
      <c r="T24" s="18">
        <v>100</v>
      </c>
      <c r="U24" s="18">
        <v>100</v>
      </c>
      <c r="V24" s="18">
        <v>70</v>
      </c>
      <c r="W24" s="18">
        <v>100</v>
      </c>
      <c r="X24" s="18">
        <v>100</v>
      </c>
      <c r="Y24" s="8"/>
    </row>
    <row r="25" spans="1:37" x14ac:dyDescent="0.25">
      <c r="C25" s="12">
        <v>8</v>
      </c>
      <c r="D25" s="15">
        <f t="shared" si="4"/>
        <v>571.20000000000005</v>
      </c>
      <c r="E25" s="6" t="s">
        <v>57</v>
      </c>
      <c r="F25" s="12"/>
      <c r="G25" s="5" t="s">
        <v>87</v>
      </c>
      <c r="H25" s="5">
        <f>DADOS!I7</f>
        <v>20</v>
      </c>
      <c r="I25" s="5" t="s">
        <v>0</v>
      </c>
      <c r="J25" s="5">
        <v>0</v>
      </c>
      <c r="K25" s="5">
        <f>H25</f>
        <v>20</v>
      </c>
      <c r="Q25" s="5" t="str">
        <f>1&amp;"
"&amp;CARGAS!Q24&amp;"%"</f>
        <v>1
50%</v>
      </c>
      <c r="R25" s="5" t="str">
        <f>2&amp;"
"&amp;CARGAS!R24&amp;"%"</f>
        <v>2
38%</v>
      </c>
      <c r="S25" s="5" t="str">
        <f>3&amp;"
"&amp;CARGAS!S24&amp;"%"</f>
        <v>3
72%</v>
      </c>
      <c r="T25" s="5" t="str">
        <f>4&amp;"
"&amp;CARGAS!T24&amp;"%"</f>
        <v>4
100%</v>
      </c>
      <c r="U25" s="5" t="str">
        <f>5&amp;"
"&amp;CARGAS!U24&amp;"%"</f>
        <v>5
100%</v>
      </c>
      <c r="V25" s="5" t="str">
        <f>6&amp;"
"&amp;CARGAS!V24&amp;"%"</f>
        <v>6
70%</v>
      </c>
      <c r="W25" s="5" t="str">
        <f>7&amp;"
"&amp;CARGAS!W24&amp;"%"</f>
        <v>7
100%</v>
      </c>
      <c r="X25" s="5" t="str">
        <f>8&amp;"
"&amp;CARGAS!X24&amp;"%"</f>
        <v>8
100%</v>
      </c>
      <c r="Y25" s="8"/>
    </row>
    <row r="26" spans="1:37" x14ac:dyDescent="0.25">
      <c r="F26" s="12"/>
      <c r="N26" s="106" t="s">
        <v>47</v>
      </c>
      <c r="O26" s="106"/>
      <c r="P26" s="106"/>
      <c r="S26" s="5" t="s">
        <v>43</v>
      </c>
      <c r="Y26" s="8"/>
    </row>
    <row r="27" spans="1:37" x14ac:dyDescent="0.25">
      <c r="N27" s="5" t="s">
        <v>81</v>
      </c>
      <c r="O27" s="5" t="s">
        <v>42</v>
      </c>
      <c r="P27" s="5" t="s">
        <v>43</v>
      </c>
      <c r="Q27" s="5" t="s">
        <v>82</v>
      </c>
      <c r="R27" s="5" t="s">
        <v>42</v>
      </c>
      <c r="S27" s="5">
        <f>pontal-$H$10</f>
        <v>7</v>
      </c>
      <c r="T27" s="5" t="s">
        <v>83</v>
      </c>
      <c r="U27" s="5" t="s">
        <v>42</v>
      </c>
      <c r="V27" s="5" t="s">
        <v>43</v>
      </c>
      <c r="W27" s="5" t="s">
        <v>84</v>
      </c>
      <c r="X27" s="5" t="s">
        <v>42</v>
      </c>
      <c r="Y27" s="5" t="s">
        <v>43</v>
      </c>
      <c r="Z27" s="5" t="s">
        <v>85</v>
      </c>
      <c r="AA27" s="5" t="s">
        <v>42</v>
      </c>
      <c r="AB27" s="5" t="s">
        <v>43</v>
      </c>
      <c r="AC27" s="5" t="s">
        <v>123</v>
      </c>
      <c r="AD27" s="5" t="s">
        <v>42</v>
      </c>
      <c r="AE27" s="5" t="s">
        <v>43</v>
      </c>
      <c r="AF27" s="5" t="s">
        <v>124</v>
      </c>
      <c r="AG27" s="5" t="s">
        <v>42</v>
      </c>
      <c r="AH27" s="5" t="s">
        <v>43</v>
      </c>
      <c r="AI27" s="5" t="s">
        <v>125</v>
      </c>
      <c r="AJ27" s="5" t="s">
        <v>42</v>
      </c>
      <c r="AK27" s="5" t="s">
        <v>43</v>
      </c>
    </row>
    <row r="28" spans="1:37" x14ac:dyDescent="0.25">
      <c r="N28" s="5" t="s">
        <v>38</v>
      </c>
      <c r="O28" s="5">
        <f>H25</f>
        <v>20</v>
      </c>
      <c r="P28" s="5">
        <f>pontal-$H$10</f>
        <v>7</v>
      </c>
      <c r="Q28" s="5" t="s">
        <v>38</v>
      </c>
      <c r="R28" s="5">
        <f>O31</f>
        <v>61.25</v>
      </c>
      <c r="S28" s="5">
        <f>pontal</f>
        <v>35</v>
      </c>
      <c r="T28" s="5" t="s">
        <v>38</v>
      </c>
      <c r="U28" s="5">
        <f>R31</f>
        <v>102.5</v>
      </c>
      <c r="V28" s="5">
        <f>pontal-$H$10</f>
        <v>7</v>
      </c>
      <c r="W28" s="5" t="s">
        <v>38</v>
      </c>
      <c r="X28" s="5">
        <f>U31</f>
        <v>143.75</v>
      </c>
      <c r="Y28" s="5">
        <f>pontal-$H$10</f>
        <v>7</v>
      </c>
      <c r="Z28" s="5" t="s">
        <v>38</v>
      </c>
      <c r="AA28" s="5">
        <f>X31</f>
        <v>185</v>
      </c>
      <c r="AB28" s="5">
        <f>pontal-$H$10</f>
        <v>7</v>
      </c>
      <c r="AC28" s="5" t="s">
        <v>38</v>
      </c>
      <c r="AD28" s="5">
        <f>AA31</f>
        <v>226.25</v>
      </c>
      <c r="AE28" s="5">
        <f>pontal-$H$10</f>
        <v>7</v>
      </c>
      <c r="AF28" s="5" t="s">
        <v>38</v>
      </c>
      <c r="AG28" s="5">
        <f>AD31</f>
        <v>267.5</v>
      </c>
      <c r="AH28" s="5">
        <f>pontal-$H$10</f>
        <v>7</v>
      </c>
      <c r="AI28" s="5" t="s">
        <v>38</v>
      </c>
      <c r="AJ28" s="5">
        <f>AG31</f>
        <v>308.75</v>
      </c>
      <c r="AK28" s="5">
        <f>pontal-$H$10</f>
        <v>7</v>
      </c>
    </row>
    <row r="29" spans="1:37" x14ac:dyDescent="0.25">
      <c r="N29" s="5" t="s">
        <v>39</v>
      </c>
      <c r="O29" s="5">
        <f>O28</f>
        <v>20</v>
      </c>
      <c r="P29" s="5">
        <f>pontal</f>
        <v>35</v>
      </c>
      <c r="Q29" s="5" t="s">
        <v>39</v>
      </c>
      <c r="R29" s="5">
        <f>R28</f>
        <v>61.25</v>
      </c>
      <c r="S29" s="5">
        <f>pontal</f>
        <v>35</v>
      </c>
      <c r="T29" s="5" t="s">
        <v>39</v>
      </c>
      <c r="U29" s="5">
        <f>U28</f>
        <v>102.5</v>
      </c>
      <c r="V29" s="5">
        <f>pontal</f>
        <v>35</v>
      </c>
      <c r="W29" s="5" t="s">
        <v>39</v>
      </c>
      <c r="X29" s="5">
        <f>X28</f>
        <v>143.75</v>
      </c>
      <c r="Y29" s="5">
        <f>pontal</f>
        <v>35</v>
      </c>
      <c r="Z29" s="5" t="s">
        <v>39</v>
      </c>
      <c r="AA29" s="5">
        <f>AA28</f>
        <v>185</v>
      </c>
      <c r="AB29" s="5">
        <f>pontal</f>
        <v>35</v>
      </c>
      <c r="AC29" s="5" t="s">
        <v>39</v>
      </c>
      <c r="AD29" s="5">
        <f>AD28</f>
        <v>226.25</v>
      </c>
      <c r="AE29" s="5">
        <f>pontal</f>
        <v>35</v>
      </c>
      <c r="AF29" s="5" t="s">
        <v>39</v>
      </c>
      <c r="AG29" s="5">
        <f>AG28</f>
        <v>267.5</v>
      </c>
      <c r="AH29" s="5">
        <f>pontal</f>
        <v>35</v>
      </c>
      <c r="AI29" s="5" t="s">
        <v>39</v>
      </c>
      <c r="AJ29" s="5">
        <f>AJ28</f>
        <v>308.75</v>
      </c>
      <c r="AK29" s="5">
        <f>pontal</f>
        <v>35</v>
      </c>
    </row>
    <row r="30" spans="1:37" x14ac:dyDescent="0.25">
      <c r="N30" s="5" t="s">
        <v>40</v>
      </c>
      <c r="O30" s="5">
        <f>$O$29+$H$8</f>
        <v>61.25</v>
      </c>
      <c r="P30" s="5">
        <f>pontal</f>
        <v>35</v>
      </c>
      <c r="Q30" s="5" t="s">
        <v>40</v>
      </c>
      <c r="R30" s="5">
        <f>R29+$H$8</f>
        <v>102.5</v>
      </c>
      <c r="S30" s="5">
        <f>S27</f>
        <v>7</v>
      </c>
      <c r="T30" s="5" t="s">
        <v>40</v>
      </c>
      <c r="U30" s="5">
        <f>U29+$H$8</f>
        <v>143.75</v>
      </c>
      <c r="V30" s="5">
        <f>pontal</f>
        <v>35</v>
      </c>
      <c r="W30" s="5" t="s">
        <v>40</v>
      </c>
      <c r="X30" s="5">
        <f>X29+$H$8</f>
        <v>185</v>
      </c>
      <c r="Y30" s="5">
        <f>pontal</f>
        <v>35</v>
      </c>
      <c r="Z30" s="5" t="s">
        <v>40</v>
      </c>
      <c r="AA30" s="5">
        <f>AA29+$H$8</f>
        <v>226.25</v>
      </c>
      <c r="AB30" s="5">
        <f>pontal</f>
        <v>35</v>
      </c>
      <c r="AC30" s="5" t="s">
        <v>40</v>
      </c>
      <c r="AD30" s="5">
        <f>AD29+$H$8</f>
        <v>267.5</v>
      </c>
      <c r="AE30" s="5">
        <f>pontal</f>
        <v>35</v>
      </c>
      <c r="AF30" s="5" t="s">
        <v>40</v>
      </c>
      <c r="AG30" s="5">
        <f>AG29+$H$8</f>
        <v>308.75</v>
      </c>
      <c r="AH30" s="5">
        <f>pontal</f>
        <v>35</v>
      </c>
      <c r="AI30" s="5" t="s">
        <v>40</v>
      </c>
      <c r="AJ30" s="5">
        <f>AJ29+$H$8</f>
        <v>350</v>
      </c>
      <c r="AK30" s="5">
        <f>pontal</f>
        <v>35</v>
      </c>
    </row>
    <row r="31" spans="1:37" x14ac:dyDescent="0.25">
      <c r="N31" s="5" t="s">
        <v>41</v>
      </c>
      <c r="O31" s="5">
        <f>O30</f>
        <v>61.25</v>
      </c>
      <c r="P31" s="5">
        <f>P28</f>
        <v>7</v>
      </c>
      <c r="Q31" s="5" t="s">
        <v>41</v>
      </c>
      <c r="R31" s="5">
        <f>R30</f>
        <v>102.5</v>
      </c>
      <c r="S31" s="5">
        <f>S27</f>
        <v>7</v>
      </c>
      <c r="T31" s="5" t="s">
        <v>41</v>
      </c>
      <c r="U31" s="5">
        <f>U30</f>
        <v>143.75</v>
      </c>
      <c r="V31" s="5">
        <f>V28</f>
        <v>7</v>
      </c>
      <c r="W31" s="5" t="s">
        <v>41</v>
      </c>
      <c r="X31" s="5">
        <f>X30</f>
        <v>185</v>
      </c>
      <c r="Y31" s="5">
        <f>Y28</f>
        <v>7</v>
      </c>
      <c r="Z31" s="5" t="s">
        <v>41</v>
      </c>
      <c r="AA31" s="5">
        <f>AA30</f>
        <v>226.25</v>
      </c>
      <c r="AB31" s="5">
        <f>AB28</f>
        <v>7</v>
      </c>
      <c r="AC31" s="5" t="s">
        <v>41</v>
      </c>
      <c r="AD31" s="5">
        <f>AD30</f>
        <v>267.5</v>
      </c>
      <c r="AE31" s="5">
        <f>AE28</f>
        <v>7</v>
      </c>
      <c r="AF31" s="5" t="s">
        <v>41</v>
      </c>
      <c r="AG31" s="5">
        <f>AG30</f>
        <v>308.75</v>
      </c>
      <c r="AH31" s="5">
        <f>AH28</f>
        <v>7</v>
      </c>
      <c r="AI31" s="5" t="s">
        <v>41</v>
      </c>
      <c r="AJ31" s="5">
        <f>AJ30</f>
        <v>350</v>
      </c>
      <c r="AK31" s="5">
        <f>AK28</f>
        <v>7</v>
      </c>
    </row>
    <row r="32" spans="1:37" x14ac:dyDescent="0.25">
      <c r="A32" s="82">
        <v>35</v>
      </c>
      <c r="C32" s="5">
        <v>35</v>
      </c>
      <c r="F32" s="5">
        <v>0</v>
      </c>
      <c r="G32" s="5">
        <v>5</v>
      </c>
      <c r="N32" s="5" t="s">
        <v>45</v>
      </c>
      <c r="O32" s="5">
        <f>O28</f>
        <v>20</v>
      </c>
      <c r="P32" s="5">
        <f>P28</f>
        <v>7</v>
      </c>
      <c r="Q32" s="5" t="s">
        <v>45</v>
      </c>
      <c r="R32" s="5">
        <f>R28</f>
        <v>61.25</v>
      </c>
      <c r="T32" s="5" t="s">
        <v>45</v>
      </c>
      <c r="U32" s="5">
        <f>U28</f>
        <v>102.5</v>
      </c>
      <c r="V32" s="5">
        <f>V28</f>
        <v>7</v>
      </c>
      <c r="W32" s="5" t="s">
        <v>45</v>
      </c>
      <c r="X32" s="5">
        <f>X28</f>
        <v>143.75</v>
      </c>
      <c r="Y32" s="5">
        <f>Y28</f>
        <v>7</v>
      </c>
      <c r="Z32" s="5" t="s">
        <v>45</v>
      </c>
      <c r="AA32" s="5">
        <f>AA28</f>
        <v>185</v>
      </c>
      <c r="AB32" s="5">
        <f>AB28</f>
        <v>7</v>
      </c>
      <c r="AC32" s="5" t="s">
        <v>45</v>
      </c>
      <c r="AD32" s="5">
        <f>AD28</f>
        <v>226.25</v>
      </c>
      <c r="AE32" s="5">
        <f>AE28</f>
        <v>7</v>
      </c>
      <c r="AF32" s="5" t="s">
        <v>45</v>
      </c>
      <c r="AG32" s="5">
        <f>AG28</f>
        <v>267.5</v>
      </c>
      <c r="AH32" s="5">
        <f>AH28</f>
        <v>7</v>
      </c>
      <c r="AI32" s="5" t="s">
        <v>45</v>
      </c>
      <c r="AJ32" s="5">
        <f>AJ28</f>
        <v>308.75</v>
      </c>
      <c r="AK32" s="5">
        <f>AK28</f>
        <v>7</v>
      </c>
    </row>
    <row r="33" spans="3:36" x14ac:dyDescent="0.25">
      <c r="F33" s="5">
        <v>5</v>
      </c>
      <c r="G33" s="5">
        <f>10-$A$32/10+G32</f>
        <v>11.5</v>
      </c>
    </row>
    <row r="34" spans="3:36" x14ac:dyDescent="0.25">
      <c r="C34" s="106" t="s">
        <v>74</v>
      </c>
      <c r="D34" s="106"/>
      <c r="E34" s="106"/>
      <c r="F34" s="5">
        <v>10</v>
      </c>
      <c r="G34" s="5">
        <v>5</v>
      </c>
    </row>
    <row r="35" spans="3:36" x14ac:dyDescent="0.25">
      <c r="O35" s="5">
        <f>(O29+O30)/2</f>
        <v>40.625</v>
      </c>
      <c r="R35" s="5">
        <f>(R29+R30)/2</f>
        <v>81.875</v>
      </c>
      <c r="U35" s="5">
        <f>(U29+U30)/2</f>
        <v>123.125</v>
      </c>
      <c r="X35" s="5">
        <f>(X29+X30)/2</f>
        <v>164.375</v>
      </c>
      <c r="AA35" s="5">
        <f>(AA29+AA30)/2</f>
        <v>205.625</v>
      </c>
      <c r="AD35" s="5">
        <f>(AD29+AD30)/2</f>
        <v>246.875</v>
      </c>
      <c r="AG35" s="5">
        <f>(AG29+AG30)/2</f>
        <v>288.125</v>
      </c>
      <c r="AJ35" s="5">
        <f>(AJ29+AJ30)/2</f>
        <v>329.375</v>
      </c>
    </row>
    <row r="36" spans="3:36" x14ac:dyDescent="0.25">
      <c r="C36" s="5">
        <v>0</v>
      </c>
      <c r="D36" s="8">
        <f>L6/loa*$A$32/100</f>
        <v>46.304999999999993</v>
      </c>
    </row>
    <row r="37" spans="3:36" x14ac:dyDescent="0.25">
      <c r="C37" s="5">
        <f>loa/2</f>
        <v>175</v>
      </c>
      <c r="D37" s="83">
        <v>129.6</v>
      </c>
    </row>
    <row r="38" spans="3:36" x14ac:dyDescent="0.25">
      <c r="C38" s="5">
        <f>loa</f>
        <v>350</v>
      </c>
      <c r="D38" s="8">
        <f>D36</f>
        <v>46.304999999999993</v>
      </c>
    </row>
    <row r="40" spans="3:36" x14ac:dyDescent="0.25">
      <c r="C40" s="5">
        <f t="array" ref="C40:E40">LINEST(D36:D38,C36:C38^{1,2},TRUE)</f>
        <v>-2.7198367346938758E-3</v>
      </c>
      <c r="D40" s="5">
        <v>0.95194285714285687</v>
      </c>
      <c r="E40" s="13">
        <v>46.30499999999995</v>
      </c>
    </row>
    <row r="43" spans="3:36" x14ac:dyDescent="0.25">
      <c r="C43" s="82">
        <f>C40*loa^3/3+D40*loa^2/2+E40*loa</f>
        <v>35642.249999999985</v>
      </c>
      <c r="D43" s="8">
        <f>L6</f>
        <v>46304.999999999993</v>
      </c>
    </row>
    <row r="47" spans="3:36" x14ac:dyDescent="0.25">
      <c r="C47" s="106" t="s">
        <v>74</v>
      </c>
      <c r="D47" s="106"/>
      <c r="E47" s="106"/>
    </row>
    <row r="49" spans="3:25" x14ac:dyDescent="0.25">
      <c r="C49" s="5">
        <v>0</v>
      </c>
      <c r="D49" s="8">
        <f>L8/loa*A32/100</f>
        <v>7.7174999999999985</v>
      </c>
    </row>
    <row r="50" spans="3:25" x14ac:dyDescent="0.25">
      <c r="C50" s="5">
        <f>loa/2</f>
        <v>175</v>
      </c>
      <c r="D50" s="83">
        <v>21.599999999999998</v>
      </c>
    </row>
    <row r="51" spans="3:25" x14ac:dyDescent="0.25">
      <c r="C51" s="5">
        <f>loa</f>
        <v>350</v>
      </c>
      <c r="D51" s="8">
        <f>D49</f>
        <v>7.7174999999999985</v>
      </c>
    </row>
    <row r="53" spans="3:25" x14ac:dyDescent="0.25">
      <c r="C53" s="5">
        <f t="array" ref="C53:E53">LINEST(D49:D51,C49:C51^{1,2},TRUE)</f>
        <v>-4.533061224489795E-4</v>
      </c>
      <c r="D53" s="5">
        <v>0.15865714285714286</v>
      </c>
      <c r="E53" s="13">
        <v>7.717499999999994</v>
      </c>
    </row>
    <row r="56" spans="3:25" x14ac:dyDescent="0.25">
      <c r="C56" s="82">
        <f>C53*loa^3/3+D53*loa^2/2+E53*loa</f>
        <v>5940.3749999999982</v>
      </c>
      <c r="D56" s="8">
        <f>L8</f>
        <v>7717.4999999999991</v>
      </c>
    </row>
    <row r="57" spans="3:25" x14ac:dyDescent="0.25">
      <c r="D57" s="8"/>
      <c r="Y57" s="8"/>
    </row>
    <row r="65" spans="2:7" x14ac:dyDescent="0.25">
      <c r="C65" s="106" t="s">
        <v>76</v>
      </c>
      <c r="D65" s="106"/>
      <c r="E65" s="106"/>
      <c r="F65" s="106"/>
      <c r="G65" s="106"/>
    </row>
    <row r="67" spans="2:7" x14ac:dyDescent="0.25">
      <c r="C67" s="5">
        <v>1</v>
      </c>
    </row>
    <row r="68" spans="2:7" x14ac:dyDescent="0.25">
      <c r="B68" s="5">
        <f>IF($C$67=1,1,0)</f>
        <v>1</v>
      </c>
      <c r="C68" s="5" t="s">
        <v>79</v>
      </c>
      <c r="D68" s="5">
        <v>0</v>
      </c>
      <c r="E68" s="5">
        <f>compsup</f>
        <v>25</v>
      </c>
    </row>
    <row r="69" spans="2:7" x14ac:dyDescent="0.25">
      <c r="B69" s="5">
        <f>IF($C$67=2,1,0)</f>
        <v>0</v>
      </c>
      <c r="C69" s="5" t="s">
        <v>77</v>
      </c>
      <c r="D69" s="5">
        <f>loa/2-compsup/2</f>
        <v>162.5</v>
      </c>
      <c r="E69" s="5">
        <f>loa/2+compsup/2</f>
        <v>187.5</v>
      </c>
    </row>
    <row r="70" spans="2:7" x14ac:dyDescent="0.25">
      <c r="B70" s="5">
        <f>IF($C$67=3,1,0)</f>
        <v>0</v>
      </c>
      <c r="C70" s="5" t="s">
        <v>78</v>
      </c>
      <c r="D70" s="5">
        <f>loa-compsup</f>
        <v>325</v>
      </c>
      <c r="E70" s="5">
        <f>loa</f>
        <v>350</v>
      </c>
    </row>
  </sheetData>
  <sheetProtection selectLockedCells="1" selectUnlockedCells="1"/>
  <mergeCells count="10">
    <mergeCell ref="C47:E47"/>
    <mergeCell ref="C65:G65"/>
    <mergeCell ref="G6:I6"/>
    <mergeCell ref="N26:P26"/>
    <mergeCell ref="P22:U22"/>
    <mergeCell ref="C5:H5"/>
    <mergeCell ref="C17:D17"/>
    <mergeCell ref="H16:I16"/>
    <mergeCell ref="C34:E34"/>
    <mergeCell ref="G24:K24"/>
  </mergeCells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AL351"/>
  <sheetViews>
    <sheetView topLeftCell="O4" zoomScaleNormal="100" workbookViewId="0">
      <selection activeCell="F2" sqref="F2"/>
    </sheetView>
  </sheetViews>
  <sheetFormatPr defaultRowHeight="15" x14ac:dyDescent="0.25"/>
  <cols>
    <col min="1" max="1" width="5.42578125" style="21" bestFit="1" customWidth="1"/>
    <col min="2" max="20" width="15" style="21" customWidth="1"/>
    <col min="21" max="23" width="3" style="21" customWidth="1"/>
    <col min="24" max="24" width="20.140625" style="21" customWidth="1"/>
    <col min="25" max="25" width="21.5703125" style="21" customWidth="1"/>
    <col min="26" max="26" width="12.42578125" style="21" customWidth="1"/>
    <col min="27" max="16384" width="9.140625" style="21"/>
  </cols>
  <sheetData>
    <row r="1" spans="1:38" ht="45" customHeight="1" x14ac:dyDescent="0.25">
      <c r="A1" s="19" t="s">
        <v>12</v>
      </c>
      <c r="B1" s="20" t="s">
        <v>13</v>
      </c>
      <c r="C1" s="20" t="s">
        <v>14</v>
      </c>
      <c r="D1" s="20" t="s">
        <v>15</v>
      </c>
      <c r="E1" s="20" t="s">
        <v>88</v>
      </c>
      <c r="F1" s="52" t="s">
        <v>134</v>
      </c>
      <c r="G1" s="52" t="s">
        <v>135</v>
      </c>
      <c r="H1" s="52" t="s">
        <v>136</v>
      </c>
      <c r="I1" s="52" t="s">
        <v>137</v>
      </c>
      <c r="J1" s="52" t="s">
        <v>138</v>
      </c>
      <c r="K1" s="52" t="s">
        <v>139</v>
      </c>
      <c r="L1" s="52" t="s">
        <v>140</v>
      </c>
      <c r="M1" s="52" t="s">
        <v>141</v>
      </c>
      <c r="N1" s="20" t="s">
        <v>16</v>
      </c>
      <c r="O1" s="20" t="s">
        <v>31</v>
      </c>
      <c r="P1" s="20" t="s">
        <v>17</v>
      </c>
      <c r="Q1" s="20" t="s">
        <v>18</v>
      </c>
      <c r="R1" s="20" t="s">
        <v>19</v>
      </c>
      <c r="S1" s="20" t="s">
        <v>20</v>
      </c>
      <c r="T1" s="20" t="s">
        <v>32</v>
      </c>
      <c r="X1" s="21" t="s">
        <v>69</v>
      </c>
      <c r="Z1" s="22">
        <f>loa</f>
        <v>350</v>
      </c>
    </row>
    <row r="2" spans="1:38" ht="19.5" customHeight="1" x14ac:dyDescent="0.25">
      <c r="A2" s="21">
        <v>1</v>
      </c>
      <c r="B2" s="22">
        <f>CARGAS!$C$40*Equilibrio!A2^2+CARGAS!$D$40*Equilibrio!A2+CARGAS!$E$40</f>
        <v>47.254223020408112</v>
      </c>
      <c r="C2" s="22">
        <f>CARGAS!$C$53*Equilibrio!A2^2+CARGAS!$D$53*Equilibrio!A2+CARGAS!$E$53</f>
        <v>7.8757038367346883</v>
      </c>
      <c r="D2">
        <f>IF(posisup=1,IF(A2&lt;=CARGAS!$E$68,sup,0),IF(posisup=2,IF(AND(A2&lt;=CARGAS!$E$69,A2&gt;=CARGAS!$D$69),sup,0),IF(posisup=3,IF(AND(A2&lt;=CARGAS!$E$70,A2&gt;=CARGAS!$D$70),sup,0),0)))</f>
        <v>617.4</v>
      </c>
      <c r="E2">
        <f>IF(A2&lt;=CARGAS!$H$25,CARGAS!$I$20,0)</f>
        <v>385.87499999999994</v>
      </c>
      <c r="F2" s="22">
        <f>IF(AND(A2&gt;CARGAS!$O$29,A2&lt;=CARGAS!$O$30),tanque1,0)</f>
        <v>0</v>
      </c>
      <c r="G2" s="22">
        <f>IF(AND(A2&gt;CARGAS!$R$29,A2&lt;=CARGAS!$R$30),tanque2,0)</f>
        <v>0</v>
      </c>
      <c r="H2" s="22">
        <f>IF(AND(A2&gt;CARGAS!$U$29,A2&lt;=CARGAS!$U$30),tanque3,0)</f>
        <v>0</v>
      </c>
      <c r="I2" s="22">
        <f>IF(AND(A2&gt;CARGAS!$X$29,A2&lt;=CARGAS!$X$30),tanque4,0)</f>
        <v>0</v>
      </c>
      <c r="J2" s="22">
        <f>IF(AND(A2&gt;CARGAS!$AA$29,A2&lt;=CARGAS!$AA$30),tanque5,0)</f>
        <v>0</v>
      </c>
      <c r="K2" s="22">
        <f>IF(AND($A2&gt;CARGAS!$AD$29,$A2&lt;=CARGAS!$AD$30),tanque6,0)</f>
        <v>0</v>
      </c>
      <c r="L2" s="22">
        <f>IF(AND($A2&gt;CARGAS!$AG$29,$A2&lt;=CARGAS!$AG$30),tanque7,0)</f>
        <v>0</v>
      </c>
      <c r="M2" s="22">
        <f>IF(AND($A2&gt;CARGAS!$AJ$29,$A2&lt;=CARGAS!$AJ$30),tanque8,0)</f>
        <v>0</v>
      </c>
      <c r="N2" s="22">
        <f>B2+C2+D2+F2+E2+G2+H2+I2+J2+K2+L2+M2</f>
        <v>1058.4049268571428</v>
      </c>
      <c r="O2" s="22">
        <f t="shared" ref="O2:O33" si="0">IF($X$4=1,tmedio+((loa/2)-A2)*TAN(trimrad),IF($X$4=2,tmedio+$Z$3*COS(2*PI()*A2/$Z$2)+((loa/2)-A2)*TAN(trimrad),IF($X$4=3,tmedio-$Z$3*COS(2*PI()*A2/$Z$2)+((loa/2)-A2)*TAN(trimrad),tmedio+((loa/2)-A2)*TAN(trimrad))))</f>
        <v>27.276894311567908</v>
      </c>
      <c r="P2" s="22">
        <f>O2*Equilibrio!Y$39*Equilibrio!Y$38*DADOS!C$4</f>
        <v>838.76450008071311</v>
      </c>
      <c r="Q2" s="22">
        <f>N2-P2</f>
        <v>219.64042677642965</v>
      </c>
      <c r="R2" s="22">
        <f>Q2</f>
        <v>219.64042677642965</v>
      </c>
      <c r="S2" s="22">
        <f>R2</f>
        <v>219.64042677642965</v>
      </c>
      <c r="T2" s="22">
        <f t="shared" ref="T2:T33" si="1">N2*A2</f>
        <v>1058.4049268571428</v>
      </c>
      <c r="X2" s="21" t="s">
        <v>71</v>
      </c>
      <c r="Y2" s="21" t="s">
        <v>72</v>
      </c>
      <c r="Z2" s="21">
        <f>IF($Z$1=0,1,IF($Z$1&lt;loa,$Z$1,loa))</f>
        <v>350</v>
      </c>
    </row>
    <row r="3" spans="1:38" ht="19.5" customHeight="1" x14ac:dyDescent="0.25">
      <c r="A3" s="21">
        <v>2</v>
      </c>
      <c r="B3" s="22">
        <f>CARGAS!$C$40*Equilibrio!A3^2+CARGAS!$D$40*Equilibrio!A3+CARGAS!$E$40</f>
        <v>48.198006367346885</v>
      </c>
      <c r="C3" s="22">
        <f>CARGAS!$C$53*Equilibrio!A3^2+CARGAS!$D$53*Equilibrio!A3+CARGAS!$E$53</f>
        <v>8.0330010612244838</v>
      </c>
      <c r="D3">
        <f>IF(posisup=1,IF(A3&lt;=CARGAS!$E$68,sup,0),IF(posisup=2,IF(AND(A3&lt;=CARGAS!$E$69,A3&gt;=CARGAS!$D$69),sup,0),IF(posisup=3,IF(AND(A3&lt;=CARGAS!$E$70,A3&gt;=CARGAS!$D$70),sup,0),0)))</f>
        <v>617.4</v>
      </c>
      <c r="E3">
        <f>IF(A3&lt;=CARGAS!$H$25,CARGAS!$I$20,0)</f>
        <v>385.87499999999994</v>
      </c>
      <c r="F3" s="22">
        <f>IF(AND(A3&gt;CARGAS!$O$29,A3&lt;=CARGAS!$O$30),tanque1,0)</f>
        <v>0</v>
      </c>
      <c r="G3" s="22">
        <f>IF(AND(A3&gt;CARGAS!$R$29,A3&lt;=CARGAS!$R$30),tanque2,0)</f>
        <v>0</v>
      </c>
      <c r="H3" s="22">
        <f>IF(AND(A3&gt;CARGAS!$U$29,A3&lt;=CARGAS!$U$30),tanque3,0)</f>
        <v>0</v>
      </c>
      <c r="I3" s="22">
        <f>IF(AND(A3&gt;CARGAS!$X$29,A3&lt;=CARGAS!$X$30),tanque4,0)</f>
        <v>0</v>
      </c>
      <c r="J3" s="22">
        <f>IF(AND(A3&gt;CARGAS!$AA$29,A3&lt;=CARGAS!$AA$30),tanque5,0)</f>
        <v>0</v>
      </c>
      <c r="K3" s="22">
        <f>IF(AND($A3&gt;CARGAS!$AD$29,$A3&lt;=CARGAS!$AD$30),tanque6,0)</f>
        <v>0</v>
      </c>
      <c r="L3" s="22">
        <f>IF(AND($A3&gt;CARGAS!$AG$29,$A3&lt;=CARGAS!$AG$30),tanque7,0)</f>
        <v>0</v>
      </c>
      <c r="M3" s="22">
        <f>IF(AND($A3&gt;CARGAS!$AJ$29,$A3&lt;=CARGAS!$AJ$30),tanque8,0)</f>
        <v>0</v>
      </c>
      <c r="N3" s="22">
        <f t="shared" ref="N3:N66" si="2">B3+C3+D3+F3+E3+G3+H3+I3+J3+K3+L3+M3</f>
        <v>1059.5060074285714</v>
      </c>
      <c r="O3" s="22">
        <f t="shared" si="0"/>
        <v>27.280123518849241</v>
      </c>
      <c r="P3" s="22">
        <f>O3*Equilibrio!Y$39*Equilibrio!Y$38*DADOS!C$4</f>
        <v>838.86379820461411</v>
      </c>
      <c r="Q3" s="22">
        <f t="shared" ref="Q3:Q66" si="3">N3-P3</f>
        <v>220.64220922395725</v>
      </c>
      <c r="R3" s="22">
        <f>R2+Q3</f>
        <v>440.2826360003869</v>
      </c>
      <c r="S3" s="22">
        <f>S2+R3</f>
        <v>659.92306277681655</v>
      </c>
      <c r="T3" s="22">
        <f t="shared" si="1"/>
        <v>2119.0120148571427</v>
      </c>
      <c r="X3" s="21" t="s">
        <v>70</v>
      </c>
      <c r="Y3" s="21" t="s">
        <v>73</v>
      </c>
      <c r="Z3" s="21">
        <f>IF($Z$1=0,0,Z2/40)</f>
        <v>8.75</v>
      </c>
    </row>
    <row r="4" spans="1:38" ht="19.5" customHeight="1" x14ac:dyDescent="0.25">
      <c r="A4" s="21">
        <v>3</v>
      </c>
      <c r="B4" s="22">
        <f>CARGAS!$C$40*Equilibrio!A4^2+CARGAS!$D$40*Equilibrio!A4+CARGAS!$E$40</f>
        <v>49.136350040816275</v>
      </c>
      <c r="C4" s="22">
        <f>CARGAS!$C$53*Equilibrio!A4^2+CARGAS!$D$53*Equilibrio!A4+CARGAS!$E$53</f>
        <v>8.1893916734693821</v>
      </c>
      <c r="D4">
        <f>IF(posisup=1,IF(A4&lt;=CARGAS!$E$68,sup,0),IF(posisup=2,IF(AND(A4&lt;=CARGAS!$E$69,A4&gt;=CARGAS!$D$69),sup,0),IF(posisup=3,IF(AND(A4&lt;=CARGAS!$E$70,A4&gt;=CARGAS!$D$70),sup,0),0)))</f>
        <v>617.4</v>
      </c>
      <c r="E4">
        <f>IF(A4&lt;=CARGAS!$H$25,CARGAS!$I$20,0)</f>
        <v>385.87499999999994</v>
      </c>
      <c r="F4" s="22">
        <f>IF(AND(A4&gt;CARGAS!$O$29,A4&lt;=CARGAS!$O$30),tanque1,0)</f>
        <v>0</v>
      </c>
      <c r="G4" s="22">
        <f>IF(AND(A4&gt;CARGAS!$R$29,A4&lt;=CARGAS!$R$30),tanque2,0)</f>
        <v>0</v>
      </c>
      <c r="H4" s="22">
        <f>IF(AND(A4&gt;CARGAS!$U$29,A4&lt;=CARGAS!$U$30),tanque3,0)</f>
        <v>0</v>
      </c>
      <c r="I4" s="22">
        <f>IF(AND(A4&gt;CARGAS!$X$29,A4&lt;=CARGAS!$X$30),tanque4,0)</f>
        <v>0</v>
      </c>
      <c r="J4" s="22">
        <f>IF(AND(A4&gt;CARGAS!$AA$29,A4&lt;=CARGAS!$AA$30),tanque5,0)</f>
        <v>0</v>
      </c>
      <c r="K4" s="22">
        <f>IF(AND($A4&gt;CARGAS!$AD$29,$A4&lt;=CARGAS!$AD$30),tanque6,0)</f>
        <v>0</v>
      </c>
      <c r="L4" s="22">
        <f>IF(AND($A4&gt;CARGAS!$AG$29,$A4&lt;=CARGAS!$AG$30),tanque7,0)</f>
        <v>0</v>
      </c>
      <c r="M4" s="22">
        <f>IF(AND($A4&gt;CARGAS!$AJ$29,$A4&lt;=CARGAS!$AJ$30),tanque8,0)</f>
        <v>0</v>
      </c>
      <c r="N4" s="22">
        <f t="shared" si="2"/>
        <v>1060.6007417142855</v>
      </c>
      <c r="O4" s="22">
        <f t="shared" si="0"/>
        <v>27.280534732190766</v>
      </c>
      <c r="P4" s="22">
        <f>O4*Equilibrio!Y$39*Equilibrio!Y$38*DADOS!C$4</f>
        <v>838.87644301486591</v>
      </c>
      <c r="Q4" s="22">
        <f t="shared" si="3"/>
        <v>221.72429869941959</v>
      </c>
      <c r="R4" s="22">
        <f>R3+Q4</f>
        <v>662.00693469980649</v>
      </c>
      <c r="S4" s="22">
        <f>S3+R4</f>
        <v>1321.9299974766232</v>
      </c>
      <c r="T4" s="22">
        <f t="shared" si="1"/>
        <v>3181.8022251428565</v>
      </c>
      <c r="X4" s="21">
        <v>2</v>
      </c>
    </row>
    <row r="5" spans="1:38" ht="19.5" customHeight="1" x14ac:dyDescent="0.25">
      <c r="A5" s="21">
        <v>4</v>
      </c>
      <c r="B5" s="22">
        <f>CARGAS!$C$40*Equilibrio!A5^2+CARGAS!$D$40*Equilibrio!A5+CARGAS!$E$40</f>
        <v>50.069254040816276</v>
      </c>
      <c r="C5" s="22">
        <f>CARGAS!$C$53*Equilibrio!A5^2+CARGAS!$D$53*Equilibrio!A5+CARGAS!$E$53</f>
        <v>8.3448756734693816</v>
      </c>
      <c r="D5">
        <f>IF(posisup=1,IF(A5&lt;=CARGAS!$E$68,sup,0),IF(posisup=2,IF(AND(A5&lt;=CARGAS!$E$69,A5&gt;=CARGAS!$D$69),sup,0),IF(posisup=3,IF(AND(A5&lt;=CARGAS!$E$70,A5&gt;=CARGAS!$D$70),sup,0),0)))</f>
        <v>617.4</v>
      </c>
      <c r="E5">
        <f>IF(A5&lt;=CARGAS!$H$25,CARGAS!$I$20,0)</f>
        <v>385.87499999999994</v>
      </c>
      <c r="F5" s="22">
        <f>IF(AND(A5&gt;CARGAS!$O$29,A5&lt;=CARGAS!$O$30),tanque1,0)</f>
        <v>0</v>
      </c>
      <c r="G5" s="22">
        <f>IF(AND(A5&gt;CARGAS!$R$29,A5&lt;=CARGAS!$R$30),tanque2,0)</f>
        <v>0</v>
      </c>
      <c r="H5" s="22">
        <f>IF(AND(A5&gt;CARGAS!$U$29,A5&lt;=CARGAS!$U$30),tanque3,0)</f>
        <v>0</v>
      </c>
      <c r="I5" s="22">
        <f>IF(AND(A5&gt;CARGAS!$X$29,A5&lt;=CARGAS!$X$30),tanque4,0)</f>
        <v>0</v>
      </c>
      <c r="J5" s="22">
        <f>IF(AND(A5&gt;CARGAS!$AA$29,A5&lt;=CARGAS!$AA$30),tanque5,0)</f>
        <v>0</v>
      </c>
      <c r="K5" s="22">
        <f>IF(AND($A5&gt;CARGAS!$AD$29,$A5&lt;=CARGAS!$AD$30),tanque6,0)</f>
        <v>0</v>
      </c>
      <c r="L5" s="22">
        <f>IF(AND($A5&gt;CARGAS!$AG$29,$A5&lt;=CARGAS!$AG$30),tanque7,0)</f>
        <v>0</v>
      </c>
      <c r="M5" s="22">
        <f>IF(AND($A5&gt;CARGAS!$AJ$29,$A5&lt;=CARGAS!$AJ$30),tanque8,0)</f>
        <v>0</v>
      </c>
      <c r="N5" s="22">
        <f t="shared" si="2"/>
        <v>1061.6891297142856</v>
      </c>
      <c r="O5" s="22">
        <f t="shared" si="0"/>
        <v>27.278130222670537</v>
      </c>
      <c r="P5" s="22">
        <f>O5*Equilibrio!Y$39*Equilibrio!Y$38*DADOS!C$4</f>
        <v>838.80250434711888</v>
      </c>
      <c r="Q5" s="22">
        <f t="shared" si="3"/>
        <v>222.88662536716674</v>
      </c>
      <c r="R5" s="22">
        <f>R4+Q5</f>
        <v>884.89356006697324</v>
      </c>
      <c r="S5" s="22">
        <f t="shared" ref="S5:S68" si="4">S4+R5</f>
        <v>2206.8235575435965</v>
      </c>
      <c r="T5" s="22">
        <f t="shared" si="1"/>
        <v>4246.7565188571425</v>
      </c>
    </row>
    <row r="6" spans="1:38" ht="19.5" customHeight="1" x14ac:dyDescent="0.25">
      <c r="A6" s="21">
        <v>5</v>
      </c>
      <c r="B6" s="22">
        <f>CARGAS!$C$40*Equilibrio!A6^2+CARGAS!$D$40*Equilibrio!A6+CARGAS!$E$40</f>
        <v>50.996718367346887</v>
      </c>
      <c r="C6" s="22">
        <f>CARGAS!$C$53*Equilibrio!A6^2+CARGAS!$D$53*Equilibrio!A6+CARGAS!$E$53</f>
        <v>8.4994530612244841</v>
      </c>
      <c r="D6">
        <f>IF(posisup=1,IF(A6&lt;=CARGAS!$E$68,sup,0),IF(posisup=2,IF(AND(A6&lt;=CARGAS!$E$69,A6&gt;=CARGAS!$D$69),sup,0),IF(posisup=3,IF(AND(A6&lt;=CARGAS!$E$70,A6&gt;=CARGAS!$D$70),sup,0),0)))</f>
        <v>617.4</v>
      </c>
      <c r="E6">
        <f>IF(A6&lt;=CARGAS!$H$25,CARGAS!$I$20,0)</f>
        <v>385.87499999999994</v>
      </c>
      <c r="F6" s="22">
        <f>IF(AND(A6&gt;CARGAS!$O$29,A6&lt;=CARGAS!$O$30),tanque1,0)</f>
        <v>0</v>
      </c>
      <c r="G6" s="22">
        <f>IF(AND(A6&gt;CARGAS!$R$29,A6&lt;=CARGAS!$R$30),tanque2,0)</f>
        <v>0</v>
      </c>
      <c r="H6" s="22">
        <f>IF(AND(A6&gt;CARGAS!$U$29,A6&lt;=CARGAS!$U$30),tanque3,0)</f>
        <v>0</v>
      </c>
      <c r="I6" s="22">
        <f>IF(AND(A6&gt;CARGAS!$X$29,A6&lt;=CARGAS!$X$30),tanque4,0)</f>
        <v>0</v>
      </c>
      <c r="J6" s="22">
        <f>IF(AND(A6&gt;CARGAS!$AA$29,A6&lt;=CARGAS!$AA$30),tanque5,0)</f>
        <v>0</v>
      </c>
      <c r="K6" s="22">
        <f>IF(AND($A6&gt;CARGAS!$AD$29,$A6&lt;=CARGAS!$AD$30),tanque6,0)</f>
        <v>0</v>
      </c>
      <c r="L6" s="22">
        <f>IF(AND($A6&gt;CARGAS!$AG$29,$A6&lt;=CARGAS!$AG$30),tanque7,0)</f>
        <v>0</v>
      </c>
      <c r="M6" s="22">
        <f>IF(AND($A6&gt;CARGAS!$AJ$29,$A6&lt;=CARGAS!$AJ$30),tanque8,0)</f>
        <v>0</v>
      </c>
      <c r="N6" s="22">
        <f t="shared" si="2"/>
        <v>1062.7711714285713</v>
      </c>
      <c r="O6" s="22">
        <f t="shared" si="0"/>
        <v>27.272913168773105</v>
      </c>
      <c r="P6" s="22">
        <f>O6*Equilibrio!Y$39*Equilibrio!Y$38*DADOS!C$4</f>
        <v>838.64207993977288</v>
      </c>
      <c r="Q6" s="22">
        <f t="shared" si="3"/>
        <v>224.12909148879839</v>
      </c>
      <c r="R6" s="22">
        <f t="shared" ref="R6:R68" si="5">R5+Q6</f>
        <v>1109.0226515557715</v>
      </c>
      <c r="S6" s="22">
        <f t="shared" si="4"/>
        <v>3315.846209099368</v>
      </c>
      <c r="T6" s="22">
        <f t="shared" si="1"/>
        <v>5313.8558571428566</v>
      </c>
    </row>
    <row r="7" spans="1:38" ht="19.5" customHeight="1" x14ac:dyDescent="0.25">
      <c r="A7" s="21">
        <v>6</v>
      </c>
      <c r="B7" s="22">
        <f>CARGAS!$C$40*Equilibrio!A7^2+CARGAS!$D$40*Equilibrio!A7+CARGAS!$E$40</f>
        <v>51.918743020408115</v>
      </c>
      <c r="C7" s="22">
        <f>CARGAS!$C$53*Equilibrio!A7^2+CARGAS!$D$53*Equilibrio!A7+CARGAS!$E$53</f>
        <v>8.6531238367346877</v>
      </c>
      <c r="D7">
        <f>IF(posisup=1,IF(A7&lt;=CARGAS!$E$68,sup,0),IF(posisup=2,IF(AND(A7&lt;=CARGAS!$E$69,A7&gt;=CARGAS!$D$69),sup,0),IF(posisup=3,IF(AND(A7&lt;=CARGAS!$E$70,A7&gt;=CARGAS!$D$70),sup,0),0)))</f>
        <v>617.4</v>
      </c>
      <c r="E7">
        <f>IF(A7&lt;=CARGAS!$H$25,CARGAS!$I$20,0)</f>
        <v>385.87499999999994</v>
      </c>
      <c r="F7" s="22">
        <f>IF(AND(A7&gt;CARGAS!$O$29,A7&lt;=CARGAS!$O$30),tanque1,0)</f>
        <v>0</v>
      </c>
      <c r="G7" s="22">
        <f>IF(AND(A7&gt;CARGAS!$R$29,A7&lt;=CARGAS!$R$30),tanque2,0)</f>
        <v>0</v>
      </c>
      <c r="H7" s="22">
        <f>IF(AND(A7&gt;CARGAS!$U$29,A7&lt;=CARGAS!$U$30),tanque3,0)</f>
        <v>0</v>
      </c>
      <c r="I7" s="22">
        <f>IF(AND(A7&gt;CARGAS!$X$29,A7&lt;=CARGAS!$X$30),tanque4,0)</f>
        <v>0</v>
      </c>
      <c r="J7" s="22">
        <f>IF(AND(A7&gt;CARGAS!$AA$29,A7&lt;=CARGAS!$AA$30),tanque5,0)</f>
        <v>0</v>
      </c>
      <c r="K7" s="22">
        <f>IF(AND($A7&gt;CARGAS!$AD$29,$A7&lt;=CARGAS!$AD$30),tanque6,0)</f>
        <v>0</v>
      </c>
      <c r="L7" s="22">
        <f>IF(AND($A7&gt;CARGAS!$AG$29,$A7&lt;=CARGAS!$AG$30),tanque7,0)</f>
        <v>0</v>
      </c>
      <c r="M7" s="22">
        <f>IF(AND($A7&gt;CARGAS!$AJ$29,$A7&lt;=CARGAS!$AJ$30),tanque8,0)</f>
        <v>0</v>
      </c>
      <c r="N7" s="22">
        <f t="shared" si="2"/>
        <v>1063.8468668571427</v>
      </c>
      <c r="O7" s="22">
        <f t="shared" si="0"/>
        <v>27.264887655365243</v>
      </c>
      <c r="P7" s="22">
        <f>O7*Equilibrio!Y$39*Equilibrio!Y$38*DADOS!C$4</f>
        <v>838.39529540248111</v>
      </c>
      <c r="Q7" s="22">
        <f t="shared" si="3"/>
        <v>225.45157145466158</v>
      </c>
      <c r="R7" s="22">
        <f t="shared" si="5"/>
        <v>1334.474223010433</v>
      </c>
      <c r="S7" s="22">
        <f t="shared" si="4"/>
        <v>4650.320432109801</v>
      </c>
      <c r="T7" s="22">
        <f t="shared" si="1"/>
        <v>6383.0812011428561</v>
      </c>
      <c r="X7" s="108" t="s">
        <v>21</v>
      </c>
      <c r="Y7" s="108"/>
      <c r="Z7" s="23">
        <f>180*AB7/PI()</f>
        <v>-0.42733091626033604</v>
      </c>
      <c r="AA7" s="19" t="s">
        <v>22</v>
      </c>
      <c r="AB7" s="23">
        <v>-7.4583314843070375E-3</v>
      </c>
      <c r="AK7" s="22"/>
      <c r="AL7" s="22"/>
    </row>
    <row r="8" spans="1:38" ht="19.5" customHeight="1" x14ac:dyDescent="0.25">
      <c r="A8" s="21">
        <v>7</v>
      </c>
      <c r="B8" s="22">
        <f>CARGAS!$C$40*Equilibrio!A8^2+CARGAS!$D$40*Equilibrio!A8+CARGAS!$E$40</f>
        <v>52.835327999999947</v>
      </c>
      <c r="C8" s="22">
        <f>CARGAS!$C$53*Equilibrio!A8^2+CARGAS!$D$53*Equilibrio!A8+CARGAS!$E$53</f>
        <v>8.8058879999999942</v>
      </c>
      <c r="D8">
        <f>IF(posisup=1,IF(A8&lt;=CARGAS!$E$68,sup,0),IF(posisup=2,IF(AND(A8&lt;=CARGAS!$E$69,A8&gt;=CARGAS!$D$69),sup,0),IF(posisup=3,IF(AND(A8&lt;=CARGAS!$E$70,A8&gt;=CARGAS!$D$70),sup,0),0)))</f>
        <v>617.4</v>
      </c>
      <c r="E8">
        <f>IF(A8&lt;=CARGAS!$H$25,CARGAS!$I$20,0)</f>
        <v>385.87499999999994</v>
      </c>
      <c r="F8" s="22">
        <f>IF(AND(A8&gt;CARGAS!$O$29,A8&lt;=CARGAS!$O$30),tanque1,0)</f>
        <v>0</v>
      </c>
      <c r="G8" s="22">
        <f>IF(AND(A8&gt;CARGAS!$R$29,A8&lt;=CARGAS!$R$30),tanque2,0)</f>
        <v>0</v>
      </c>
      <c r="H8" s="22">
        <f>IF(AND(A8&gt;CARGAS!$U$29,A8&lt;=CARGAS!$U$30),tanque3,0)</f>
        <v>0</v>
      </c>
      <c r="I8" s="22">
        <f>IF(AND(A8&gt;CARGAS!$X$29,A8&lt;=CARGAS!$X$30),tanque4,0)</f>
        <v>0</v>
      </c>
      <c r="J8" s="22">
        <f>IF(AND(A8&gt;CARGAS!$AA$29,A8&lt;=CARGAS!$AA$30),tanque5,0)</f>
        <v>0</v>
      </c>
      <c r="K8" s="22">
        <f>IF(AND($A8&gt;CARGAS!$AD$29,$A8&lt;=CARGAS!$AD$30),tanque6,0)</f>
        <v>0</v>
      </c>
      <c r="L8" s="22">
        <f>IF(AND($A8&gt;CARGAS!$AG$29,$A8&lt;=CARGAS!$AG$30),tanque7,0)</f>
        <v>0</v>
      </c>
      <c r="M8" s="22">
        <f>IF(AND($A8&gt;CARGAS!$AJ$29,$A8&lt;=CARGAS!$AJ$30),tanque8,0)</f>
        <v>0</v>
      </c>
      <c r="N8" s="22">
        <f t="shared" si="2"/>
        <v>1064.9162159999998</v>
      </c>
      <c r="O8" s="22">
        <f t="shared" si="0"/>
        <v>27.254058672379504</v>
      </c>
      <c r="P8" s="22">
        <f>O8*Equilibrio!Y$39*Equilibrio!Y$38*DADOS!C$4</f>
        <v>838.06230417566962</v>
      </c>
      <c r="Q8" s="22">
        <f t="shared" si="3"/>
        <v>226.85391182433023</v>
      </c>
      <c r="R8" s="22">
        <f t="shared" si="5"/>
        <v>1561.3281348347632</v>
      </c>
      <c r="S8" s="22">
        <f t="shared" si="4"/>
        <v>6211.6485669445647</v>
      </c>
      <c r="T8" s="22">
        <f t="shared" si="1"/>
        <v>7454.4135119999992</v>
      </c>
      <c r="X8" s="108" t="s">
        <v>23</v>
      </c>
      <c r="Y8" s="108"/>
      <c r="Z8" s="24">
        <v>19.826077959174544</v>
      </c>
      <c r="AK8" s="22"/>
      <c r="AL8" s="22"/>
    </row>
    <row r="9" spans="1:38" ht="19.5" customHeight="1" x14ac:dyDescent="0.25">
      <c r="A9" s="21">
        <v>8</v>
      </c>
      <c r="B9" s="22">
        <f>CARGAS!$C$40*Equilibrio!A9^2+CARGAS!$D$40*Equilibrio!A9+CARGAS!$E$40</f>
        <v>53.746473306122397</v>
      </c>
      <c r="C9" s="22">
        <f>CARGAS!$C$53*Equilibrio!A9^2+CARGAS!$D$53*Equilibrio!A9+CARGAS!$E$53</f>
        <v>8.9577455510204018</v>
      </c>
      <c r="D9">
        <f>IF(posisup=1,IF(A9&lt;=CARGAS!$E$68,sup,0),IF(posisup=2,IF(AND(A9&lt;=CARGAS!$E$69,A9&gt;=CARGAS!$D$69),sup,0),IF(posisup=3,IF(AND(A9&lt;=CARGAS!$E$70,A9&gt;=CARGAS!$D$70),sup,0),0)))</f>
        <v>617.4</v>
      </c>
      <c r="E9">
        <f>IF(A9&lt;=CARGAS!$H$25,CARGAS!$I$20,0)</f>
        <v>385.87499999999994</v>
      </c>
      <c r="F9" s="22">
        <f>IF(AND(A9&gt;CARGAS!$O$29,A9&lt;=CARGAS!$O$30),tanque1,0)</f>
        <v>0</v>
      </c>
      <c r="G9" s="22">
        <f>IF(AND(A9&gt;CARGAS!$R$29,A9&lt;=CARGAS!$R$30),tanque2,0)</f>
        <v>0</v>
      </c>
      <c r="H9" s="22">
        <f>IF(AND(A9&gt;CARGAS!$U$29,A9&lt;=CARGAS!$U$30),tanque3,0)</f>
        <v>0</v>
      </c>
      <c r="I9" s="22">
        <f>IF(AND(A9&gt;CARGAS!$X$29,A9&lt;=CARGAS!$X$30),tanque4,0)</f>
        <v>0</v>
      </c>
      <c r="J9" s="22">
        <f>IF(AND(A9&gt;CARGAS!$AA$29,A9&lt;=CARGAS!$AA$30),tanque5,0)</f>
        <v>0</v>
      </c>
      <c r="K9" s="22">
        <f>IF(AND($A9&gt;CARGAS!$AD$29,$A9&lt;=CARGAS!$AD$30),tanque6,0)</f>
        <v>0</v>
      </c>
      <c r="L9" s="22">
        <f>IF(AND($A9&gt;CARGAS!$AG$29,$A9&lt;=CARGAS!$AG$30),tanque7,0)</f>
        <v>0</v>
      </c>
      <c r="M9" s="22">
        <f>IF(AND($A9&gt;CARGAS!$AJ$29,$A9&lt;=CARGAS!$AJ$30),tanque8,0)</f>
        <v>0</v>
      </c>
      <c r="N9" s="22">
        <f t="shared" si="2"/>
        <v>1065.9792188571428</v>
      </c>
      <c r="O9" s="22">
        <f t="shared" si="0"/>
        <v>27.240432113206154</v>
      </c>
      <c r="P9" s="22">
        <f>O9*Equilibrio!Y$39*Equilibrio!Y$38*DADOS!C$4</f>
        <v>837.64328748108915</v>
      </c>
      <c r="Q9" s="22">
        <f t="shared" si="3"/>
        <v>228.33593137605362</v>
      </c>
      <c r="R9" s="22">
        <f>R8+Q9</f>
        <v>1789.6640662108168</v>
      </c>
      <c r="S9" s="22">
        <f t="shared" si="4"/>
        <v>8001.3126331553813</v>
      </c>
      <c r="T9" s="22">
        <f t="shared" si="1"/>
        <v>8527.8337508571421</v>
      </c>
      <c r="X9" s="108" t="s">
        <v>25</v>
      </c>
      <c r="Y9" s="108"/>
      <c r="Z9" s="24">
        <f>LOOKUP(2,1/(LEN(R:R)&gt;0),R:R)</f>
        <v>-2.6127875912607124E-5</v>
      </c>
    </row>
    <row r="10" spans="1:38" ht="19.5" customHeight="1" x14ac:dyDescent="0.25">
      <c r="A10" s="21">
        <v>9</v>
      </c>
      <c r="B10" s="22">
        <f>CARGAS!$C$40*Equilibrio!A10^2+CARGAS!$D$40*Equilibrio!A10+CARGAS!$E$40</f>
        <v>54.652178938775457</v>
      </c>
      <c r="C10" s="22">
        <f>CARGAS!$C$53*Equilibrio!A10^2+CARGAS!$D$53*Equilibrio!A10+CARGAS!$E$53</f>
        <v>9.1086964897959124</v>
      </c>
      <c r="D10">
        <f>IF(posisup=1,IF(A10&lt;=CARGAS!$E$68,sup,0),IF(posisup=2,IF(AND(A10&lt;=CARGAS!$E$69,A10&gt;=CARGAS!$D$69),sup,0),IF(posisup=3,IF(AND(A10&lt;=CARGAS!$E$70,A10&gt;=CARGAS!$D$70),sup,0),0)))</f>
        <v>617.4</v>
      </c>
      <c r="E10">
        <f>IF(A10&lt;=CARGAS!$H$25,CARGAS!$I$20,0)</f>
        <v>385.87499999999994</v>
      </c>
      <c r="F10" s="22">
        <f>IF(AND(A10&gt;CARGAS!$O$29,A10&lt;=CARGAS!$O$30),tanque1,0)</f>
        <v>0</v>
      </c>
      <c r="G10" s="22">
        <f>IF(AND(A10&gt;CARGAS!$R$29,A10&lt;=CARGAS!$R$30),tanque2,0)</f>
        <v>0</v>
      </c>
      <c r="H10" s="22">
        <f>IF(AND(A10&gt;CARGAS!$U$29,A10&lt;=CARGAS!$U$30),tanque3,0)</f>
        <v>0</v>
      </c>
      <c r="I10" s="22">
        <f>IF(AND(A10&gt;CARGAS!$X$29,A10&lt;=CARGAS!$X$30),tanque4,0)</f>
        <v>0</v>
      </c>
      <c r="J10" s="22">
        <f>IF(AND(A10&gt;CARGAS!$AA$29,A10&lt;=CARGAS!$AA$30),tanque5,0)</f>
        <v>0</v>
      </c>
      <c r="K10" s="22">
        <f>IF(AND($A10&gt;CARGAS!$AD$29,$A10&lt;=CARGAS!$AD$30),tanque6,0)</f>
        <v>0</v>
      </c>
      <c r="L10" s="22">
        <f>IF(AND($A10&gt;CARGAS!$AG$29,$A10&lt;=CARGAS!$AG$30),tanque7,0)</f>
        <v>0</v>
      </c>
      <c r="M10" s="22">
        <f>IF(AND($A10&gt;CARGAS!$AJ$29,$A10&lt;=CARGAS!$AJ$30),tanque8,0)</f>
        <v>0</v>
      </c>
      <c r="N10" s="22">
        <f t="shared" si="2"/>
        <v>1067.0358754285712</v>
      </c>
      <c r="O10" s="22">
        <f t="shared" si="0"/>
        <v>27.224014772793964</v>
      </c>
      <c r="P10" s="22">
        <f>O10*Equilibrio!Y$39*Equilibrio!Y$38*DADOS!C$4</f>
        <v>837.13845426341436</v>
      </c>
      <c r="Q10" s="22">
        <f t="shared" si="3"/>
        <v>229.89742116515686</v>
      </c>
      <c r="R10" s="22">
        <f t="shared" si="5"/>
        <v>2019.5614873759737</v>
      </c>
      <c r="S10" s="22">
        <f t="shared" si="4"/>
        <v>10020.874120531354</v>
      </c>
      <c r="T10" s="22">
        <f t="shared" si="1"/>
        <v>9603.3228788571414</v>
      </c>
      <c r="X10" s="108" t="s">
        <v>24</v>
      </c>
      <c r="Y10" s="108"/>
      <c r="Z10" s="24">
        <f>LOOKUP(2,1/(LEN(S:S)&gt;0),S:S)</f>
        <v>-2.9824252578691812E-7</v>
      </c>
      <c r="AA10" s="21" t="str">
        <f>IF(ABS(momentofletor)&gt;1,"Modificações foram feitas, atualize os resultados.","")</f>
        <v/>
      </c>
    </row>
    <row r="11" spans="1:38" ht="19.5" customHeight="1" x14ac:dyDescent="0.25">
      <c r="A11" s="21">
        <v>10</v>
      </c>
      <c r="B11" s="22">
        <f>CARGAS!$C$40*Equilibrio!A11^2+CARGAS!$D$40*Equilibrio!A11+CARGAS!$E$40</f>
        <v>55.552444897959134</v>
      </c>
      <c r="C11" s="22">
        <f>CARGAS!$C$53*Equilibrio!A11^2+CARGAS!$D$53*Equilibrio!A11+CARGAS!$E$53</f>
        <v>9.2587408163265241</v>
      </c>
      <c r="D11">
        <f>IF(posisup=1,IF(A11&lt;=CARGAS!$E$68,sup,0),IF(posisup=2,IF(AND(A11&lt;=CARGAS!$E$69,A11&gt;=CARGAS!$D$69),sup,0),IF(posisup=3,IF(AND(A11&lt;=CARGAS!$E$70,A11&gt;=CARGAS!$D$70),sup,0),0)))</f>
        <v>617.4</v>
      </c>
      <c r="E11">
        <f>IF(A11&lt;=CARGAS!$H$25,CARGAS!$I$20,0)</f>
        <v>385.87499999999994</v>
      </c>
      <c r="F11" s="22">
        <f>IF(AND(A11&gt;CARGAS!$O$29,A11&lt;=CARGAS!$O$30),tanque1,0)</f>
        <v>0</v>
      </c>
      <c r="G11" s="22">
        <f>IF(AND(A11&gt;CARGAS!$R$29,A11&lt;=CARGAS!$R$30),tanque2,0)</f>
        <v>0</v>
      </c>
      <c r="H11" s="22">
        <f>IF(AND(A11&gt;CARGAS!$U$29,A11&lt;=CARGAS!$U$30),tanque3,0)</f>
        <v>0</v>
      </c>
      <c r="I11" s="22">
        <f>IF(AND(A11&gt;CARGAS!$X$29,A11&lt;=CARGAS!$X$30),tanque4,0)</f>
        <v>0</v>
      </c>
      <c r="J11" s="22">
        <f>IF(AND(A11&gt;CARGAS!$AA$29,A11&lt;=CARGAS!$AA$30),tanque5,0)</f>
        <v>0</v>
      </c>
      <c r="K11" s="22">
        <f>IF(AND($A11&gt;CARGAS!$AD$29,$A11&lt;=CARGAS!$AD$30),tanque6,0)</f>
        <v>0</v>
      </c>
      <c r="L11" s="22">
        <f>IF(AND($A11&gt;CARGAS!$AG$29,$A11&lt;=CARGAS!$AG$30),tanque7,0)</f>
        <v>0</v>
      </c>
      <c r="M11" s="22">
        <f>IF(AND($A11&gt;CARGAS!$AJ$29,$A11&lt;=CARGAS!$AJ$30),tanque8,0)</f>
        <v>0</v>
      </c>
      <c r="N11" s="22">
        <f t="shared" si="2"/>
        <v>1068.0861857142856</v>
      </c>
      <c r="O11" s="22">
        <f t="shared" si="0"/>
        <v>27.204814345460417</v>
      </c>
      <c r="P11" s="22">
        <f>O11*Equilibrio!Y$39*Equilibrio!Y$38*DADOS!C$4</f>
        <v>836.54804112290776</v>
      </c>
      <c r="Q11" s="22">
        <f t="shared" si="3"/>
        <v>231.53814459137789</v>
      </c>
      <c r="R11" s="22">
        <f t="shared" si="5"/>
        <v>2251.0996319673513</v>
      </c>
      <c r="S11" s="22">
        <f t="shared" si="4"/>
        <v>12271.973752498707</v>
      </c>
      <c r="T11" s="22">
        <f t="shared" si="1"/>
        <v>10680.861857142856</v>
      </c>
    </row>
    <row r="12" spans="1:38" ht="19.5" customHeight="1" x14ac:dyDescent="0.25">
      <c r="A12" s="21">
        <v>11</v>
      </c>
      <c r="B12" s="22">
        <f>CARGAS!$C$40*Equilibrio!A12^2+CARGAS!$D$40*Equilibrio!A12+CARGAS!$E$40</f>
        <v>56.447271183673415</v>
      </c>
      <c r="C12" s="22">
        <f>CARGAS!$C$53*Equilibrio!A12^2+CARGAS!$D$53*Equilibrio!A12+CARGAS!$E$53</f>
        <v>9.4078785306122388</v>
      </c>
      <c r="D12">
        <f>IF(posisup=1,IF(A12&lt;=CARGAS!$E$68,sup,0),IF(posisup=2,IF(AND(A12&lt;=CARGAS!$E$69,A12&gt;=CARGAS!$D$69),sup,0),IF(posisup=3,IF(AND(A12&lt;=CARGAS!$E$70,A12&gt;=CARGAS!$D$70),sup,0),0)))</f>
        <v>617.4</v>
      </c>
      <c r="E12">
        <f>IF(A12&lt;=CARGAS!$H$25,CARGAS!$I$20,0)</f>
        <v>385.87499999999994</v>
      </c>
      <c r="F12" s="22">
        <f>IF(AND(A12&gt;CARGAS!$O$29,A12&lt;=CARGAS!$O$30),tanque1,0)</f>
        <v>0</v>
      </c>
      <c r="G12" s="22">
        <f>IF(AND(A12&gt;CARGAS!$R$29,A12&lt;=CARGAS!$R$30),tanque2,0)</f>
        <v>0</v>
      </c>
      <c r="H12" s="22">
        <f>IF(AND(A12&gt;CARGAS!$U$29,A12&lt;=CARGAS!$U$30),tanque3,0)</f>
        <v>0</v>
      </c>
      <c r="I12" s="22">
        <f>IF(AND(A12&gt;CARGAS!$X$29,A12&lt;=CARGAS!$X$30),tanque4,0)</f>
        <v>0</v>
      </c>
      <c r="J12" s="22">
        <f>IF(AND(A12&gt;CARGAS!$AA$29,A12&lt;=CARGAS!$AA$30),tanque5,0)</f>
        <v>0</v>
      </c>
      <c r="K12" s="22">
        <f>IF(AND($A12&gt;CARGAS!$AD$29,$A12&lt;=CARGAS!$AD$30),tanque6,0)</f>
        <v>0</v>
      </c>
      <c r="L12" s="22">
        <f>IF(AND($A12&gt;CARGAS!$AG$29,$A12&lt;=CARGAS!$AG$30),tanque7,0)</f>
        <v>0</v>
      </c>
      <c r="M12" s="22">
        <f>IF(AND($A12&gt;CARGAS!$AJ$29,$A12&lt;=CARGAS!$AJ$30),tanque8,0)</f>
        <v>0</v>
      </c>
      <c r="N12" s="22">
        <f t="shared" si="2"/>
        <v>1069.1301497142856</v>
      </c>
      <c r="O12" s="22">
        <f t="shared" si="0"/>
        <v>27.182839422412108</v>
      </c>
      <c r="P12" s="22">
        <f>O12*Equilibrio!Y$39*Equilibrio!Y$38*DADOS!C$4</f>
        <v>835.87231223917229</v>
      </c>
      <c r="Q12" s="22">
        <f t="shared" si="3"/>
        <v>233.25783747511332</v>
      </c>
      <c r="R12" s="22">
        <f t="shared" si="5"/>
        <v>2484.3574694424647</v>
      </c>
      <c r="S12" s="22">
        <f t="shared" si="4"/>
        <v>14756.331221941171</v>
      </c>
      <c r="T12" s="22">
        <f t="shared" si="1"/>
        <v>11760.431646857141</v>
      </c>
      <c r="X12" s="22">
        <f>MAX(O2:O191)</f>
        <v>27.280534732190766</v>
      </c>
      <c r="Y12" s="22">
        <f>SUM(N:N)</f>
        <v>213418.29989999995</v>
      </c>
    </row>
    <row r="13" spans="1:38" ht="19.5" customHeight="1" x14ac:dyDescent="0.25">
      <c r="A13" s="21">
        <v>12</v>
      </c>
      <c r="B13" s="22">
        <f>CARGAS!$C$40*Equilibrio!A13^2+CARGAS!$D$40*Equilibrio!A13+CARGAS!$E$40</f>
        <v>57.336657795918313</v>
      </c>
      <c r="C13" s="22">
        <f>CARGAS!$C$53*Equilibrio!A13^2+CARGAS!$D$53*Equilibrio!A13+CARGAS!$E$53</f>
        <v>9.5561096326530546</v>
      </c>
      <c r="D13">
        <f>IF(posisup=1,IF(A13&lt;=CARGAS!$E$68,sup,0),IF(posisup=2,IF(AND(A13&lt;=CARGAS!$E$69,A13&gt;=CARGAS!$D$69),sup,0),IF(posisup=3,IF(AND(A13&lt;=CARGAS!$E$70,A13&gt;=CARGAS!$D$70),sup,0),0)))</f>
        <v>617.4</v>
      </c>
      <c r="E13">
        <f>IF(A13&lt;=CARGAS!$H$25,CARGAS!$I$20,0)</f>
        <v>385.87499999999994</v>
      </c>
      <c r="F13" s="22">
        <f>IF(AND(A13&gt;CARGAS!$O$29,A13&lt;=CARGAS!$O$30),tanque1,0)</f>
        <v>0</v>
      </c>
      <c r="G13" s="22">
        <f>IF(AND(A13&gt;CARGAS!$R$29,A13&lt;=CARGAS!$R$30),tanque2,0)</f>
        <v>0</v>
      </c>
      <c r="H13" s="22">
        <f>IF(AND(A13&gt;CARGAS!$U$29,A13&lt;=CARGAS!$U$30),tanque3,0)</f>
        <v>0</v>
      </c>
      <c r="I13" s="22">
        <f>IF(AND(A13&gt;CARGAS!$X$29,A13&lt;=CARGAS!$X$30),tanque4,0)</f>
        <v>0</v>
      </c>
      <c r="J13" s="22">
        <f>IF(AND(A13&gt;CARGAS!$AA$29,A13&lt;=CARGAS!$AA$30),tanque5,0)</f>
        <v>0</v>
      </c>
      <c r="K13" s="22">
        <f>IF(AND($A13&gt;CARGAS!$AD$29,$A13&lt;=CARGAS!$AD$30),tanque6,0)</f>
        <v>0</v>
      </c>
      <c r="L13" s="22">
        <f>IF(AND($A13&gt;CARGAS!$AG$29,$A13&lt;=CARGAS!$AG$30),tanque7,0)</f>
        <v>0</v>
      </c>
      <c r="M13" s="22">
        <f>IF(AND($A13&gt;CARGAS!$AJ$29,$A13&lt;=CARGAS!$AJ$30),tanque8,0)</f>
        <v>0</v>
      </c>
      <c r="N13" s="22">
        <f t="shared" si="2"/>
        <v>1070.1677674285713</v>
      </c>
      <c r="O13" s="22">
        <f t="shared" si="0"/>
        <v>27.158099488976131</v>
      </c>
      <c r="P13" s="22">
        <f>O13*Equilibrio!Y$39*Equilibrio!Y$38*DADOS!C$4</f>
        <v>835.1115592860159</v>
      </c>
      <c r="Q13" s="22">
        <f t="shared" si="3"/>
        <v>235.05620814255542</v>
      </c>
      <c r="R13" s="22">
        <f t="shared" si="5"/>
        <v>2719.4136775850202</v>
      </c>
      <c r="S13" s="22">
        <f t="shared" si="4"/>
        <v>17475.744899526191</v>
      </c>
      <c r="T13" s="22">
        <f t="shared" si="1"/>
        <v>12842.013209142857</v>
      </c>
      <c r="X13" s="22">
        <f>O2-LOOKUP(2,1/(LEN(O:O)&gt;0),O:O)</f>
        <v>-2.6044158593740541</v>
      </c>
    </row>
    <row r="14" spans="1:38" ht="19.5" customHeight="1" x14ac:dyDescent="0.25">
      <c r="A14" s="21">
        <v>13</v>
      </c>
      <c r="B14" s="22">
        <f>CARGAS!$C$40*Equilibrio!A14^2+CARGAS!$D$40*Equilibrio!A14+CARGAS!$E$40</f>
        <v>58.220604734693822</v>
      </c>
      <c r="C14" s="22">
        <f>CARGAS!$C$53*Equilibrio!A14^2+CARGAS!$D$53*Equilibrio!A14+CARGAS!$E$53</f>
        <v>9.7034341224489733</v>
      </c>
      <c r="D14">
        <f>IF(posisup=1,IF(A14&lt;=CARGAS!$E$68,sup,0),IF(posisup=2,IF(AND(A14&lt;=CARGAS!$E$69,A14&gt;=CARGAS!$D$69),sup,0),IF(posisup=3,IF(AND(A14&lt;=CARGAS!$E$70,A14&gt;=CARGAS!$D$70),sup,0),0)))</f>
        <v>617.4</v>
      </c>
      <c r="E14">
        <f>IF(A14&lt;=CARGAS!$H$25,CARGAS!$I$20,0)</f>
        <v>385.87499999999994</v>
      </c>
      <c r="F14" s="22">
        <f>IF(AND(A14&gt;CARGAS!$O$29,A14&lt;=CARGAS!$O$30),tanque1,0)</f>
        <v>0</v>
      </c>
      <c r="G14" s="22">
        <f>IF(AND(A14&gt;CARGAS!$R$29,A14&lt;=CARGAS!$R$30),tanque2,0)</f>
        <v>0</v>
      </c>
      <c r="H14" s="22">
        <f>IF(AND(A14&gt;CARGAS!$U$29,A14&lt;=CARGAS!$U$30),tanque3,0)</f>
        <v>0</v>
      </c>
      <c r="I14" s="22">
        <f>IF(AND(A14&gt;CARGAS!$X$29,A14&lt;=CARGAS!$X$30),tanque4,0)</f>
        <v>0</v>
      </c>
      <c r="J14" s="22">
        <f>IF(AND(A14&gt;CARGAS!$AA$29,A14&lt;=CARGAS!$AA$30),tanque5,0)</f>
        <v>0</v>
      </c>
      <c r="K14" s="22">
        <f>IF(AND($A14&gt;CARGAS!$AD$29,$A14&lt;=CARGAS!$AD$30),tanque6,0)</f>
        <v>0</v>
      </c>
      <c r="L14" s="22">
        <f>IF(AND($A14&gt;CARGAS!$AG$29,$A14&lt;=CARGAS!$AG$30),tanque7,0)</f>
        <v>0</v>
      </c>
      <c r="M14" s="22">
        <f>IF(AND($A14&gt;CARGAS!$AJ$29,$A14&lt;=CARGAS!$AJ$30),tanque8,0)</f>
        <v>0</v>
      </c>
      <c r="N14" s="22">
        <f t="shared" si="2"/>
        <v>1071.1990388571428</v>
      </c>
      <c r="O14" s="22">
        <f t="shared" si="0"/>
        <v>27.130604921543256</v>
      </c>
      <c r="P14" s="22">
        <f>O14*Equilibrio!Y$39*Equilibrio!Y$38*DADOS!C$4</f>
        <v>834.26610133745498</v>
      </c>
      <c r="Q14" s="22">
        <f t="shared" si="3"/>
        <v>236.93293751968781</v>
      </c>
      <c r="R14" s="22">
        <f t="shared" si="5"/>
        <v>2956.3466151047078</v>
      </c>
      <c r="S14" s="22">
        <f t="shared" si="4"/>
        <v>20432.091514630898</v>
      </c>
      <c r="T14" s="22">
        <f t="shared" si="1"/>
        <v>13925.587505142856</v>
      </c>
      <c r="X14" s="19" t="s">
        <v>33</v>
      </c>
      <c r="Y14" s="22">
        <f>SUM(T:T)/SUM(N:N)</f>
        <v>179.56019700258136</v>
      </c>
    </row>
    <row r="15" spans="1:38" x14ac:dyDescent="0.25">
      <c r="A15" s="21">
        <v>14</v>
      </c>
      <c r="B15" s="22">
        <f>CARGAS!$C$40*Equilibrio!A15^2+CARGAS!$D$40*Equilibrio!A15+CARGAS!$E$40</f>
        <v>59.099111999999948</v>
      </c>
      <c r="C15" s="22">
        <f>CARGAS!$C$53*Equilibrio!A15^2+CARGAS!$D$53*Equilibrio!A15+CARGAS!$E$53</f>
        <v>9.8498519999999949</v>
      </c>
      <c r="D15">
        <f>IF(posisup=1,IF(A15&lt;=CARGAS!$E$68,sup,0),IF(posisup=2,IF(AND(A15&lt;=CARGAS!$E$69,A15&gt;=CARGAS!$D$69),sup,0),IF(posisup=3,IF(AND(A15&lt;=CARGAS!$E$70,A15&gt;=CARGAS!$D$70),sup,0),0)))</f>
        <v>617.4</v>
      </c>
      <c r="E15">
        <f>IF(A15&lt;=CARGAS!$H$25,CARGAS!$I$20,0)</f>
        <v>385.87499999999994</v>
      </c>
      <c r="F15" s="22">
        <f>IF(AND(A15&gt;CARGAS!$O$29,A15&lt;=CARGAS!$O$30),tanque1,0)</f>
        <v>0</v>
      </c>
      <c r="G15" s="22">
        <f>IF(AND(A15&gt;CARGAS!$R$29,A15&lt;=CARGAS!$R$30),tanque2,0)</f>
        <v>0</v>
      </c>
      <c r="H15" s="22">
        <f>IF(AND(A15&gt;CARGAS!$U$29,A15&lt;=CARGAS!$U$30),tanque3,0)</f>
        <v>0</v>
      </c>
      <c r="I15" s="22">
        <f>IF(AND(A15&gt;CARGAS!$X$29,A15&lt;=CARGAS!$X$30),tanque4,0)</f>
        <v>0</v>
      </c>
      <c r="J15" s="22">
        <f>IF(AND(A15&gt;CARGAS!$AA$29,A15&lt;=CARGAS!$AA$30),tanque5,0)</f>
        <v>0</v>
      </c>
      <c r="K15" s="22">
        <f>IF(AND($A15&gt;CARGAS!$AD$29,$A15&lt;=CARGAS!$AD$30),tanque6,0)</f>
        <v>0</v>
      </c>
      <c r="L15" s="22">
        <f>IF(AND($A15&gt;CARGAS!$AG$29,$A15&lt;=CARGAS!$AG$30),tanque7,0)</f>
        <v>0</v>
      </c>
      <c r="M15" s="22">
        <f>IF(AND($A15&gt;CARGAS!$AJ$29,$A15&lt;=CARGAS!$AJ$30),tanque8,0)</f>
        <v>0</v>
      </c>
      <c r="N15" s="22">
        <f t="shared" si="2"/>
        <v>1072.2239639999998</v>
      </c>
      <c r="O15" s="22">
        <f t="shared" si="0"/>
        <v>27.100366984224038</v>
      </c>
      <c r="P15" s="22">
        <f>O15*Equilibrio!Y$39*Equilibrio!Y$38*DADOS!C$4</f>
        <v>833.33628476488911</v>
      </c>
      <c r="Q15" s="22">
        <f t="shared" si="3"/>
        <v>238.88767923511068</v>
      </c>
      <c r="R15" s="22">
        <f t="shared" si="5"/>
        <v>3195.2342943398185</v>
      </c>
      <c r="S15" s="22">
        <f t="shared" si="4"/>
        <v>23627.325808970716</v>
      </c>
      <c r="T15" s="22">
        <f t="shared" si="1"/>
        <v>15011.135495999997</v>
      </c>
    </row>
    <row r="16" spans="1:38" x14ac:dyDescent="0.25">
      <c r="A16" s="21">
        <v>15</v>
      </c>
      <c r="B16" s="22">
        <f>CARGAS!$C$40*Equilibrio!A16^2+CARGAS!$D$40*Equilibrio!A16+CARGAS!$E$40</f>
        <v>59.972179591836678</v>
      </c>
      <c r="C16" s="22">
        <f>CARGAS!$C$53*Equilibrio!A16^2+CARGAS!$D$53*Equilibrio!A16+CARGAS!$E$53</f>
        <v>9.995363265306116</v>
      </c>
      <c r="D16">
        <f>IF(posisup=1,IF(A16&lt;=CARGAS!$E$68,sup,0),IF(posisup=2,IF(AND(A16&lt;=CARGAS!$E$69,A16&gt;=CARGAS!$D$69),sup,0),IF(posisup=3,IF(AND(A16&lt;=CARGAS!$E$70,A16&gt;=CARGAS!$D$70),sup,0),0)))</f>
        <v>617.4</v>
      </c>
      <c r="E16">
        <f>IF(A16&lt;=CARGAS!$H$25,CARGAS!$I$20,0)</f>
        <v>385.87499999999994</v>
      </c>
      <c r="F16" s="22">
        <f>IF(AND(A16&gt;CARGAS!$O$29,A16&lt;=CARGAS!$O$30),tanque1,0)</f>
        <v>0</v>
      </c>
      <c r="G16" s="22">
        <f>IF(AND(A16&gt;CARGAS!$R$29,A16&lt;=CARGAS!$R$30),tanque2,0)</f>
        <v>0</v>
      </c>
      <c r="H16" s="22">
        <f>IF(AND(A16&gt;CARGAS!$U$29,A16&lt;=CARGAS!$U$30),tanque3,0)</f>
        <v>0</v>
      </c>
      <c r="I16" s="22">
        <f>IF(AND(A16&gt;CARGAS!$X$29,A16&lt;=CARGAS!$X$30),tanque4,0)</f>
        <v>0</v>
      </c>
      <c r="J16" s="22">
        <f>IF(AND(A16&gt;CARGAS!$AA$29,A16&lt;=CARGAS!$AA$30),tanque5,0)</f>
        <v>0</v>
      </c>
      <c r="K16" s="22">
        <f>IF(AND($A16&gt;CARGAS!$AD$29,$A16&lt;=CARGAS!$AD$30),tanque6,0)</f>
        <v>0</v>
      </c>
      <c r="L16" s="22">
        <f>IF(AND($A16&gt;CARGAS!$AG$29,$A16&lt;=CARGAS!$AG$30),tanque7,0)</f>
        <v>0</v>
      </c>
      <c r="M16" s="22">
        <f>IF(AND($A16&gt;CARGAS!$AJ$29,$A16&lt;=CARGAS!$AJ$30),tanque8,0)</f>
        <v>0</v>
      </c>
      <c r="N16" s="22">
        <f t="shared" si="2"/>
        <v>1073.2425428571428</v>
      </c>
      <c r="O16" s="22">
        <f t="shared" si="0"/>
        <v>27.067397825218762</v>
      </c>
      <c r="P16" s="22">
        <f>O16*Equilibrio!Y$39*Equilibrio!Y$38*DADOS!C$4</f>
        <v>832.32248312547688</v>
      </c>
      <c r="Q16" s="22">
        <f t="shared" si="3"/>
        <v>240.9200597316659</v>
      </c>
      <c r="R16" s="22">
        <f t="shared" si="5"/>
        <v>3436.1543540714842</v>
      </c>
      <c r="S16" s="22">
        <f t="shared" si="4"/>
        <v>27063.480163042201</v>
      </c>
      <c r="T16" s="22">
        <f t="shared" si="1"/>
        <v>16098.638142857142</v>
      </c>
      <c r="X16" s="21" t="s">
        <v>111</v>
      </c>
      <c r="Y16" s="21">
        <f>MAX(S:S)</f>
        <v>105175.5942498051</v>
      </c>
      <c r="Z16" s="21">
        <f>ABS(Y16)</f>
        <v>105175.5942498051</v>
      </c>
      <c r="AB16" s="21">
        <f>MAX(R:R)</f>
        <v>14679.127750135267</v>
      </c>
      <c r="AC16" s="21">
        <f>ABS(AB16)</f>
        <v>14679.127750135267</v>
      </c>
    </row>
    <row r="17" spans="1:29" x14ac:dyDescent="0.25">
      <c r="A17" s="21">
        <v>16</v>
      </c>
      <c r="B17" s="22">
        <f>CARGAS!$C$40*Equilibrio!A17^2+CARGAS!$D$40*Equilibrio!A17+CARGAS!$E$40</f>
        <v>60.839807510204025</v>
      </c>
      <c r="C17" s="22">
        <f>CARGAS!$C$53*Equilibrio!A17^2+CARGAS!$D$53*Equilibrio!A17+CARGAS!$E$53</f>
        <v>10.13996791836734</v>
      </c>
      <c r="D17">
        <f>IF(posisup=1,IF(A17&lt;=CARGAS!$E$68,sup,0),IF(posisup=2,IF(AND(A17&lt;=CARGAS!$E$69,A17&gt;=CARGAS!$D$69),sup,0),IF(posisup=3,IF(AND(A17&lt;=CARGAS!$E$70,A17&gt;=CARGAS!$D$70),sup,0),0)))</f>
        <v>617.4</v>
      </c>
      <c r="E17">
        <f>IF(A17&lt;=CARGAS!$H$25,CARGAS!$I$20,0)</f>
        <v>385.87499999999994</v>
      </c>
      <c r="F17" s="22">
        <f>IF(AND(A17&gt;CARGAS!$O$29,A17&lt;=CARGAS!$O$30),tanque1,0)</f>
        <v>0</v>
      </c>
      <c r="G17" s="22">
        <f>IF(AND(A17&gt;CARGAS!$R$29,A17&lt;=CARGAS!$R$30),tanque2,0)</f>
        <v>0</v>
      </c>
      <c r="H17" s="22">
        <f>IF(AND(A17&gt;CARGAS!$U$29,A17&lt;=CARGAS!$U$30),tanque3,0)</f>
        <v>0</v>
      </c>
      <c r="I17" s="22">
        <f>IF(AND(A17&gt;CARGAS!$X$29,A17&lt;=CARGAS!$X$30),tanque4,0)</f>
        <v>0</v>
      </c>
      <c r="J17" s="22">
        <f>IF(AND(A17&gt;CARGAS!$AA$29,A17&lt;=CARGAS!$AA$30),tanque5,0)</f>
        <v>0</v>
      </c>
      <c r="K17" s="22">
        <f>IF(AND($A17&gt;CARGAS!$AD$29,$A17&lt;=CARGAS!$AD$30),tanque6,0)</f>
        <v>0</v>
      </c>
      <c r="L17" s="22">
        <f>IF(AND($A17&gt;CARGAS!$AG$29,$A17&lt;=CARGAS!$AG$30),tanque7,0)</f>
        <v>0</v>
      </c>
      <c r="M17" s="22">
        <f>IF(AND($A17&gt;CARGAS!$AJ$29,$A17&lt;=CARGAS!$AJ$30),tanque8,0)</f>
        <v>0</v>
      </c>
      <c r="N17" s="22">
        <f t="shared" si="2"/>
        <v>1074.2547754285713</v>
      </c>
      <c r="O17" s="22">
        <f t="shared" si="0"/>
        <v>27.031710472902525</v>
      </c>
      <c r="P17" s="22">
        <f>O17*Equilibrio!Y$39*Equilibrio!Y$38*DADOS!C$4</f>
        <v>831.22509704175252</v>
      </c>
      <c r="Q17" s="22">
        <f t="shared" si="3"/>
        <v>243.02967838681877</v>
      </c>
      <c r="R17" s="22">
        <f t="shared" si="5"/>
        <v>3679.1840324583031</v>
      </c>
      <c r="S17" s="22">
        <f t="shared" si="4"/>
        <v>30742.664195500503</v>
      </c>
      <c r="T17" s="22">
        <f t="shared" si="1"/>
        <v>17188.076406857141</v>
      </c>
      <c r="X17" s="21" t="s">
        <v>110</v>
      </c>
      <c r="Y17" s="21">
        <f>MIN(S:S)</f>
        <v>-1643672.8178117978</v>
      </c>
      <c r="Z17" s="21">
        <f>ABS(Y17)</f>
        <v>1643672.8178117978</v>
      </c>
      <c r="AB17" s="21">
        <f>MIN(R:R)</f>
        <v>-19642.200564502644</v>
      </c>
      <c r="AC17" s="21">
        <f>ABS(AB17)</f>
        <v>19642.200564502644</v>
      </c>
    </row>
    <row r="18" spans="1:29" x14ac:dyDescent="0.25">
      <c r="A18" s="21">
        <v>17</v>
      </c>
      <c r="B18" s="22">
        <f>CARGAS!$C$40*Equilibrio!A18^2+CARGAS!$D$40*Equilibrio!A18+CARGAS!$E$40</f>
        <v>61.701995755101983</v>
      </c>
      <c r="C18" s="22">
        <f>CARGAS!$C$53*Equilibrio!A18^2+CARGAS!$D$53*Equilibrio!A18+CARGAS!$E$53</f>
        <v>10.283665959183669</v>
      </c>
      <c r="D18">
        <f>IF(posisup=1,IF(A18&lt;=CARGAS!$E$68,sup,0),IF(posisup=2,IF(AND(A18&lt;=CARGAS!$E$69,A18&gt;=CARGAS!$D$69),sup,0),IF(posisup=3,IF(AND(A18&lt;=CARGAS!$E$70,A18&gt;=CARGAS!$D$70),sup,0),0)))</f>
        <v>617.4</v>
      </c>
      <c r="E18">
        <f>IF(A18&lt;=CARGAS!$H$25,CARGAS!$I$20,0)</f>
        <v>385.87499999999994</v>
      </c>
      <c r="F18" s="22">
        <f>IF(AND(A18&gt;CARGAS!$O$29,A18&lt;=CARGAS!$O$30),tanque1,0)</f>
        <v>0</v>
      </c>
      <c r="G18" s="22">
        <f>IF(AND(A18&gt;CARGAS!$R$29,A18&lt;=CARGAS!$R$30),tanque2,0)</f>
        <v>0</v>
      </c>
      <c r="H18" s="22">
        <f>IF(AND(A18&gt;CARGAS!$U$29,A18&lt;=CARGAS!$U$30),tanque3,0)</f>
        <v>0</v>
      </c>
      <c r="I18" s="22">
        <f>IF(AND(A18&gt;CARGAS!$X$29,A18&lt;=CARGAS!$X$30),tanque4,0)</f>
        <v>0</v>
      </c>
      <c r="J18" s="22">
        <f>IF(AND(A18&gt;CARGAS!$AA$29,A18&lt;=CARGAS!$AA$30),tanque5,0)</f>
        <v>0</v>
      </c>
      <c r="K18" s="22">
        <f>IF(AND($A18&gt;CARGAS!$AD$29,$A18&lt;=CARGAS!$AD$30),tanque6,0)</f>
        <v>0</v>
      </c>
      <c r="L18" s="22">
        <f>IF(AND($A18&gt;CARGAS!$AG$29,$A18&lt;=CARGAS!$AG$30),tanque7,0)</f>
        <v>0</v>
      </c>
      <c r="M18" s="22">
        <f>IF(AND($A18&gt;CARGAS!$AJ$29,$A18&lt;=CARGAS!$AJ$30),tanque8,0)</f>
        <v>0</v>
      </c>
      <c r="N18" s="22">
        <f t="shared" si="2"/>
        <v>1075.2606617142856</v>
      </c>
      <c r="O18" s="22">
        <f t="shared" si="0"/>
        <v>26.993318831626656</v>
      </c>
      <c r="P18" s="22">
        <f>O18*Equilibrio!Y$39*Equilibrio!Y$38*DADOS!C$4</f>
        <v>830.04455407251965</v>
      </c>
      <c r="Q18" s="22">
        <f t="shared" si="3"/>
        <v>245.21610764176592</v>
      </c>
      <c r="R18" s="22">
        <f t="shared" si="5"/>
        <v>3924.4001401000692</v>
      </c>
      <c r="S18" s="22">
        <f t="shared" si="4"/>
        <v>34667.064335600575</v>
      </c>
      <c r="T18" s="22">
        <f t="shared" si="1"/>
        <v>18279.431249142854</v>
      </c>
      <c r="Z18" s="21">
        <f>IF(Z17&gt;Z16,Y17,Z16)</f>
        <v>-1643672.8178117978</v>
      </c>
      <c r="AC18" s="21">
        <f>IF(AC17&gt;AC16,AB17,AC16)</f>
        <v>-19642.200564502644</v>
      </c>
    </row>
    <row r="19" spans="1:29" ht="15" customHeight="1" x14ac:dyDescent="0.25">
      <c r="A19" s="21">
        <v>18</v>
      </c>
      <c r="B19" s="22">
        <f>CARGAS!$C$40*Equilibrio!A19^2+CARGAS!$D$40*Equilibrio!A19+CARGAS!$E$40</f>
        <v>62.558744326530558</v>
      </c>
      <c r="C19" s="22">
        <f>CARGAS!$C$53*Equilibrio!A19^2+CARGAS!$D$53*Equilibrio!A19+CARGAS!$E$53</f>
        <v>10.426457387755097</v>
      </c>
      <c r="D19">
        <f>IF(posisup=1,IF(A19&lt;=CARGAS!$E$68,sup,0),IF(posisup=2,IF(AND(A19&lt;=CARGAS!$E$69,A19&gt;=CARGAS!$D$69),sup,0),IF(posisup=3,IF(AND(A19&lt;=CARGAS!$E$70,A19&gt;=CARGAS!$D$70),sup,0),0)))</f>
        <v>617.4</v>
      </c>
      <c r="E19">
        <f>IF(A19&lt;=CARGAS!$H$25,CARGAS!$I$20,0)</f>
        <v>385.87499999999994</v>
      </c>
      <c r="F19" s="22">
        <f>IF(AND(A19&gt;CARGAS!$O$29,A19&lt;=CARGAS!$O$30),tanque1,0)</f>
        <v>0</v>
      </c>
      <c r="G19" s="22">
        <f>IF(AND(A19&gt;CARGAS!$R$29,A19&lt;=CARGAS!$R$30),tanque2,0)</f>
        <v>0</v>
      </c>
      <c r="H19" s="22">
        <f>IF(AND(A19&gt;CARGAS!$U$29,A19&lt;=CARGAS!$U$30),tanque3,0)</f>
        <v>0</v>
      </c>
      <c r="I19" s="22">
        <f>IF(AND(A19&gt;CARGAS!$X$29,A19&lt;=CARGAS!$X$30),tanque4,0)</f>
        <v>0</v>
      </c>
      <c r="J19" s="22">
        <f>IF(AND(A19&gt;CARGAS!$AA$29,A19&lt;=CARGAS!$AA$30),tanque5,0)</f>
        <v>0</v>
      </c>
      <c r="K19" s="22">
        <f>IF(AND($A19&gt;CARGAS!$AD$29,$A19&lt;=CARGAS!$AD$30),tanque6,0)</f>
        <v>0</v>
      </c>
      <c r="L19" s="22">
        <f>IF(AND($A19&gt;CARGAS!$AG$29,$A19&lt;=CARGAS!$AG$30),tanque7,0)</f>
        <v>0</v>
      </c>
      <c r="M19" s="22">
        <f>IF(AND($A19&gt;CARGAS!$AJ$29,$A19&lt;=CARGAS!$AJ$30),tanque8,0)</f>
        <v>0</v>
      </c>
      <c r="N19" s="22">
        <f t="shared" si="2"/>
        <v>1076.2602017142856</v>
      </c>
      <c r="O19" s="22">
        <f t="shared" si="0"/>
        <v>26.952237677237861</v>
      </c>
      <c r="P19" s="22">
        <f>O19*Equilibrio!Y$39*Equilibrio!Y$38*DADOS!C$4</f>
        <v>828.78130857506414</v>
      </c>
      <c r="Q19" s="22">
        <f t="shared" si="3"/>
        <v>247.47889313922144</v>
      </c>
      <c r="R19" s="22">
        <f t="shared" si="5"/>
        <v>4171.8790332392909</v>
      </c>
      <c r="S19" s="22">
        <f t="shared" si="4"/>
        <v>38838.943368839864</v>
      </c>
      <c r="T19" s="22">
        <f t="shared" si="1"/>
        <v>19372.68363085714</v>
      </c>
    </row>
    <row r="20" spans="1:29" ht="14.45" customHeight="1" x14ac:dyDescent="0.25">
      <c r="A20" s="21">
        <v>19</v>
      </c>
      <c r="B20" s="22">
        <f>CARGAS!$C$40*Equilibrio!A20^2+CARGAS!$D$40*Equilibrio!A20+CARGAS!$E$40</f>
        <v>63.410053224489744</v>
      </c>
      <c r="C20" s="22">
        <f>CARGAS!$C$53*Equilibrio!A20^2+CARGAS!$D$53*Equilibrio!A20+CARGAS!$E$53</f>
        <v>10.568342204081628</v>
      </c>
      <c r="D20">
        <f>IF(posisup=1,IF(A20&lt;=CARGAS!$E$68,sup,0),IF(posisup=2,IF(AND(A20&lt;=CARGAS!$E$69,A20&gt;=CARGAS!$D$69),sup,0),IF(posisup=3,IF(AND(A20&lt;=CARGAS!$E$70,A20&gt;=CARGAS!$D$70),sup,0),0)))</f>
        <v>617.4</v>
      </c>
      <c r="E20">
        <f>IF(A20&lt;=CARGAS!$H$25,CARGAS!$I$20,0)</f>
        <v>385.87499999999994</v>
      </c>
      <c r="F20" s="22">
        <f>IF(AND(A20&gt;CARGAS!$O$29,A20&lt;=CARGAS!$O$30),tanque1,0)</f>
        <v>0</v>
      </c>
      <c r="G20" s="22">
        <f>IF(AND(A20&gt;CARGAS!$R$29,A20&lt;=CARGAS!$R$30),tanque2,0)</f>
        <v>0</v>
      </c>
      <c r="H20" s="22">
        <f>IF(AND(A20&gt;CARGAS!$U$29,A20&lt;=CARGAS!$U$30),tanque3,0)</f>
        <v>0</v>
      </c>
      <c r="I20" s="22">
        <f>IF(AND(A20&gt;CARGAS!$X$29,A20&lt;=CARGAS!$X$30),tanque4,0)</f>
        <v>0</v>
      </c>
      <c r="J20" s="22">
        <f>IF(AND(A20&gt;CARGAS!$AA$29,A20&lt;=CARGAS!$AA$30),tanque5,0)</f>
        <v>0</v>
      </c>
      <c r="K20" s="22">
        <f>IF(AND($A20&gt;CARGAS!$AD$29,$A20&lt;=CARGAS!$AD$30),tanque6,0)</f>
        <v>0</v>
      </c>
      <c r="L20" s="22">
        <f>IF(AND($A20&gt;CARGAS!$AG$29,$A20&lt;=CARGAS!$AG$30),tanque7,0)</f>
        <v>0</v>
      </c>
      <c r="M20" s="22">
        <f>IF(AND($A20&gt;CARGAS!$AJ$29,$A20&lt;=CARGAS!$AJ$30),tanque8,0)</f>
        <v>0</v>
      </c>
      <c r="N20" s="22">
        <f t="shared" si="2"/>
        <v>1077.2533954285714</v>
      </c>
      <c r="O20" s="22">
        <f t="shared" si="0"/>
        <v>26.908482652316465</v>
      </c>
      <c r="P20" s="22">
        <f>O20*Equilibrio!Y$39*Equilibrio!Y$38*DADOS!C$4</f>
        <v>827.43584155873123</v>
      </c>
      <c r="Q20" s="22">
        <f t="shared" si="3"/>
        <v>249.81755386984014</v>
      </c>
      <c r="R20" s="22">
        <f t="shared" si="5"/>
        <v>4421.6965871091306</v>
      </c>
      <c r="S20" s="22">
        <f t="shared" si="4"/>
        <v>43260.639955948995</v>
      </c>
      <c r="T20" s="22">
        <f t="shared" si="1"/>
        <v>20467.814513142857</v>
      </c>
    </row>
    <row r="21" spans="1:29" x14ac:dyDescent="0.25">
      <c r="A21" s="21">
        <v>20</v>
      </c>
      <c r="B21" s="22">
        <f>CARGAS!$C$40*Equilibrio!A21^2+CARGAS!$D$40*Equilibrio!A21+CARGAS!$E$40</f>
        <v>64.255922448979533</v>
      </c>
      <c r="C21" s="22">
        <f>CARGAS!$C$53*Equilibrio!A21^2+CARGAS!$D$53*Equilibrio!A21+CARGAS!$E$53</f>
        <v>10.70932040816326</v>
      </c>
      <c r="D21">
        <f>IF(posisup=1,IF(A21&lt;=CARGAS!$E$68,sup,0),IF(posisup=2,IF(AND(A21&lt;=CARGAS!$E$69,A21&gt;=CARGAS!$D$69),sup,0),IF(posisup=3,IF(AND(A21&lt;=CARGAS!$E$70,A21&gt;=CARGAS!$D$70),sup,0),0)))</f>
        <v>617.4</v>
      </c>
      <c r="E21">
        <f>IF(A21&lt;=CARGAS!$H$25,CARGAS!$I$20,0)</f>
        <v>385.87499999999994</v>
      </c>
      <c r="F21" s="22">
        <f>IF(AND(A21&gt;CARGAS!$O$29,A21&lt;=CARGAS!$O$30),tanque1,0)</f>
        <v>0</v>
      </c>
      <c r="G21" s="22">
        <f>IF(AND(A21&gt;CARGAS!$R$29,A21&lt;=CARGAS!$R$30),tanque2,0)</f>
        <v>0</v>
      </c>
      <c r="H21" s="22">
        <f>IF(AND(A21&gt;CARGAS!$U$29,A21&lt;=CARGAS!$U$30),tanque3,0)</f>
        <v>0</v>
      </c>
      <c r="I21" s="22">
        <f>IF(AND(A21&gt;CARGAS!$X$29,A21&lt;=CARGAS!$X$30),tanque4,0)</f>
        <v>0</v>
      </c>
      <c r="J21" s="22">
        <f>IF(AND(A21&gt;CARGAS!$AA$29,A21&lt;=CARGAS!$AA$30),tanque5,0)</f>
        <v>0</v>
      </c>
      <c r="K21" s="22">
        <f>IF(AND($A21&gt;CARGAS!$AD$29,$A21&lt;=CARGAS!$AD$30),tanque6,0)</f>
        <v>0</v>
      </c>
      <c r="L21" s="22">
        <f>IF(AND($A21&gt;CARGAS!$AG$29,$A21&lt;=CARGAS!$AG$30),tanque7,0)</f>
        <v>0</v>
      </c>
      <c r="M21" s="22">
        <f>IF(AND($A21&gt;CARGAS!$AJ$29,$A21&lt;=CARGAS!$AJ$30),tanque8,0)</f>
        <v>0</v>
      </c>
      <c r="N21" s="22">
        <f t="shared" si="2"/>
        <v>1078.2402428571427</v>
      </c>
      <c r="O21" s="22">
        <f t="shared" si="0"/>
        <v>26.86207026113539</v>
      </c>
      <c r="P21" s="22">
        <f>O21*Equilibrio!Y$39*Equilibrio!Y$38*DADOS!C$4</f>
        <v>826.00866052991319</v>
      </c>
      <c r="Q21" s="22">
        <f t="shared" si="3"/>
        <v>252.23158232722949</v>
      </c>
      <c r="R21" s="22">
        <f t="shared" si="5"/>
        <v>4673.9281694363599</v>
      </c>
      <c r="S21" s="22">
        <f t="shared" si="4"/>
        <v>47934.568125385355</v>
      </c>
      <c r="T21" s="22">
        <f t="shared" si="1"/>
        <v>21564.804857142852</v>
      </c>
    </row>
    <row r="22" spans="1:29" x14ac:dyDescent="0.25">
      <c r="A22" s="21">
        <v>21</v>
      </c>
      <c r="B22" s="22">
        <f>CARGAS!$C$40*Equilibrio!A22^2+CARGAS!$D$40*Equilibrio!A22+CARGAS!$E$40</f>
        <v>65.096351999999939</v>
      </c>
      <c r="C22" s="22">
        <f>CARGAS!$C$53*Equilibrio!A22^2+CARGAS!$D$53*Equilibrio!A22+CARGAS!$E$53</f>
        <v>10.849391999999995</v>
      </c>
      <c r="D22">
        <f>IF(posisup=1,IF(A22&lt;=CARGAS!$E$68,sup,0),IF(posisup=2,IF(AND(A22&lt;=CARGAS!$E$69,A22&gt;=CARGAS!$D$69),sup,0),IF(posisup=3,IF(AND(A22&lt;=CARGAS!$E$70,A22&gt;=CARGAS!$D$70),sup,0),0)))</f>
        <v>617.4</v>
      </c>
      <c r="E22">
        <f>IF(A22&lt;=CARGAS!$H$25,CARGAS!$I$20,0)</f>
        <v>0</v>
      </c>
      <c r="F22" s="22">
        <f>IF(AND(A22&gt;CARGAS!$O$29,A22&lt;=CARGAS!$O$30),tanque1,0)</f>
        <v>285.60000000000002</v>
      </c>
      <c r="G22" s="22">
        <f>IF(AND(A22&gt;CARGAS!$R$29,A22&lt;=CARGAS!$R$30),tanque2,0)</f>
        <v>0</v>
      </c>
      <c r="H22" s="22">
        <f>IF(AND(A22&gt;CARGAS!$U$29,A22&lt;=CARGAS!$U$30),tanque3,0)</f>
        <v>0</v>
      </c>
      <c r="I22" s="22">
        <f>IF(AND(A22&gt;CARGAS!$X$29,A22&lt;=CARGAS!$X$30),tanque4,0)</f>
        <v>0</v>
      </c>
      <c r="J22" s="22">
        <f>IF(AND(A22&gt;CARGAS!$AA$29,A22&lt;=CARGAS!$AA$30),tanque5,0)</f>
        <v>0</v>
      </c>
      <c r="K22" s="22">
        <f>IF(AND($A22&gt;CARGAS!$AD$29,$A22&lt;=CARGAS!$AD$30),tanque6,0)</f>
        <v>0</v>
      </c>
      <c r="L22" s="22">
        <f>IF(AND($A22&gt;CARGAS!$AG$29,$A22&lt;=CARGAS!$AG$30),tanque7,0)</f>
        <v>0</v>
      </c>
      <c r="M22" s="22">
        <f>IF(AND($A22&gt;CARGAS!$AJ$29,$A22&lt;=CARGAS!$AJ$30),tanque8,0)</f>
        <v>0</v>
      </c>
      <c r="N22" s="22">
        <f t="shared" si="2"/>
        <v>978.94574399999999</v>
      </c>
      <c r="O22" s="22">
        <f t="shared" si="0"/>
        <v>26.813017864341418</v>
      </c>
      <c r="P22" s="22">
        <f>O22*Equilibrio!Y$39*Equilibrio!Y$38*DADOS!C$4</f>
        <v>824.5002993284985</v>
      </c>
      <c r="Q22" s="22">
        <f t="shared" si="3"/>
        <v>154.44544467150149</v>
      </c>
      <c r="R22" s="22">
        <f t="shared" si="5"/>
        <v>4828.3736141078616</v>
      </c>
      <c r="S22" s="22">
        <f t="shared" si="4"/>
        <v>52762.941739493217</v>
      </c>
      <c r="T22" s="22">
        <f t="shared" si="1"/>
        <v>20557.860624000001</v>
      </c>
    </row>
    <row r="23" spans="1:29" x14ac:dyDescent="0.25">
      <c r="A23" s="21">
        <v>22</v>
      </c>
      <c r="B23" s="22">
        <f>CARGAS!$C$40*Equilibrio!A23^2+CARGAS!$D$40*Equilibrio!A23+CARGAS!$E$40</f>
        <v>65.931341877550963</v>
      </c>
      <c r="C23" s="22">
        <f>CARGAS!$C$53*Equilibrio!A23^2+CARGAS!$D$53*Equilibrio!A23+CARGAS!$E$53</f>
        <v>10.988556979591831</v>
      </c>
      <c r="D23">
        <f>IF(posisup=1,IF(A23&lt;=CARGAS!$E$68,sup,0),IF(posisup=2,IF(AND(A23&lt;=CARGAS!$E$69,A23&gt;=CARGAS!$D$69),sup,0),IF(posisup=3,IF(AND(A23&lt;=CARGAS!$E$70,A23&gt;=CARGAS!$D$70),sup,0),0)))</f>
        <v>617.4</v>
      </c>
      <c r="E23">
        <f>IF(A23&lt;=CARGAS!$H$25,CARGAS!$I$20,0)</f>
        <v>0</v>
      </c>
      <c r="F23" s="22">
        <f>IF(AND(A23&gt;CARGAS!$O$29,A23&lt;=CARGAS!$O$30),tanque1,0)</f>
        <v>285.60000000000002</v>
      </c>
      <c r="G23" s="22">
        <f>IF(AND(A23&gt;CARGAS!$R$29,A23&lt;=CARGAS!$R$30),tanque2,0)</f>
        <v>0</v>
      </c>
      <c r="H23" s="22">
        <f>IF(AND(A23&gt;CARGAS!$U$29,A23&lt;=CARGAS!$U$30),tanque3,0)</f>
        <v>0</v>
      </c>
      <c r="I23" s="22">
        <f>IF(AND(A23&gt;CARGAS!$X$29,A23&lt;=CARGAS!$X$30),tanque4,0)</f>
        <v>0</v>
      </c>
      <c r="J23" s="22">
        <f>IF(AND(A23&gt;CARGAS!$AA$29,A23&lt;=CARGAS!$AA$30),tanque5,0)</f>
        <v>0</v>
      </c>
      <c r="K23" s="22">
        <f>IF(AND($A23&gt;CARGAS!$AD$29,$A23&lt;=CARGAS!$AD$30),tanque6,0)</f>
        <v>0</v>
      </c>
      <c r="L23" s="22">
        <f>IF(AND($A23&gt;CARGAS!$AG$29,$A23&lt;=CARGAS!$AG$30),tanque7,0)</f>
        <v>0</v>
      </c>
      <c r="M23" s="22">
        <f>IF(AND($A23&gt;CARGAS!$AJ$29,$A23&lt;=CARGAS!$AJ$30),tanque8,0)</f>
        <v>0</v>
      </c>
      <c r="N23" s="22">
        <f t="shared" si="2"/>
        <v>979.91989885714281</v>
      </c>
      <c r="O23" s="22">
        <f t="shared" si="0"/>
        <v>26.761343673360468</v>
      </c>
      <c r="P23" s="22">
        <f>O23*Equilibrio!Y$39*Equilibrio!Y$38*DADOS!C$4</f>
        <v>822.91131795583431</v>
      </c>
      <c r="Q23" s="22">
        <f t="shared" si="3"/>
        <v>157.00858090130851</v>
      </c>
      <c r="R23" s="22">
        <f t="shared" si="5"/>
        <v>4985.3821950091697</v>
      </c>
      <c r="S23" s="22">
        <f t="shared" si="4"/>
        <v>57748.32393450239</v>
      </c>
      <c r="T23" s="22">
        <f t="shared" si="1"/>
        <v>21558.237774857142</v>
      </c>
    </row>
    <row r="24" spans="1:29" x14ac:dyDescent="0.25">
      <c r="A24" s="21">
        <v>23</v>
      </c>
      <c r="B24" s="22">
        <f>CARGAS!$C$40*Equilibrio!A24^2+CARGAS!$D$40*Equilibrio!A24+CARGAS!$E$40</f>
        <v>66.760892081632591</v>
      </c>
      <c r="C24" s="22">
        <f>CARGAS!$C$53*Equilibrio!A24^2+CARGAS!$D$53*Equilibrio!A24+CARGAS!$E$53</f>
        <v>11.12681534693877</v>
      </c>
      <c r="D24">
        <f>IF(posisup=1,IF(A24&lt;=CARGAS!$E$68,sup,0),IF(posisup=2,IF(AND(A24&lt;=CARGAS!$E$69,A24&gt;=CARGAS!$D$69),sup,0),IF(posisup=3,IF(AND(A24&lt;=CARGAS!$E$70,A24&gt;=CARGAS!$D$70),sup,0),0)))</f>
        <v>617.4</v>
      </c>
      <c r="E24">
        <f>IF(A24&lt;=CARGAS!$H$25,CARGAS!$I$20,0)</f>
        <v>0</v>
      </c>
      <c r="F24" s="22">
        <f>IF(AND(A24&gt;CARGAS!$O$29,A24&lt;=CARGAS!$O$30),tanque1,0)</f>
        <v>285.60000000000002</v>
      </c>
      <c r="G24" s="22">
        <f>IF(AND(A24&gt;CARGAS!$R$29,A24&lt;=CARGAS!$R$30),tanque2,0)</f>
        <v>0</v>
      </c>
      <c r="H24" s="22">
        <f>IF(AND(A24&gt;CARGAS!$U$29,A24&lt;=CARGAS!$U$30),tanque3,0)</f>
        <v>0</v>
      </c>
      <c r="I24" s="22">
        <f>IF(AND(A24&gt;CARGAS!$X$29,A24&lt;=CARGAS!$X$30),tanque4,0)</f>
        <v>0</v>
      </c>
      <c r="J24" s="22">
        <f>IF(AND(A24&gt;CARGAS!$AA$29,A24&lt;=CARGAS!$AA$30),tanque5,0)</f>
        <v>0</v>
      </c>
      <c r="K24" s="22">
        <f>IF(AND($A24&gt;CARGAS!$AD$29,$A24&lt;=CARGAS!$AD$30),tanque6,0)</f>
        <v>0</v>
      </c>
      <c r="L24" s="22">
        <f>IF(AND($A24&gt;CARGAS!$AG$29,$A24&lt;=CARGAS!$AG$30),tanque7,0)</f>
        <v>0</v>
      </c>
      <c r="M24" s="22">
        <f>IF(AND($A24&gt;CARGAS!$AJ$29,$A24&lt;=CARGAS!$AJ$30),tanque8,0)</f>
        <v>0</v>
      </c>
      <c r="N24" s="22">
        <f t="shared" si="2"/>
        <v>980.88770742857139</v>
      </c>
      <c r="O24" s="22">
        <f t="shared" si="0"/>
        <v>26.707066744528728</v>
      </c>
      <c r="P24" s="22">
        <f>O24*Equilibrio!Y$39*Equilibrio!Y$38*DADOS!C$4</f>
        <v>821.24230239425833</v>
      </c>
      <c r="Q24" s="22">
        <f t="shared" si="3"/>
        <v>159.64540503431306</v>
      </c>
      <c r="R24" s="22">
        <f t="shared" si="5"/>
        <v>5145.0276000434824</v>
      </c>
      <c r="S24" s="22">
        <f t="shared" si="4"/>
        <v>62893.351534545873</v>
      </c>
      <c r="T24" s="22">
        <f t="shared" si="1"/>
        <v>22560.417270857142</v>
      </c>
    </row>
    <row r="25" spans="1:29" x14ac:dyDescent="0.25">
      <c r="A25" s="21">
        <v>24</v>
      </c>
      <c r="B25" s="22">
        <f>CARGAS!$C$40*Equilibrio!A25^2+CARGAS!$D$40*Equilibrio!A25+CARGAS!$E$40</f>
        <v>67.585002612244836</v>
      </c>
      <c r="C25" s="22">
        <f>CARGAS!$C$53*Equilibrio!A25^2+CARGAS!$D$53*Equilibrio!A25+CARGAS!$E$53</f>
        <v>11.26416710204081</v>
      </c>
      <c r="D25">
        <f>IF(posisup=1,IF(A25&lt;=CARGAS!$E$68,sup,0),IF(posisup=2,IF(AND(A25&lt;=CARGAS!$E$69,A25&gt;=CARGAS!$D$69),sup,0),IF(posisup=3,IF(AND(A25&lt;=CARGAS!$E$70,A25&gt;=CARGAS!$D$70),sup,0),0)))</f>
        <v>617.4</v>
      </c>
      <c r="E25">
        <f>IF(A25&lt;=CARGAS!$H$25,CARGAS!$I$20,0)</f>
        <v>0</v>
      </c>
      <c r="F25" s="22">
        <f>IF(AND(A25&gt;CARGAS!$O$29,A25&lt;=CARGAS!$O$30),tanque1,0)</f>
        <v>285.60000000000002</v>
      </c>
      <c r="G25" s="22">
        <f>IF(AND(A25&gt;CARGAS!$R$29,A25&lt;=CARGAS!$R$30),tanque2,0)</f>
        <v>0</v>
      </c>
      <c r="H25" s="22">
        <f>IF(AND(A25&gt;CARGAS!$U$29,A25&lt;=CARGAS!$U$30),tanque3,0)</f>
        <v>0</v>
      </c>
      <c r="I25" s="22">
        <f>IF(AND(A25&gt;CARGAS!$X$29,A25&lt;=CARGAS!$X$30),tanque4,0)</f>
        <v>0</v>
      </c>
      <c r="J25" s="22">
        <f>IF(AND(A25&gt;CARGAS!$AA$29,A25&lt;=CARGAS!$AA$30),tanque5,0)</f>
        <v>0</v>
      </c>
      <c r="K25" s="22">
        <f>IF(AND($A25&gt;CARGAS!$AD$29,$A25&lt;=CARGAS!$AD$30),tanque6,0)</f>
        <v>0</v>
      </c>
      <c r="L25" s="22">
        <f>IF(AND($A25&gt;CARGAS!$AG$29,$A25&lt;=CARGAS!$AG$30),tanque7,0)</f>
        <v>0</v>
      </c>
      <c r="M25" s="22">
        <f>IF(AND($A25&gt;CARGAS!$AJ$29,$A25&lt;=CARGAS!$AJ$30),tanque8,0)</f>
        <v>0</v>
      </c>
      <c r="N25" s="22">
        <f t="shared" si="2"/>
        <v>981.84916971428561</v>
      </c>
      <c r="O25" s="22">
        <f t="shared" si="0"/>
        <v>26.650206972951452</v>
      </c>
      <c r="P25" s="22">
        <f>O25*Equilibrio!Y$39*Equilibrio!Y$38*DADOS!C$4</f>
        <v>819.49386441825709</v>
      </c>
      <c r="Q25" s="22">
        <f t="shared" si="3"/>
        <v>162.35530529602852</v>
      </c>
      <c r="R25" s="22">
        <f t="shared" si="5"/>
        <v>5307.3829053395111</v>
      </c>
      <c r="S25" s="22">
        <f t="shared" si="4"/>
        <v>68200.734439885389</v>
      </c>
      <c r="T25" s="22">
        <f t="shared" si="1"/>
        <v>23564.380073142856</v>
      </c>
    </row>
    <row r="26" spans="1:29" x14ac:dyDescent="0.25">
      <c r="A26" s="21">
        <v>25</v>
      </c>
      <c r="B26" s="22">
        <f>CARGAS!$C$40*Equilibrio!A26^2+CARGAS!$D$40*Equilibrio!A26+CARGAS!$E$40</f>
        <v>68.403673469387698</v>
      </c>
      <c r="C26" s="22">
        <f>CARGAS!$C$53*Equilibrio!A26^2+CARGAS!$D$53*Equilibrio!A26+CARGAS!$E$53</f>
        <v>11.400612244897953</v>
      </c>
      <c r="D26">
        <f>IF(posisup=1,IF(A26&lt;=CARGAS!$E$68,sup,0),IF(posisup=2,IF(AND(A26&lt;=CARGAS!$E$69,A26&gt;=CARGAS!$D$69),sup,0),IF(posisup=3,IF(AND(A26&lt;=CARGAS!$E$70,A26&gt;=CARGAS!$D$70),sup,0),0)))</f>
        <v>617.4</v>
      </c>
      <c r="E26">
        <f>IF(A26&lt;=CARGAS!$H$25,CARGAS!$I$20,0)</f>
        <v>0</v>
      </c>
      <c r="F26" s="22">
        <f>IF(AND(A26&gt;CARGAS!$O$29,A26&lt;=CARGAS!$O$30),tanque1,0)</f>
        <v>285.60000000000002</v>
      </c>
      <c r="G26" s="22">
        <f>IF(AND(A26&gt;CARGAS!$R$29,A26&lt;=CARGAS!$R$30),tanque2,0)</f>
        <v>0</v>
      </c>
      <c r="H26" s="22">
        <f>IF(AND(A26&gt;CARGAS!$U$29,A26&lt;=CARGAS!$U$30),tanque3,0)</f>
        <v>0</v>
      </c>
      <c r="I26" s="22">
        <f>IF(AND(A26&gt;CARGAS!$X$29,A26&lt;=CARGAS!$X$30),tanque4,0)</f>
        <v>0</v>
      </c>
      <c r="J26" s="22">
        <f>IF(AND(A26&gt;CARGAS!$AA$29,A26&lt;=CARGAS!$AA$30),tanque5,0)</f>
        <v>0</v>
      </c>
      <c r="K26" s="22">
        <f>IF(AND($A26&gt;CARGAS!$AD$29,$A26&lt;=CARGAS!$AD$30),tanque6,0)</f>
        <v>0</v>
      </c>
      <c r="L26" s="22">
        <f>IF(AND($A26&gt;CARGAS!$AG$29,$A26&lt;=CARGAS!$AG$30),tanque7,0)</f>
        <v>0</v>
      </c>
      <c r="M26" s="22">
        <f>IF(AND($A26&gt;CARGAS!$AJ$29,$A26&lt;=CARGAS!$AJ$30),tanque8,0)</f>
        <v>0</v>
      </c>
      <c r="N26" s="22">
        <f t="shared" si="2"/>
        <v>982.8042857142857</v>
      </c>
      <c r="O26" s="22">
        <f t="shared" si="0"/>
        <v>26.590785086091493</v>
      </c>
      <c r="P26" s="22">
        <f>O26*Equilibrio!Y$39*Equilibrio!Y$38*DADOS!C$4</f>
        <v>817.66664139731336</v>
      </c>
      <c r="Q26" s="22">
        <f t="shared" si="3"/>
        <v>165.13764431697234</v>
      </c>
      <c r="R26" s="22">
        <f t="shared" si="5"/>
        <v>5472.5205496564831</v>
      </c>
      <c r="S26" s="22">
        <f t="shared" si="4"/>
        <v>73673.254989541878</v>
      </c>
      <c r="T26" s="22">
        <f t="shared" si="1"/>
        <v>24570.107142857141</v>
      </c>
    </row>
    <row r="27" spans="1:29" x14ac:dyDescent="0.25">
      <c r="A27" s="21">
        <v>26</v>
      </c>
      <c r="B27" s="22">
        <f>CARGAS!$C$40*Equilibrio!A27^2+CARGAS!$D$40*Equilibrio!A27+CARGAS!$E$40</f>
        <v>69.216904653061164</v>
      </c>
      <c r="C27" s="22">
        <f>CARGAS!$C$53*Equilibrio!A27^2+CARGAS!$D$53*Equilibrio!A27+CARGAS!$E$53</f>
        <v>11.536150775510198</v>
      </c>
      <c r="D27">
        <f>IF(posisup=1,IF(A27&lt;=CARGAS!$E$68,sup,0),IF(posisup=2,IF(AND(A27&lt;=CARGAS!$E$69,A27&gt;=CARGAS!$D$69),sup,0),IF(posisup=3,IF(AND(A27&lt;=CARGAS!$E$70,A27&gt;=CARGAS!$D$70),sup,0),0)))</f>
        <v>0</v>
      </c>
      <c r="E27">
        <f>IF(A27&lt;=CARGAS!$H$25,CARGAS!$I$20,0)</f>
        <v>0</v>
      </c>
      <c r="F27" s="22">
        <f>IF(AND(A27&gt;CARGAS!$O$29,A27&lt;=CARGAS!$O$30),tanque1,0)</f>
        <v>285.60000000000002</v>
      </c>
      <c r="G27" s="22">
        <f>IF(AND(A27&gt;CARGAS!$R$29,A27&lt;=CARGAS!$R$30),tanque2,0)</f>
        <v>0</v>
      </c>
      <c r="H27" s="22">
        <f>IF(AND(A27&gt;CARGAS!$U$29,A27&lt;=CARGAS!$U$30),tanque3,0)</f>
        <v>0</v>
      </c>
      <c r="I27" s="22">
        <f>IF(AND(A27&gt;CARGAS!$X$29,A27&lt;=CARGAS!$X$30),tanque4,0)</f>
        <v>0</v>
      </c>
      <c r="J27" s="22">
        <f>IF(AND(A27&gt;CARGAS!$AA$29,A27&lt;=CARGAS!$AA$30),tanque5,0)</f>
        <v>0</v>
      </c>
      <c r="K27" s="22">
        <f>IF(AND($A27&gt;CARGAS!$AD$29,$A27&lt;=CARGAS!$AD$30),tanque6,0)</f>
        <v>0</v>
      </c>
      <c r="L27" s="22">
        <f>IF(AND($A27&gt;CARGAS!$AG$29,$A27&lt;=CARGAS!$AG$30),tanque7,0)</f>
        <v>0</v>
      </c>
      <c r="M27" s="22">
        <f>IF(AND($A27&gt;CARGAS!$AJ$29,$A27&lt;=CARGAS!$AJ$30),tanque8,0)</f>
        <v>0</v>
      </c>
      <c r="N27" s="22">
        <f t="shared" si="2"/>
        <v>366.35305542857139</v>
      </c>
      <c r="O27" s="22">
        <f t="shared" si="0"/>
        <v>26.528822637089601</v>
      </c>
      <c r="P27" s="22">
        <f>O27*Equilibrio!Y$39*Equilibrio!Y$38*DADOS!C$4</f>
        <v>815.76129609050508</v>
      </c>
      <c r="Q27" s="22">
        <f t="shared" si="3"/>
        <v>-449.40824066193369</v>
      </c>
      <c r="R27" s="22">
        <f t="shared" si="5"/>
        <v>5023.1123089945495</v>
      </c>
      <c r="S27" s="22">
        <f t="shared" si="4"/>
        <v>78696.367298536425</v>
      </c>
      <c r="T27" s="22">
        <f t="shared" si="1"/>
        <v>9525.1794411428564</v>
      </c>
    </row>
    <row r="28" spans="1:29" x14ac:dyDescent="0.25">
      <c r="A28" s="21">
        <v>27</v>
      </c>
      <c r="B28" s="22">
        <f>CARGAS!$C$40*Equilibrio!A28^2+CARGAS!$D$40*Equilibrio!A28+CARGAS!$E$40</f>
        <v>70.024696163265247</v>
      </c>
      <c r="C28" s="22">
        <f>CARGAS!$C$53*Equilibrio!A28^2+CARGAS!$D$53*Equilibrio!A28+CARGAS!$E$53</f>
        <v>11.670782693877545</v>
      </c>
      <c r="D28">
        <f>IF(posisup=1,IF(A28&lt;=CARGAS!$E$68,sup,0),IF(posisup=2,IF(AND(A28&lt;=CARGAS!$E$69,A28&gt;=CARGAS!$D$69),sup,0),IF(posisup=3,IF(AND(A28&lt;=CARGAS!$E$70,A28&gt;=CARGAS!$D$70),sup,0),0)))</f>
        <v>0</v>
      </c>
      <c r="E28">
        <f>IF(A28&lt;=CARGAS!$H$25,CARGAS!$I$20,0)</f>
        <v>0</v>
      </c>
      <c r="F28" s="22">
        <f>IF(AND(A28&gt;CARGAS!$O$29,A28&lt;=CARGAS!$O$30),tanque1,0)</f>
        <v>285.60000000000002</v>
      </c>
      <c r="G28" s="22">
        <f>IF(AND(A28&gt;CARGAS!$R$29,A28&lt;=CARGAS!$R$30),tanque2,0)</f>
        <v>0</v>
      </c>
      <c r="H28" s="22">
        <f>IF(AND(A28&gt;CARGAS!$U$29,A28&lt;=CARGAS!$U$30),tanque3,0)</f>
        <v>0</v>
      </c>
      <c r="I28" s="22">
        <f>IF(AND(A28&gt;CARGAS!$X$29,A28&lt;=CARGAS!$X$30),tanque4,0)</f>
        <v>0</v>
      </c>
      <c r="J28" s="22">
        <f>IF(AND(A28&gt;CARGAS!$AA$29,A28&lt;=CARGAS!$AA$30),tanque5,0)</f>
        <v>0</v>
      </c>
      <c r="K28" s="22">
        <f>IF(AND($A28&gt;CARGAS!$AD$29,$A28&lt;=CARGAS!$AD$30),tanque6,0)</f>
        <v>0</v>
      </c>
      <c r="L28" s="22">
        <f>IF(AND($A28&gt;CARGAS!$AG$29,$A28&lt;=CARGAS!$AG$30),tanque7,0)</f>
        <v>0</v>
      </c>
      <c r="M28" s="22">
        <f>IF(AND($A28&gt;CARGAS!$AJ$29,$A28&lt;=CARGAS!$AJ$30),tanque8,0)</f>
        <v>0</v>
      </c>
      <c r="N28" s="22">
        <f t="shared" si="2"/>
        <v>367.29547885714283</v>
      </c>
      <c r="O28" s="22">
        <f t="shared" si="0"/>
        <v>26.464341997818593</v>
      </c>
      <c r="P28" s="22">
        <f>O28*Equilibrio!Y$39*Equilibrio!Y$38*DADOS!C$4</f>
        <v>813.77851643292172</v>
      </c>
      <c r="Q28" s="22">
        <f t="shared" si="3"/>
        <v>-446.48303757577889</v>
      </c>
      <c r="R28" s="22">
        <f t="shared" si="5"/>
        <v>4576.6292714187703</v>
      </c>
      <c r="S28" s="22">
        <f t="shared" si="4"/>
        <v>83272.996569955198</v>
      </c>
      <c r="T28" s="22">
        <f t="shared" si="1"/>
        <v>9916.9779291428567</v>
      </c>
    </row>
    <row r="29" spans="1:29" x14ac:dyDescent="0.25">
      <c r="A29" s="21">
        <v>28</v>
      </c>
      <c r="B29" s="22">
        <f>CARGAS!$C$40*Equilibrio!A29^2+CARGAS!$D$40*Equilibrio!A29+CARGAS!$E$40</f>
        <v>70.827047999999948</v>
      </c>
      <c r="C29" s="22">
        <f>CARGAS!$C$53*Equilibrio!A29^2+CARGAS!$D$53*Equilibrio!A29+CARGAS!$E$53</f>
        <v>11.804507999999995</v>
      </c>
      <c r="D29">
        <f>IF(posisup=1,IF(A29&lt;=CARGAS!$E$68,sup,0),IF(posisup=2,IF(AND(A29&lt;=CARGAS!$E$69,A29&gt;=CARGAS!$D$69),sup,0),IF(posisup=3,IF(AND(A29&lt;=CARGAS!$E$70,A29&gt;=CARGAS!$D$70),sup,0),0)))</f>
        <v>0</v>
      </c>
      <c r="E29">
        <f>IF(A29&lt;=CARGAS!$H$25,CARGAS!$I$20,0)</f>
        <v>0</v>
      </c>
      <c r="F29" s="22">
        <f>IF(AND(A29&gt;CARGAS!$O$29,A29&lt;=CARGAS!$O$30),tanque1,0)</f>
        <v>285.60000000000002</v>
      </c>
      <c r="G29" s="22">
        <f>IF(AND(A29&gt;CARGAS!$R$29,A29&lt;=CARGAS!$R$30),tanque2,0)</f>
        <v>0</v>
      </c>
      <c r="H29" s="22">
        <f>IF(AND(A29&gt;CARGAS!$U$29,A29&lt;=CARGAS!$U$30),tanque3,0)</f>
        <v>0</v>
      </c>
      <c r="I29" s="22">
        <f>IF(AND(A29&gt;CARGAS!$X$29,A29&lt;=CARGAS!$X$30),tanque4,0)</f>
        <v>0</v>
      </c>
      <c r="J29" s="22">
        <f>IF(AND(A29&gt;CARGAS!$AA$29,A29&lt;=CARGAS!$AA$30),tanque5,0)</f>
        <v>0</v>
      </c>
      <c r="K29" s="22">
        <f>IF(AND($A29&gt;CARGAS!$AD$29,$A29&lt;=CARGAS!$AD$30),tanque6,0)</f>
        <v>0</v>
      </c>
      <c r="L29" s="22">
        <f>IF(AND($A29&gt;CARGAS!$AG$29,$A29&lt;=CARGAS!$AG$30),tanque7,0)</f>
        <v>0</v>
      </c>
      <c r="M29" s="22">
        <f>IF(AND($A29&gt;CARGAS!$AJ$29,$A29&lt;=CARGAS!$AJ$30),tanque8,0)</f>
        <v>0</v>
      </c>
      <c r="N29" s="22">
        <f t="shared" si="2"/>
        <v>368.23155599999996</v>
      </c>
      <c r="O29" s="22">
        <f t="shared" si="0"/>
        <v>26.397366351673718</v>
      </c>
      <c r="P29" s="22">
        <f>O29*Equilibrio!Y$39*Equilibrio!Y$38*DADOS!C$4</f>
        <v>811.71901531396679</v>
      </c>
      <c r="Q29" s="22">
        <f t="shared" si="3"/>
        <v>-443.48745931396684</v>
      </c>
      <c r="R29" s="22">
        <f t="shared" si="5"/>
        <v>4133.1418121048036</v>
      </c>
      <c r="S29" s="22">
        <f t="shared" si="4"/>
        <v>87406.138382060002</v>
      </c>
      <c r="T29" s="22">
        <f t="shared" si="1"/>
        <v>10310.483568</v>
      </c>
    </row>
    <row r="30" spans="1:29" x14ac:dyDescent="0.25">
      <c r="A30" s="21">
        <v>29</v>
      </c>
      <c r="B30" s="22">
        <f>CARGAS!$C$40*Equilibrio!A30^2+CARGAS!$D$40*Equilibrio!A30+CARGAS!$E$40</f>
        <v>71.623960163265252</v>
      </c>
      <c r="C30" s="22">
        <f>CARGAS!$C$53*Equilibrio!A30^2+CARGAS!$D$53*Equilibrio!A30+CARGAS!$E$53</f>
        <v>11.937326693877544</v>
      </c>
      <c r="D30">
        <f>IF(posisup=1,IF(A30&lt;=CARGAS!$E$68,sup,0),IF(posisup=2,IF(AND(A30&lt;=CARGAS!$E$69,A30&gt;=CARGAS!$D$69),sup,0),IF(posisup=3,IF(AND(A30&lt;=CARGAS!$E$70,A30&gt;=CARGAS!$D$70),sup,0),0)))</f>
        <v>0</v>
      </c>
      <c r="E30">
        <f>IF(A30&lt;=CARGAS!$H$25,CARGAS!$I$20,0)</f>
        <v>0</v>
      </c>
      <c r="F30" s="22">
        <f>IF(AND(A30&gt;CARGAS!$O$29,A30&lt;=CARGAS!$O$30),tanque1,0)</f>
        <v>285.60000000000002</v>
      </c>
      <c r="G30" s="22">
        <f>IF(AND(A30&gt;CARGAS!$R$29,A30&lt;=CARGAS!$R$30),tanque2,0)</f>
        <v>0</v>
      </c>
      <c r="H30" s="22">
        <f>IF(AND(A30&gt;CARGAS!$U$29,A30&lt;=CARGAS!$U$30),tanque3,0)</f>
        <v>0</v>
      </c>
      <c r="I30" s="22">
        <f>IF(AND(A30&gt;CARGAS!$X$29,A30&lt;=CARGAS!$X$30),tanque4,0)</f>
        <v>0</v>
      </c>
      <c r="J30" s="22">
        <f>IF(AND(A30&gt;CARGAS!$AA$29,A30&lt;=CARGAS!$AA$30),tanque5,0)</f>
        <v>0</v>
      </c>
      <c r="K30" s="22">
        <f>IF(AND($A30&gt;CARGAS!$AD$29,$A30&lt;=CARGAS!$AD$30),tanque6,0)</f>
        <v>0</v>
      </c>
      <c r="L30" s="22">
        <f>IF(AND($A30&gt;CARGAS!$AG$29,$A30&lt;=CARGAS!$AG$30),tanque7,0)</f>
        <v>0</v>
      </c>
      <c r="M30" s="22">
        <f>IF(AND($A30&gt;CARGAS!$AJ$29,$A30&lt;=CARGAS!$AJ$30),tanque8,0)</f>
        <v>0</v>
      </c>
      <c r="N30" s="22">
        <f t="shared" si="2"/>
        <v>369.16128685714284</v>
      </c>
      <c r="O30" s="22">
        <f t="shared" si="0"/>
        <v>26.32791968610147</v>
      </c>
      <c r="P30" s="22">
        <f>O30*Equilibrio!Y$39*Equilibrio!Y$38*DADOS!C$4</f>
        <v>809.58353034762013</v>
      </c>
      <c r="Q30" s="22">
        <f t="shared" si="3"/>
        <v>-440.42224349047729</v>
      </c>
      <c r="R30" s="22">
        <f t="shared" si="5"/>
        <v>3692.7195686143264</v>
      </c>
      <c r="S30" s="22">
        <f t="shared" si="4"/>
        <v>91098.857950674326</v>
      </c>
      <c r="T30" s="22">
        <f t="shared" si="1"/>
        <v>10705.677318857142</v>
      </c>
    </row>
    <row r="31" spans="1:29" x14ac:dyDescent="0.25">
      <c r="A31" s="21">
        <v>30</v>
      </c>
      <c r="B31" s="22">
        <f>CARGAS!$C$40*Equilibrio!A31^2+CARGAS!$D$40*Equilibrio!A31+CARGAS!$E$40</f>
        <v>72.415432653061174</v>
      </c>
      <c r="C31" s="22">
        <f>CARGAS!$C$53*Equilibrio!A31^2+CARGAS!$D$53*Equilibrio!A31+CARGAS!$E$53</f>
        <v>12.069238775510199</v>
      </c>
      <c r="D31">
        <f>IF(posisup=1,IF(A31&lt;=CARGAS!$E$68,sup,0),IF(posisup=2,IF(AND(A31&lt;=CARGAS!$E$69,A31&gt;=CARGAS!$D$69),sup,0),IF(posisup=3,IF(AND(A31&lt;=CARGAS!$E$70,A31&gt;=CARGAS!$D$70),sup,0),0)))</f>
        <v>0</v>
      </c>
      <c r="E31">
        <f>IF(A31&lt;=CARGAS!$H$25,CARGAS!$I$20,0)</f>
        <v>0</v>
      </c>
      <c r="F31" s="22">
        <f>IF(AND(A31&gt;CARGAS!$O$29,A31&lt;=CARGAS!$O$30),tanque1,0)</f>
        <v>285.60000000000002</v>
      </c>
      <c r="G31" s="22">
        <f>IF(AND(A31&gt;CARGAS!$R$29,A31&lt;=CARGAS!$R$30),tanque2,0)</f>
        <v>0</v>
      </c>
      <c r="H31" s="22">
        <f>IF(AND(A31&gt;CARGAS!$U$29,A31&lt;=CARGAS!$U$30),tanque3,0)</f>
        <v>0</v>
      </c>
      <c r="I31" s="22">
        <f>IF(AND(A31&gt;CARGAS!$X$29,A31&lt;=CARGAS!$X$30),tanque4,0)</f>
        <v>0</v>
      </c>
      <c r="J31" s="22">
        <f>IF(AND(A31&gt;CARGAS!$AA$29,A31&lt;=CARGAS!$AA$30),tanque5,0)</f>
        <v>0</v>
      </c>
      <c r="K31" s="22">
        <f>IF(AND($A31&gt;CARGAS!$AD$29,$A31&lt;=CARGAS!$AD$30),tanque6,0)</f>
        <v>0</v>
      </c>
      <c r="L31" s="22">
        <f>IF(AND($A31&gt;CARGAS!$AG$29,$A31&lt;=CARGAS!$AG$30),tanque7,0)</f>
        <v>0</v>
      </c>
      <c r="M31" s="22">
        <f>IF(AND($A31&gt;CARGAS!$AJ$29,$A31&lt;=CARGAS!$AJ$30),tanque8,0)</f>
        <v>0</v>
      </c>
      <c r="N31" s="22">
        <f t="shared" si="2"/>
        <v>370.08467142857137</v>
      </c>
      <c r="O31" s="22">
        <f t="shared" si="0"/>
        <v>26.256026784869295</v>
      </c>
      <c r="P31" s="22">
        <f>O31*Equilibrio!Y$39*Equilibrio!Y$38*DADOS!C$4</f>
        <v>807.37282363473071</v>
      </c>
      <c r="Q31" s="22">
        <f t="shared" si="3"/>
        <v>-437.28815220615934</v>
      </c>
      <c r="R31" s="22">
        <f t="shared" si="5"/>
        <v>3255.431416408167</v>
      </c>
      <c r="S31" s="22">
        <f t="shared" si="4"/>
        <v>94354.2893670825</v>
      </c>
      <c r="T31" s="22">
        <f t="shared" si="1"/>
        <v>11102.54014285714</v>
      </c>
    </row>
    <row r="32" spans="1:29" x14ac:dyDescent="0.25">
      <c r="A32" s="21">
        <v>31</v>
      </c>
      <c r="B32" s="22">
        <f>CARGAS!$C$40*Equilibrio!A32^2+CARGAS!$D$40*Equilibrio!A32+CARGAS!$E$40</f>
        <v>73.201465469387699</v>
      </c>
      <c r="C32" s="22">
        <f>CARGAS!$C$53*Equilibrio!A32^2+CARGAS!$D$53*Equilibrio!A32+CARGAS!$E$53</f>
        <v>12.200244244897952</v>
      </c>
      <c r="D32">
        <f>IF(posisup=1,IF(A32&lt;=CARGAS!$E$68,sup,0),IF(posisup=2,IF(AND(A32&lt;=CARGAS!$E$69,A32&gt;=CARGAS!$D$69),sup,0),IF(posisup=3,IF(AND(A32&lt;=CARGAS!$E$70,A32&gt;=CARGAS!$D$70),sup,0),0)))</f>
        <v>0</v>
      </c>
      <c r="E32">
        <f>IF(A32&lt;=CARGAS!$H$25,CARGAS!$I$20,0)</f>
        <v>0</v>
      </c>
      <c r="F32" s="22">
        <f>IF(AND(A32&gt;CARGAS!$O$29,A32&lt;=CARGAS!$O$30),tanque1,0)</f>
        <v>285.60000000000002</v>
      </c>
      <c r="G32" s="22">
        <f>IF(AND(A32&gt;CARGAS!$R$29,A32&lt;=CARGAS!$R$30),tanque2,0)</f>
        <v>0</v>
      </c>
      <c r="H32" s="22">
        <f>IF(AND(A32&gt;CARGAS!$U$29,A32&lt;=CARGAS!$U$30),tanque3,0)</f>
        <v>0</v>
      </c>
      <c r="I32" s="22">
        <f>IF(AND(A32&gt;CARGAS!$X$29,A32&lt;=CARGAS!$X$30),tanque4,0)</f>
        <v>0</v>
      </c>
      <c r="J32" s="22">
        <f>IF(AND(A32&gt;CARGAS!$AA$29,A32&lt;=CARGAS!$AA$30),tanque5,0)</f>
        <v>0</v>
      </c>
      <c r="K32" s="22">
        <f>IF(AND($A32&gt;CARGAS!$AD$29,$A32&lt;=CARGAS!$AD$30),tanque6,0)</f>
        <v>0</v>
      </c>
      <c r="L32" s="22">
        <f>IF(AND($A32&gt;CARGAS!$AG$29,$A32&lt;=CARGAS!$AG$30),tanque7,0)</f>
        <v>0</v>
      </c>
      <c r="M32" s="22">
        <f>IF(AND($A32&gt;CARGAS!$AJ$29,$A32&lt;=CARGAS!$AJ$30),tanque8,0)</f>
        <v>0</v>
      </c>
      <c r="N32" s="22">
        <f t="shared" si="2"/>
        <v>371.00170971428565</v>
      </c>
      <c r="O32" s="22">
        <f t="shared" si="0"/>
        <v>26.181713220078688</v>
      </c>
      <c r="P32" s="22">
        <f>O32*Equilibrio!Y$39*Equilibrio!Y$38*DADOS!C$4</f>
        <v>805.08768151741958</v>
      </c>
      <c r="Q32" s="22">
        <f t="shared" si="3"/>
        <v>-434.08597180313393</v>
      </c>
      <c r="R32" s="22">
        <f t="shared" si="5"/>
        <v>2821.3454446050332</v>
      </c>
      <c r="S32" s="22">
        <f t="shared" si="4"/>
        <v>97175.634811687531</v>
      </c>
      <c r="T32" s="22">
        <f t="shared" si="1"/>
        <v>11501.053001142855</v>
      </c>
    </row>
    <row r="33" spans="1:26" x14ac:dyDescent="0.25">
      <c r="A33" s="21">
        <v>32</v>
      </c>
      <c r="B33" s="22">
        <f>CARGAS!$C$40*Equilibrio!A33^2+CARGAS!$D$40*Equilibrio!A33+CARGAS!$E$40</f>
        <v>73.982058612244842</v>
      </c>
      <c r="C33" s="22">
        <f>CARGAS!$C$53*Equilibrio!A33^2+CARGAS!$D$53*Equilibrio!A33+CARGAS!$E$53</f>
        <v>12.330343102040811</v>
      </c>
      <c r="D33">
        <f>IF(posisup=1,IF(A33&lt;=CARGAS!$E$68,sup,0),IF(posisup=2,IF(AND(A33&lt;=CARGAS!$E$69,A33&gt;=CARGAS!$D$69),sup,0),IF(posisup=3,IF(AND(A33&lt;=CARGAS!$E$70,A33&gt;=CARGAS!$D$70),sup,0),0)))</f>
        <v>0</v>
      </c>
      <c r="E33">
        <f>IF(A33&lt;=CARGAS!$H$25,CARGAS!$I$20,0)</f>
        <v>0</v>
      </c>
      <c r="F33" s="22">
        <f>IF(AND(A33&gt;CARGAS!$O$29,A33&lt;=CARGAS!$O$30),tanque1,0)</f>
        <v>285.60000000000002</v>
      </c>
      <c r="G33" s="22">
        <f>IF(AND(A33&gt;CARGAS!$R$29,A33&lt;=CARGAS!$R$30),tanque2,0)</f>
        <v>0</v>
      </c>
      <c r="H33" s="22">
        <f>IF(AND(A33&gt;CARGAS!$U$29,A33&lt;=CARGAS!$U$30),tanque3,0)</f>
        <v>0</v>
      </c>
      <c r="I33" s="22">
        <f>IF(AND(A33&gt;CARGAS!$X$29,A33&lt;=CARGAS!$X$30),tanque4,0)</f>
        <v>0</v>
      </c>
      <c r="J33" s="22">
        <f>IF(AND(A33&gt;CARGAS!$AA$29,A33&lt;=CARGAS!$AA$30),tanque5,0)</f>
        <v>0</v>
      </c>
      <c r="K33" s="22">
        <f>IF(AND($A33&gt;CARGAS!$AD$29,$A33&lt;=CARGAS!$AD$30),tanque6,0)</f>
        <v>0</v>
      </c>
      <c r="L33" s="22">
        <f>IF(AND($A33&gt;CARGAS!$AG$29,$A33&lt;=CARGAS!$AG$30),tanque7,0)</f>
        <v>0</v>
      </c>
      <c r="M33" s="22">
        <f>IF(AND($A33&gt;CARGAS!$AJ$29,$A33&lt;=CARGAS!$AJ$30),tanque8,0)</f>
        <v>0</v>
      </c>
      <c r="N33" s="22">
        <f t="shared" si="2"/>
        <v>371.91240171428569</v>
      </c>
      <c r="O33" s="22">
        <f t="shared" si="0"/>
        <v>26.105005343924201</v>
      </c>
      <c r="P33" s="22">
        <f>O33*Equilibrio!Y$39*Equilibrio!Y$38*DADOS!C$4</f>
        <v>802.72891432566917</v>
      </c>
      <c r="Q33" s="22">
        <f t="shared" si="3"/>
        <v>-430.81651261138347</v>
      </c>
      <c r="R33" s="22">
        <f t="shared" si="5"/>
        <v>2390.5289319936496</v>
      </c>
      <c r="S33" s="22">
        <f t="shared" si="4"/>
        <v>99566.163743681187</v>
      </c>
      <c r="T33" s="22">
        <f t="shared" si="1"/>
        <v>11901.196854857142</v>
      </c>
    </row>
    <row r="34" spans="1:26" x14ac:dyDescent="0.25">
      <c r="A34" s="21">
        <v>33</v>
      </c>
      <c r="B34" s="22">
        <f>CARGAS!$C$40*Equilibrio!A34^2+CARGAS!$D$40*Equilibrio!A34+CARGAS!$E$40</f>
        <v>74.757212081632588</v>
      </c>
      <c r="C34" s="22">
        <f>CARGAS!$C$53*Equilibrio!A34^2+CARGAS!$D$53*Equilibrio!A34+CARGAS!$E$53</f>
        <v>12.45953534693877</v>
      </c>
      <c r="D34">
        <f>IF(posisup=1,IF(A34&lt;=CARGAS!$E$68,sup,0),IF(posisup=2,IF(AND(A34&lt;=CARGAS!$E$69,A34&gt;=CARGAS!$D$69),sup,0),IF(posisup=3,IF(AND(A34&lt;=CARGAS!$E$70,A34&gt;=CARGAS!$D$70),sup,0),0)))</f>
        <v>0</v>
      </c>
      <c r="E34">
        <f>IF(A34&lt;=CARGAS!$H$25,CARGAS!$I$20,0)</f>
        <v>0</v>
      </c>
      <c r="F34" s="22">
        <f>IF(AND(A34&gt;CARGAS!$O$29,A34&lt;=CARGAS!$O$30),tanque1,0)</f>
        <v>285.60000000000002</v>
      </c>
      <c r="G34" s="22">
        <f>IF(AND(A34&gt;CARGAS!$R$29,A34&lt;=CARGAS!$R$30),tanque2,0)</f>
        <v>0</v>
      </c>
      <c r="H34" s="22">
        <f>IF(AND(A34&gt;CARGAS!$U$29,A34&lt;=CARGAS!$U$30),tanque3,0)</f>
        <v>0</v>
      </c>
      <c r="I34" s="22">
        <f>IF(AND(A34&gt;CARGAS!$X$29,A34&lt;=CARGAS!$X$30),tanque4,0)</f>
        <v>0</v>
      </c>
      <c r="J34" s="22">
        <f>IF(AND(A34&gt;CARGAS!$AA$29,A34&lt;=CARGAS!$AA$30),tanque5,0)</f>
        <v>0</v>
      </c>
      <c r="K34" s="22">
        <f>IF(AND($A34&gt;CARGAS!$AD$29,$A34&lt;=CARGAS!$AD$30),tanque6,0)</f>
        <v>0</v>
      </c>
      <c r="L34" s="22">
        <f>IF(AND($A34&gt;CARGAS!$AG$29,$A34&lt;=CARGAS!$AG$30),tanque7,0)</f>
        <v>0</v>
      </c>
      <c r="M34" s="22">
        <f>IF(AND($A34&gt;CARGAS!$AJ$29,$A34&lt;=CARGAS!$AJ$30),tanque8,0)</f>
        <v>0</v>
      </c>
      <c r="N34" s="22">
        <f t="shared" si="2"/>
        <v>372.81674742857138</v>
      </c>
      <c r="O34" s="22">
        <f t="shared" ref="O34:O65" si="6">IF($X$4=1,tmedio+((loa/2)-A34)*TAN(trimrad),IF($X$4=2,tmedio+$Z$3*COS(2*PI()*A34/$Z$2)+((loa/2)-A34)*TAN(trimrad),IF($X$4=3,tmedio-$Z$3*COS(2*PI()*A34/$Z$2)+((loa/2)-A34)*TAN(trimrad),tmedio+((loa/2)-A34)*TAN(trimrad))))</f>
        <v>26.025930280201077</v>
      </c>
      <c r="P34" s="22">
        <f>O34*Equilibrio!Y$39*Equilibrio!Y$38*DADOS!C$4</f>
        <v>800.29735611618298</v>
      </c>
      <c r="Q34" s="22">
        <f t="shared" si="3"/>
        <v>-427.48060868761161</v>
      </c>
      <c r="R34" s="22">
        <f t="shared" si="5"/>
        <v>1963.0483233060381</v>
      </c>
      <c r="S34" s="22">
        <f t="shared" si="4"/>
        <v>101529.21206698722</v>
      </c>
      <c r="T34" s="22">
        <f t="shared" ref="T34:T65" si="7">N34*A34</f>
        <v>12302.952665142855</v>
      </c>
    </row>
    <row r="35" spans="1:26" x14ac:dyDescent="0.25">
      <c r="A35" s="21">
        <v>34</v>
      </c>
      <c r="B35" s="22">
        <f>CARGAS!$C$40*Equilibrio!A35^2+CARGAS!$D$40*Equilibrio!A35+CARGAS!$E$40</f>
        <v>75.526925877550951</v>
      </c>
      <c r="C35" s="22">
        <f>CARGAS!$C$53*Equilibrio!A35^2+CARGAS!$D$53*Equilibrio!A35+CARGAS!$E$53</f>
        <v>12.587820979591831</v>
      </c>
      <c r="D35">
        <f>IF(posisup=1,IF(A35&lt;=CARGAS!$E$68,sup,0),IF(posisup=2,IF(AND(A35&lt;=CARGAS!$E$69,A35&gt;=CARGAS!$D$69),sup,0),IF(posisup=3,IF(AND(A35&lt;=CARGAS!$E$70,A35&gt;=CARGAS!$D$70),sup,0),0)))</f>
        <v>0</v>
      </c>
      <c r="E35">
        <f>IF(A35&lt;=CARGAS!$H$25,CARGAS!$I$20,0)</f>
        <v>0</v>
      </c>
      <c r="F35" s="22">
        <f>IF(AND(A35&gt;CARGAS!$O$29,A35&lt;=CARGAS!$O$30),tanque1,0)</f>
        <v>285.60000000000002</v>
      </c>
      <c r="G35" s="22">
        <f>IF(AND(A35&gt;CARGAS!$R$29,A35&lt;=CARGAS!$R$30),tanque2,0)</f>
        <v>0</v>
      </c>
      <c r="H35" s="22">
        <f>IF(AND(A35&gt;CARGAS!$U$29,A35&lt;=CARGAS!$U$30),tanque3,0)</f>
        <v>0</v>
      </c>
      <c r="I35" s="22">
        <f>IF(AND(A35&gt;CARGAS!$X$29,A35&lt;=CARGAS!$X$30),tanque4,0)</f>
        <v>0</v>
      </c>
      <c r="J35" s="22">
        <f>IF(AND(A35&gt;CARGAS!$AA$29,A35&lt;=CARGAS!$AA$30),tanque5,0)</f>
        <v>0</v>
      </c>
      <c r="K35" s="22">
        <f>IF(AND($A35&gt;CARGAS!$AD$29,$A35&lt;=CARGAS!$AD$30),tanque6,0)</f>
        <v>0</v>
      </c>
      <c r="L35" s="22">
        <f>IF(AND($A35&gt;CARGAS!$AG$29,$A35&lt;=CARGAS!$AG$30),tanque7,0)</f>
        <v>0</v>
      </c>
      <c r="M35" s="22">
        <f>IF(AND($A35&gt;CARGAS!$AJ$29,$A35&lt;=CARGAS!$AJ$30),tanque8,0)</f>
        <v>0</v>
      </c>
      <c r="N35" s="22">
        <f t="shared" si="2"/>
        <v>373.71474685714281</v>
      </c>
      <c r="O35" s="22">
        <f t="shared" si="6"/>
        <v>25.944515915564235</v>
      </c>
      <c r="P35" s="22">
        <f>O35*Equilibrio!Y$39*Equilibrio!Y$38*DADOS!C$4</f>
        <v>797.7938644036002</v>
      </c>
      <c r="Q35" s="22">
        <f t="shared" si="3"/>
        <v>-424.07911754645738</v>
      </c>
      <c r="R35" s="22">
        <f t="shared" si="5"/>
        <v>1538.9692057595807</v>
      </c>
      <c r="S35" s="22">
        <f t="shared" si="4"/>
        <v>103068.18127274681</v>
      </c>
      <c r="T35" s="22">
        <f t="shared" si="7"/>
        <v>12706.301393142856</v>
      </c>
    </row>
    <row r="36" spans="1:26" x14ac:dyDescent="0.25">
      <c r="A36" s="21">
        <v>35</v>
      </c>
      <c r="B36" s="22">
        <f>CARGAS!$C$40*Equilibrio!A36^2+CARGAS!$D$40*Equilibrio!A36+CARGAS!$E$40</f>
        <v>76.291199999999947</v>
      </c>
      <c r="C36" s="22">
        <f>CARGAS!$C$53*Equilibrio!A36^2+CARGAS!$D$53*Equilibrio!A36+CARGAS!$E$53</f>
        <v>12.715199999999994</v>
      </c>
      <c r="D36">
        <f>IF(posisup=1,IF(A36&lt;=CARGAS!$E$68,sup,0),IF(posisup=2,IF(AND(A36&lt;=CARGAS!$E$69,A36&gt;=CARGAS!$D$69),sup,0),IF(posisup=3,IF(AND(A36&lt;=CARGAS!$E$70,A36&gt;=CARGAS!$D$70),sup,0),0)))</f>
        <v>0</v>
      </c>
      <c r="E36">
        <f>IF(A36&lt;=CARGAS!$H$25,CARGAS!$I$20,0)</f>
        <v>0</v>
      </c>
      <c r="F36" s="22">
        <f>IF(AND(A36&gt;CARGAS!$O$29,A36&lt;=CARGAS!$O$30),tanque1,0)</f>
        <v>285.60000000000002</v>
      </c>
      <c r="G36" s="22">
        <f>IF(AND(A36&gt;CARGAS!$R$29,A36&lt;=CARGAS!$R$30),tanque2,0)</f>
        <v>0</v>
      </c>
      <c r="H36" s="22">
        <f>IF(AND(A36&gt;CARGAS!$U$29,A36&lt;=CARGAS!$U$30),tanque3,0)</f>
        <v>0</v>
      </c>
      <c r="I36" s="22">
        <f>IF(AND(A36&gt;CARGAS!$X$29,A36&lt;=CARGAS!$X$30),tanque4,0)</f>
        <v>0</v>
      </c>
      <c r="J36" s="22">
        <f>IF(AND(A36&gt;CARGAS!$AA$29,A36&lt;=CARGAS!$AA$30),tanque5,0)</f>
        <v>0</v>
      </c>
      <c r="K36" s="22">
        <f>IF(AND($A36&gt;CARGAS!$AD$29,$A36&lt;=CARGAS!$AD$30),tanque6,0)</f>
        <v>0</v>
      </c>
      <c r="L36" s="22">
        <f>IF(AND($A36&gt;CARGAS!$AG$29,$A36&lt;=CARGAS!$AG$30),tanque7,0)</f>
        <v>0</v>
      </c>
      <c r="M36" s="22">
        <f>IF(AND($A36&gt;CARGAS!$AJ$29,$A36&lt;=CARGAS!$AJ$30),tanque8,0)</f>
        <v>0</v>
      </c>
      <c r="N36" s="22">
        <f t="shared" si="2"/>
        <v>374.60639999999995</v>
      </c>
      <c r="O36" s="22">
        <f t="shared" si="6"/>
        <v>25.860790890541399</v>
      </c>
      <c r="P36" s="22">
        <f>O36*Equilibrio!Y$39*Equilibrio!Y$38*DADOS!C$4</f>
        <v>795.21931988414792</v>
      </c>
      <c r="Q36" s="22">
        <f t="shared" si="3"/>
        <v>-420.61291988414797</v>
      </c>
      <c r="R36" s="22">
        <f t="shared" si="5"/>
        <v>1118.3562858754328</v>
      </c>
      <c r="S36" s="22">
        <f t="shared" si="4"/>
        <v>104186.53755862224</v>
      </c>
      <c r="T36" s="22">
        <f t="shared" si="7"/>
        <v>13111.223999999998</v>
      </c>
    </row>
    <row r="37" spans="1:26" x14ac:dyDescent="0.25">
      <c r="A37" s="21">
        <v>36</v>
      </c>
      <c r="B37" s="22">
        <f>CARGAS!$C$40*Equilibrio!A37^2+CARGAS!$D$40*Equilibrio!A37+CARGAS!$E$40</f>
        <v>77.050034448979531</v>
      </c>
      <c r="C37" s="22">
        <f>CARGAS!$C$53*Equilibrio!A37^2+CARGAS!$D$53*Equilibrio!A37+CARGAS!$E$53</f>
        <v>12.841672408163259</v>
      </c>
      <c r="D37">
        <f>IF(posisup=1,IF(A37&lt;=CARGAS!$E$68,sup,0),IF(posisup=2,IF(AND(A37&lt;=CARGAS!$E$69,A37&gt;=CARGAS!$D$69),sup,0),IF(posisup=3,IF(AND(A37&lt;=CARGAS!$E$70,A37&gt;=CARGAS!$D$70),sup,0),0)))</f>
        <v>0</v>
      </c>
      <c r="E37">
        <f>IF(A37&lt;=CARGAS!$H$25,CARGAS!$I$20,0)</f>
        <v>0</v>
      </c>
      <c r="F37" s="22">
        <f>IF(AND(A37&gt;CARGAS!$O$29,A37&lt;=CARGAS!$O$30),tanque1,0)</f>
        <v>285.60000000000002</v>
      </c>
      <c r="G37" s="22">
        <f>IF(AND(A37&gt;CARGAS!$R$29,A37&lt;=CARGAS!$R$30),tanque2,0)</f>
        <v>0</v>
      </c>
      <c r="H37" s="22">
        <f>IF(AND(A37&gt;CARGAS!$U$29,A37&lt;=CARGAS!$U$30),tanque3,0)</f>
        <v>0</v>
      </c>
      <c r="I37" s="22">
        <f>IF(AND(A37&gt;CARGAS!$X$29,A37&lt;=CARGAS!$X$30),tanque4,0)</f>
        <v>0</v>
      </c>
      <c r="J37" s="22">
        <f>IF(AND(A37&gt;CARGAS!$AA$29,A37&lt;=CARGAS!$AA$30),tanque5,0)</f>
        <v>0</v>
      </c>
      <c r="K37" s="22">
        <f>IF(AND($A37&gt;CARGAS!$AD$29,$A37&lt;=CARGAS!$AD$30),tanque6,0)</f>
        <v>0</v>
      </c>
      <c r="L37" s="22">
        <f>IF(AND($A37&gt;CARGAS!$AG$29,$A37&lt;=CARGAS!$AG$30),tanque7,0)</f>
        <v>0</v>
      </c>
      <c r="M37" s="22">
        <f>IF(AND($A37&gt;CARGAS!$AJ$29,$A37&lt;=CARGAS!$AJ$30),tanque8,0)</f>
        <v>0</v>
      </c>
      <c r="N37" s="22">
        <f t="shared" si="2"/>
        <v>375.49170685714284</v>
      </c>
      <c r="O37" s="22">
        <f t="shared" si="6"/>
        <v>25.774784590303273</v>
      </c>
      <c r="P37" s="22">
        <f>O37*Equilibrio!Y$39*Equilibrio!Y$38*DADOS!C$4</f>
        <v>792.57462615182556</v>
      </c>
      <c r="Q37" s="22">
        <f t="shared" si="3"/>
        <v>-417.08291929468271</v>
      </c>
      <c r="R37" s="22">
        <f t="shared" si="5"/>
        <v>701.27336658075012</v>
      </c>
      <c r="S37" s="22">
        <f t="shared" si="4"/>
        <v>104887.81092520298</v>
      </c>
      <c r="T37" s="22">
        <f t="shared" si="7"/>
        <v>13517.701446857143</v>
      </c>
    </row>
    <row r="38" spans="1:26" x14ac:dyDescent="0.25">
      <c r="A38" s="21">
        <v>37</v>
      </c>
      <c r="B38" s="22">
        <f>CARGAS!$C$40*Equilibrio!A38^2+CARGAS!$D$40*Equilibrio!A38+CARGAS!$E$40</f>
        <v>77.803429224489747</v>
      </c>
      <c r="C38" s="22">
        <f>CARGAS!$C$53*Equilibrio!A38^2+CARGAS!$D$53*Equilibrio!A38+CARGAS!$E$53</f>
        <v>12.967238204081626</v>
      </c>
      <c r="D38">
        <f>IF(posisup=1,IF(A38&lt;=CARGAS!$E$68,sup,0),IF(posisup=2,IF(AND(A38&lt;=CARGAS!$E$69,A38&gt;=CARGAS!$D$69),sup,0),IF(posisup=3,IF(AND(A38&lt;=CARGAS!$E$70,A38&gt;=CARGAS!$D$70),sup,0),0)))</f>
        <v>0</v>
      </c>
      <c r="E38">
        <f>IF(A38&lt;=CARGAS!$H$25,CARGAS!$I$20,0)</f>
        <v>0</v>
      </c>
      <c r="F38" s="22">
        <f>IF(AND(A38&gt;CARGAS!$O$29,A38&lt;=CARGAS!$O$30),tanque1,0)</f>
        <v>285.60000000000002</v>
      </c>
      <c r="G38" s="22">
        <f>IF(AND(A38&gt;CARGAS!$R$29,A38&lt;=CARGAS!$R$30),tanque2,0)</f>
        <v>0</v>
      </c>
      <c r="H38" s="22">
        <f>IF(AND(A38&gt;CARGAS!$U$29,A38&lt;=CARGAS!$U$30),tanque3,0)</f>
        <v>0</v>
      </c>
      <c r="I38" s="22">
        <f>IF(AND(A38&gt;CARGAS!$X$29,A38&lt;=CARGAS!$X$30),tanque4,0)</f>
        <v>0</v>
      </c>
      <c r="J38" s="22">
        <f>IF(AND(A38&gt;CARGAS!$AA$29,A38&lt;=CARGAS!$AA$30),tanque5,0)</f>
        <v>0</v>
      </c>
      <c r="K38" s="22">
        <f>IF(AND($A38&gt;CARGAS!$AD$29,$A38&lt;=CARGAS!$AD$30),tanque6,0)</f>
        <v>0</v>
      </c>
      <c r="L38" s="22">
        <f>IF(AND($A38&gt;CARGAS!$AG$29,$A38&lt;=CARGAS!$AG$30),tanque7,0)</f>
        <v>0</v>
      </c>
      <c r="M38" s="22">
        <f>IF(AND($A38&gt;CARGAS!$AJ$29,$A38&lt;=CARGAS!$AJ$30),tanque8,0)</f>
        <v>0</v>
      </c>
      <c r="N38" s="22">
        <f t="shared" si="2"/>
        <v>376.37066742857138</v>
      </c>
      <c r="O38" s="22">
        <f t="shared" si="6"/>
        <v>25.686527135193771</v>
      </c>
      <c r="P38" s="22">
        <f>O38*Equilibrio!Y$39*Equilibrio!Y$38*DADOS!C$4</f>
        <v>789.86070940720845</v>
      </c>
      <c r="Q38" s="22">
        <f t="shared" si="3"/>
        <v>-413.49004197863707</v>
      </c>
      <c r="R38" s="22">
        <f t="shared" si="5"/>
        <v>287.78332460211305</v>
      </c>
      <c r="S38" s="22">
        <f t="shared" si="4"/>
        <v>105175.5942498051</v>
      </c>
      <c r="T38" s="22">
        <f t="shared" si="7"/>
        <v>13925.714694857141</v>
      </c>
      <c r="X38" t="s">
        <v>52</v>
      </c>
      <c r="Y38">
        <f>IF(CARGAS!P1=1,1.025,0.998)</f>
        <v>1.0249999999999999</v>
      </c>
      <c r="Z38" t="s">
        <v>53</v>
      </c>
    </row>
    <row r="39" spans="1:26" x14ac:dyDescent="0.25">
      <c r="A39" s="21">
        <v>38</v>
      </c>
      <c r="B39" s="22">
        <f>CARGAS!$C$40*Equilibrio!A39^2+CARGAS!$D$40*Equilibrio!A39+CARGAS!$E$40</f>
        <v>78.551384326530552</v>
      </c>
      <c r="C39" s="22">
        <f>CARGAS!$C$53*Equilibrio!A39^2+CARGAS!$D$53*Equilibrio!A39+CARGAS!$E$53</f>
        <v>13.091897387755097</v>
      </c>
      <c r="D39">
        <f>IF(posisup=1,IF(A39&lt;=CARGAS!$E$68,sup,0),IF(posisup=2,IF(AND(A39&lt;=CARGAS!$E$69,A39&gt;=CARGAS!$D$69),sup,0),IF(posisup=3,IF(AND(A39&lt;=CARGAS!$E$70,A39&gt;=CARGAS!$D$70),sup,0),0)))</f>
        <v>0</v>
      </c>
      <c r="E39">
        <f>IF(A39&lt;=CARGAS!$H$25,CARGAS!$I$20,0)</f>
        <v>0</v>
      </c>
      <c r="F39" s="22">
        <f>IF(AND(A39&gt;CARGAS!$O$29,A39&lt;=CARGAS!$O$30),tanque1,0)</f>
        <v>285.60000000000002</v>
      </c>
      <c r="G39" s="22">
        <f>IF(AND(A39&gt;CARGAS!$R$29,A39&lt;=CARGAS!$R$30),tanque2,0)</f>
        <v>0</v>
      </c>
      <c r="H39" s="22">
        <f>IF(AND(A39&gt;CARGAS!$U$29,A39&lt;=CARGAS!$U$30),tanque3,0)</f>
        <v>0</v>
      </c>
      <c r="I39" s="22">
        <f>IF(AND(A39&gt;CARGAS!$X$29,A39&lt;=CARGAS!$X$30),tanque4,0)</f>
        <v>0</v>
      </c>
      <c r="J39" s="22">
        <f>IF(AND(A39&gt;CARGAS!$AA$29,A39&lt;=CARGAS!$AA$30),tanque5,0)</f>
        <v>0</v>
      </c>
      <c r="K39" s="22">
        <f>IF(AND($A39&gt;CARGAS!$AD$29,$A39&lt;=CARGAS!$AD$30),tanque6,0)</f>
        <v>0</v>
      </c>
      <c r="L39" s="22">
        <f>IF(AND($A39&gt;CARGAS!$AG$29,$A39&lt;=CARGAS!$AG$30),tanque7,0)</f>
        <v>0</v>
      </c>
      <c r="M39" s="22">
        <f>IF(AND($A39&gt;CARGAS!$AJ$29,$A39&lt;=CARGAS!$AJ$30),tanque8,0)</f>
        <v>0</v>
      </c>
      <c r="N39" s="22">
        <f t="shared" si="2"/>
        <v>377.24328171428567</v>
      </c>
      <c r="O39" s="22">
        <f t="shared" si="6"/>
        <v>25.59604937102328</v>
      </c>
      <c r="P39" s="22">
        <f>O39*Equilibrio!Y$39*Equilibrio!Y$38*DADOS!C$4</f>
        <v>787.07851815896584</v>
      </c>
      <c r="Q39" s="22">
        <f t="shared" si="3"/>
        <v>-409.83523644468016</v>
      </c>
      <c r="R39" s="22">
        <f t="shared" si="5"/>
        <v>-122.05191184256711</v>
      </c>
      <c r="S39" s="22">
        <f t="shared" si="4"/>
        <v>105053.54233796253</v>
      </c>
      <c r="T39" s="22">
        <f t="shared" si="7"/>
        <v>14335.244705142855</v>
      </c>
      <c r="X39" t="s">
        <v>63</v>
      </c>
      <c r="Y39">
        <v>1</v>
      </c>
      <c r="Z39" t="s">
        <v>26</v>
      </c>
    </row>
    <row r="40" spans="1:26" x14ac:dyDescent="0.25">
      <c r="A40" s="21">
        <v>39</v>
      </c>
      <c r="B40" s="22">
        <f>CARGAS!$C$40*Equilibrio!A40^2+CARGAS!$D$40*Equilibrio!A40+CARGAS!$E$40</f>
        <v>79.29389975510199</v>
      </c>
      <c r="C40" s="22">
        <f>CARGAS!$C$53*Equilibrio!A40^2+CARGAS!$D$53*Equilibrio!A40+CARGAS!$E$53</f>
        <v>13.215649959183668</v>
      </c>
      <c r="D40">
        <f>IF(posisup=1,IF(A40&lt;=CARGAS!$E$68,sup,0),IF(posisup=2,IF(AND(A40&lt;=CARGAS!$E$69,A40&gt;=CARGAS!$D$69),sup,0),IF(posisup=3,IF(AND(A40&lt;=CARGAS!$E$70,A40&gt;=CARGAS!$D$70),sup,0),0)))</f>
        <v>0</v>
      </c>
      <c r="E40">
        <f>IF(A40&lt;=CARGAS!$H$25,CARGAS!$I$20,0)</f>
        <v>0</v>
      </c>
      <c r="F40" s="22">
        <f>IF(AND(A40&gt;CARGAS!$O$29,A40&lt;=CARGAS!$O$30),tanque1,0)</f>
        <v>285.60000000000002</v>
      </c>
      <c r="G40" s="22">
        <f>IF(AND(A40&gt;CARGAS!$R$29,A40&lt;=CARGAS!$R$30),tanque2,0)</f>
        <v>0</v>
      </c>
      <c r="H40" s="22">
        <f>IF(AND(A40&gt;CARGAS!$U$29,A40&lt;=CARGAS!$U$30),tanque3,0)</f>
        <v>0</v>
      </c>
      <c r="I40" s="22">
        <f>IF(AND(A40&gt;CARGAS!$X$29,A40&lt;=CARGAS!$X$30),tanque4,0)</f>
        <v>0</v>
      </c>
      <c r="J40" s="22">
        <f>IF(AND(A40&gt;CARGAS!$AA$29,A40&lt;=CARGAS!$AA$30),tanque5,0)</f>
        <v>0</v>
      </c>
      <c r="K40" s="22">
        <f>IF(AND($A40&gt;CARGAS!$AD$29,$A40&lt;=CARGAS!$AD$30),tanque6,0)</f>
        <v>0</v>
      </c>
      <c r="L40" s="22">
        <f>IF(AND($A40&gt;CARGAS!$AG$29,$A40&lt;=CARGAS!$AG$30),tanque7,0)</f>
        <v>0</v>
      </c>
      <c r="M40" s="22">
        <f>IF(AND($A40&gt;CARGAS!$AJ$29,$A40&lt;=CARGAS!$AJ$30),tanque8,0)</f>
        <v>0</v>
      </c>
      <c r="N40" s="22">
        <f t="shared" si="2"/>
        <v>378.10954971428566</v>
      </c>
      <c r="O40" s="22">
        <f t="shared" si="6"/>
        <v>25.503382859128205</v>
      </c>
      <c r="P40" s="22">
        <f>O40*Equilibrio!Y$39*Equilibrio!Y$38*DADOS!C$4</f>
        <v>784.2290229181923</v>
      </c>
      <c r="Q40" s="22">
        <f t="shared" si="3"/>
        <v>-406.11947320390664</v>
      </c>
      <c r="R40" s="22">
        <f t="shared" si="5"/>
        <v>-528.17138504647369</v>
      </c>
      <c r="S40" s="22">
        <f t="shared" si="4"/>
        <v>104525.37095291606</v>
      </c>
      <c r="T40" s="22">
        <f t="shared" si="7"/>
        <v>14746.272438857141</v>
      </c>
    </row>
    <row r="41" spans="1:26" x14ac:dyDescent="0.25">
      <c r="A41" s="21">
        <v>40</v>
      </c>
      <c r="B41" s="22">
        <f>CARGAS!$C$40*Equilibrio!A41^2+CARGAS!$D$40*Equilibrio!A41+CARGAS!$E$40</f>
        <v>80.03097551020403</v>
      </c>
      <c r="C41" s="22">
        <f>CARGAS!$C$53*Equilibrio!A41^2+CARGAS!$D$53*Equilibrio!A41+CARGAS!$E$53</f>
        <v>13.338495918367341</v>
      </c>
      <c r="D41">
        <f>IF(posisup=1,IF(A41&lt;=CARGAS!$E$68,sup,0),IF(posisup=2,IF(AND(A41&lt;=CARGAS!$E$69,A41&gt;=CARGAS!$D$69),sup,0),IF(posisup=3,IF(AND(A41&lt;=CARGAS!$E$70,A41&gt;=CARGAS!$D$70),sup,0),0)))</f>
        <v>0</v>
      </c>
      <c r="E41">
        <f>IF(A41&lt;=CARGAS!$H$25,CARGAS!$I$20,0)</f>
        <v>0</v>
      </c>
      <c r="F41" s="22">
        <f>IF(AND(A41&gt;CARGAS!$O$29,A41&lt;=CARGAS!$O$30),tanque1,0)</f>
        <v>285.60000000000002</v>
      </c>
      <c r="G41" s="22">
        <f>IF(AND(A41&gt;CARGAS!$R$29,A41&lt;=CARGAS!$R$30),tanque2,0)</f>
        <v>0</v>
      </c>
      <c r="H41" s="22">
        <f>IF(AND(A41&gt;CARGAS!$U$29,A41&lt;=CARGAS!$U$30),tanque3,0)</f>
        <v>0</v>
      </c>
      <c r="I41" s="22">
        <f>IF(AND(A41&gt;CARGAS!$X$29,A41&lt;=CARGAS!$X$30),tanque4,0)</f>
        <v>0</v>
      </c>
      <c r="J41" s="22">
        <f>IF(AND(A41&gt;CARGAS!$AA$29,A41&lt;=CARGAS!$AA$30),tanque5,0)</f>
        <v>0</v>
      </c>
      <c r="K41" s="22">
        <f>IF(AND($A41&gt;CARGAS!$AD$29,$A41&lt;=CARGAS!$AD$30),tanque6,0)</f>
        <v>0</v>
      </c>
      <c r="L41" s="22">
        <f>IF(AND($A41&gt;CARGAS!$AG$29,$A41&lt;=CARGAS!$AG$30),tanque7,0)</f>
        <v>0</v>
      </c>
      <c r="M41" s="22">
        <f>IF(AND($A41&gt;CARGAS!$AJ$29,$A41&lt;=CARGAS!$AJ$30),tanque8,0)</f>
        <v>0</v>
      </c>
      <c r="N41" s="22">
        <f t="shared" si="2"/>
        <v>378.96947142857141</v>
      </c>
      <c r="O41" s="22">
        <f t="shared" si="6"/>
        <v>25.408559866199845</v>
      </c>
      <c r="P41" s="22">
        <f>O41*Equilibrio!Y$39*Equilibrio!Y$38*DADOS!C$4</f>
        <v>781.31321588564515</v>
      </c>
      <c r="Q41" s="22">
        <f t="shared" si="3"/>
        <v>-402.34374445707374</v>
      </c>
      <c r="R41" s="22">
        <f t="shared" si="5"/>
        <v>-930.51512950354743</v>
      </c>
      <c r="S41" s="22">
        <f t="shared" si="4"/>
        <v>103594.85582341251</v>
      </c>
      <c r="T41" s="22">
        <f t="shared" si="7"/>
        <v>15158.778857142857</v>
      </c>
    </row>
    <row r="42" spans="1:26" x14ac:dyDescent="0.25">
      <c r="A42" s="21">
        <v>41</v>
      </c>
      <c r="B42" s="22">
        <f>CARGAS!$C$40*Equilibrio!A42^2+CARGAS!$D$40*Equilibrio!A42+CARGAS!$E$40</f>
        <v>80.762611591836674</v>
      </c>
      <c r="C42" s="22">
        <f>CARGAS!$C$53*Equilibrio!A42^2+CARGAS!$D$53*Equilibrio!A42+CARGAS!$E$53</f>
        <v>13.460435265306117</v>
      </c>
      <c r="D42">
        <f>IF(posisup=1,IF(A42&lt;=CARGAS!$E$68,sup,0),IF(posisup=2,IF(AND(A42&lt;=CARGAS!$E$69,A42&gt;=CARGAS!$D$69),sup,0),IF(posisup=3,IF(AND(A42&lt;=CARGAS!$E$70,A42&gt;=CARGAS!$D$70),sup,0),0)))</f>
        <v>0</v>
      </c>
      <c r="E42">
        <f>IF(A42&lt;=CARGAS!$H$25,CARGAS!$I$20,0)</f>
        <v>0</v>
      </c>
      <c r="F42" s="22">
        <f>IF(AND(A42&gt;CARGAS!$O$29,A42&lt;=CARGAS!$O$30),tanque1,0)</f>
        <v>285.60000000000002</v>
      </c>
      <c r="G42" s="22">
        <f>IF(AND(A42&gt;CARGAS!$R$29,A42&lt;=CARGAS!$R$30),tanque2,0)</f>
        <v>0</v>
      </c>
      <c r="H42" s="22">
        <f>IF(AND(A42&gt;CARGAS!$U$29,A42&lt;=CARGAS!$U$30),tanque3,0)</f>
        <v>0</v>
      </c>
      <c r="I42" s="22">
        <f>IF(AND(A42&gt;CARGAS!$X$29,A42&lt;=CARGAS!$X$30),tanque4,0)</f>
        <v>0</v>
      </c>
      <c r="J42" s="22">
        <f>IF(AND(A42&gt;CARGAS!$AA$29,A42&lt;=CARGAS!$AA$30),tanque5,0)</f>
        <v>0</v>
      </c>
      <c r="K42" s="22">
        <f>IF(AND($A42&gt;CARGAS!$AD$29,$A42&lt;=CARGAS!$AD$30),tanque6,0)</f>
        <v>0</v>
      </c>
      <c r="L42" s="22">
        <f>IF(AND($A42&gt;CARGAS!$AG$29,$A42&lt;=CARGAS!$AG$30),tanque7,0)</f>
        <v>0</v>
      </c>
      <c r="M42" s="22">
        <f>IF(AND($A42&gt;CARGAS!$AJ$29,$A42&lt;=CARGAS!$AJ$30),tanque8,0)</f>
        <v>0</v>
      </c>
      <c r="N42" s="22">
        <f t="shared" si="2"/>
        <v>379.8230468571428</v>
      </c>
      <c r="O42" s="22">
        <f t="shared" si="6"/>
        <v>25.31161335388601</v>
      </c>
      <c r="P42" s="22">
        <f>O42*Equilibrio!Y$39*Equilibrio!Y$38*DADOS!C$4</f>
        <v>778.33211063199474</v>
      </c>
      <c r="Q42" s="22">
        <f t="shared" si="3"/>
        <v>-398.50906377485194</v>
      </c>
      <c r="R42" s="22">
        <f t="shared" si="5"/>
        <v>-1329.0241932783993</v>
      </c>
      <c r="S42" s="22">
        <f t="shared" si="4"/>
        <v>102265.83163013411</v>
      </c>
      <c r="T42" s="22">
        <f t="shared" si="7"/>
        <v>15572.744921142854</v>
      </c>
    </row>
    <row r="43" spans="1:26" x14ac:dyDescent="0.25">
      <c r="A43" s="21">
        <v>42</v>
      </c>
      <c r="B43" s="22">
        <f>CARGAS!$C$40*Equilibrio!A43^2+CARGAS!$D$40*Equilibrio!A43+CARGAS!$E$40</f>
        <v>81.488807999999949</v>
      </c>
      <c r="C43" s="22">
        <f>CARGAS!$C$53*Equilibrio!A43^2+CARGAS!$D$53*Equilibrio!A43+CARGAS!$E$53</f>
        <v>13.581467999999994</v>
      </c>
      <c r="D43">
        <f>IF(posisup=1,IF(A43&lt;=CARGAS!$E$68,sup,0),IF(posisup=2,IF(AND(A43&lt;=CARGAS!$E$69,A43&gt;=CARGAS!$D$69),sup,0),IF(posisup=3,IF(AND(A43&lt;=CARGAS!$E$70,A43&gt;=CARGAS!$D$70),sup,0),0)))</f>
        <v>0</v>
      </c>
      <c r="E43">
        <f>IF(A43&lt;=CARGAS!$H$25,CARGAS!$I$20,0)</f>
        <v>0</v>
      </c>
      <c r="F43" s="22">
        <f>IF(AND(A43&gt;CARGAS!$O$29,A43&lt;=CARGAS!$O$30),tanque1,0)</f>
        <v>285.60000000000002</v>
      </c>
      <c r="G43" s="22">
        <f>IF(AND(A43&gt;CARGAS!$R$29,A43&lt;=CARGAS!$R$30),tanque2,0)</f>
        <v>0</v>
      </c>
      <c r="H43" s="22">
        <f>IF(AND(A43&gt;CARGAS!$U$29,A43&lt;=CARGAS!$U$30),tanque3,0)</f>
        <v>0</v>
      </c>
      <c r="I43" s="22">
        <f>IF(AND(A43&gt;CARGAS!$X$29,A43&lt;=CARGAS!$X$30),tanque4,0)</f>
        <v>0</v>
      </c>
      <c r="J43" s="22">
        <f>IF(AND(A43&gt;CARGAS!$AA$29,A43&lt;=CARGAS!$AA$30),tanque5,0)</f>
        <v>0</v>
      </c>
      <c r="K43" s="22">
        <f>IF(AND($A43&gt;CARGAS!$AD$29,$A43&lt;=CARGAS!$AD$30),tanque6,0)</f>
        <v>0</v>
      </c>
      <c r="L43" s="22">
        <f>IF(AND($A43&gt;CARGAS!$AG$29,$A43&lt;=CARGAS!$AG$30),tanque7,0)</f>
        <v>0</v>
      </c>
      <c r="M43" s="22">
        <f>IF(AND($A43&gt;CARGAS!$AJ$29,$A43&lt;=CARGAS!$AJ$30),tanque8,0)</f>
        <v>0</v>
      </c>
      <c r="N43" s="22">
        <f t="shared" si="2"/>
        <v>380.67027599999994</v>
      </c>
      <c r="O43" s="22">
        <f t="shared" si="6"/>
        <v>25.212576968168655</v>
      </c>
      <c r="P43" s="22">
        <f>O43*Equilibrio!Y$39*Equilibrio!Y$38*DADOS!C$4</f>
        <v>775.28674177118614</v>
      </c>
      <c r="Q43" s="22">
        <f t="shared" si="3"/>
        <v>-394.6164657711862</v>
      </c>
      <c r="R43" s="22">
        <f t="shared" si="5"/>
        <v>-1723.6406590495853</v>
      </c>
      <c r="S43" s="22">
        <f t="shared" si="4"/>
        <v>100542.19097108452</v>
      </c>
      <c r="T43" s="22">
        <f t="shared" si="7"/>
        <v>15988.151591999998</v>
      </c>
    </row>
    <row r="44" spans="1:26" x14ac:dyDescent="0.25">
      <c r="A44" s="21">
        <v>43</v>
      </c>
      <c r="B44" s="22">
        <f>CARGAS!$C$40*Equilibrio!A44^2+CARGAS!$D$40*Equilibrio!A44+CARGAS!$E$40</f>
        <v>82.209564734693828</v>
      </c>
      <c r="C44" s="22">
        <f>CARGAS!$C$53*Equilibrio!A44^2+CARGAS!$D$53*Equilibrio!A44+CARGAS!$E$53</f>
        <v>13.701594122448974</v>
      </c>
      <c r="D44">
        <f>IF(posisup=1,IF(A44&lt;=CARGAS!$E$68,sup,0),IF(posisup=2,IF(AND(A44&lt;=CARGAS!$E$69,A44&gt;=CARGAS!$D$69),sup,0),IF(posisup=3,IF(AND(A44&lt;=CARGAS!$E$70,A44&gt;=CARGAS!$D$70),sup,0),0)))</f>
        <v>0</v>
      </c>
      <c r="E44">
        <f>IF(A44&lt;=CARGAS!$H$25,CARGAS!$I$20,0)</f>
        <v>0</v>
      </c>
      <c r="F44" s="22">
        <f>IF(AND(A44&gt;CARGAS!$O$29,A44&lt;=CARGAS!$O$30),tanque1,0)</f>
        <v>285.60000000000002</v>
      </c>
      <c r="G44" s="22">
        <f>IF(AND(A44&gt;CARGAS!$R$29,A44&lt;=CARGAS!$R$30),tanque2,0)</f>
        <v>0</v>
      </c>
      <c r="H44" s="22">
        <f>IF(AND(A44&gt;CARGAS!$U$29,A44&lt;=CARGAS!$U$30),tanque3,0)</f>
        <v>0</v>
      </c>
      <c r="I44" s="22">
        <f>IF(AND(A44&gt;CARGAS!$X$29,A44&lt;=CARGAS!$X$30),tanque4,0)</f>
        <v>0</v>
      </c>
      <c r="J44" s="22">
        <f>IF(AND(A44&gt;CARGAS!$AA$29,A44&lt;=CARGAS!$AA$30),tanque5,0)</f>
        <v>0</v>
      </c>
      <c r="K44" s="22">
        <f>IF(AND($A44&gt;CARGAS!$AD$29,$A44&lt;=CARGAS!$AD$30),tanque6,0)</f>
        <v>0</v>
      </c>
      <c r="L44" s="22">
        <f>IF(AND($A44&gt;CARGAS!$AG$29,$A44&lt;=CARGAS!$AG$30),tanque7,0)</f>
        <v>0</v>
      </c>
      <c r="M44" s="22">
        <f>IF(AND($A44&gt;CARGAS!$AJ$29,$A44&lt;=CARGAS!$AJ$30),tanque8,0)</f>
        <v>0</v>
      </c>
      <c r="N44" s="22">
        <f t="shared" si="2"/>
        <v>381.51115885714285</v>
      </c>
      <c r="O44" s="22">
        <f t="shared" si="6"/>
        <v>25.111485028521017</v>
      </c>
      <c r="P44" s="22">
        <f>O44*Equilibrio!Y$39*Equilibrio!Y$38*DADOS!C$4</f>
        <v>772.17816462702126</v>
      </c>
      <c r="Q44" s="22">
        <f t="shared" si="3"/>
        <v>-390.66700576987841</v>
      </c>
      <c r="R44" s="22">
        <f t="shared" si="5"/>
        <v>-2114.3076648194638</v>
      </c>
      <c r="S44" s="22">
        <f t="shared" si="4"/>
        <v>98427.883306265052</v>
      </c>
      <c r="T44" s="22">
        <f t="shared" si="7"/>
        <v>16404.979830857141</v>
      </c>
    </row>
    <row r="45" spans="1:26" x14ac:dyDescent="0.25">
      <c r="A45" s="21">
        <v>44</v>
      </c>
      <c r="B45" s="22">
        <f>CARGAS!$C$40*Equilibrio!A45^2+CARGAS!$D$40*Equilibrio!A45+CARGAS!$E$40</f>
        <v>82.92488179591831</v>
      </c>
      <c r="C45" s="22">
        <f>CARGAS!$C$53*Equilibrio!A45^2+CARGAS!$D$53*Equilibrio!A45+CARGAS!$E$53</f>
        <v>13.820813632653055</v>
      </c>
      <c r="D45">
        <f>IF(posisup=1,IF(A45&lt;=CARGAS!$E$68,sup,0),IF(posisup=2,IF(AND(A45&lt;=CARGAS!$E$69,A45&gt;=CARGAS!$D$69),sup,0),IF(posisup=3,IF(AND(A45&lt;=CARGAS!$E$70,A45&gt;=CARGAS!$D$70),sup,0),0)))</f>
        <v>0</v>
      </c>
      <c r="E45">
        <f>IF(A45&lt;=CARGAS!$H$25,CARGAS!$I$20,0)</f>
        <v>0</v>
      </c>
      <c r="F45" s="22">
        <f>IF(AND(A45&gt;CARGAS!$O$29,A45&lt;=CARGAS!$O$30),tanque1,0)</f>
        <v>285.60000000000002</v>
      </c>
      <c r="G45" s="22">
        <f>IF(AND(A45&gt;CARGAS!$R$29,A45&lt;=CARGAS!$R$30),tanque2,0)</f>
        <v>0</v>
      </c>
      <c r="H45" s="22">
        <f>IF(AND(A45&gt;CARGAS!$U$29,A45&lt;=CARGAS!$U$30),tanque3,0)</f>
        <v>0</v>
      </c>
      <c r="I45" s="22">
        <f>IF(AND(A45&gt;CARGAS!$X$29,A45&lt;=CARGAS!$X$30),tanque4,0)</f>
        <v>0</v>
      </c>
      <c r="J45" s="22">
        <f>IF(AND(A45&gt;CARGAS!$AA$29,A45&lt;=CARGAS!$AA$30),tanque5,0)</f>
        <v>0</v>
      </c>
      <c r="K45" s="22">
        <f>IF(AND($A45&gt;CARGAS!$AD$29,$A45&lt;=CARGAS!$AD$30),tanque6,0)</f>
        <v>0</v>
      </c>
      <c r="L45" s="22">
        <f>IF(AND($A45&gt;CARGAS!$AG$29,$A45&lt;=CARGAS!$AG$30),tanque7,0)</f>
        <v>0</v>
      </c>
      <c r="M45" s="22">
        <f>IF(AND($A45&gt;CARGAS!$AJ$29,$A45&lt;=CARGAS!$AJ$30),tanque8,0)</f>
        <v>0</v>
      </c>
      <c r="N45" s="22">
        <f t="shared" si="2"/>
        <v>382.34569542857139</v>
      </c>
      <c r="O45" s="22">
        <f t="shared" si="6"/>
        <v>25.008372516847633</v>
      </c>
      <c r="P45" s="22">
        <f>O45*Equilibrio!Y$39*Equilibrio!Y$38*DADOS!C$4</f>
        <v>769.00745489306462</v>
      </c>
      <c r="Q45" s="22">
        <f t="shared" si="3"/>
        <v>-386.66175946449323</v>
      </c>
      <c r="R45" s="22">
        <f t="shared" si="5"/>
        <v>-2500.9694242839569</v>
      </c>
      <c r="S45" s="22">
        <f t="shared" si="4"/>
        <v>95926.913881981091</v>
      </c>
      <c r="T45" s="22">
        <f t="shared" si="7"/>
        <v>16823.210598857142</v>
      </c>
    </row>
    <row r="46" spans="1:26" x14ac:dyDescent="0.25">
      <c r="A46" s="21">
        <v>45</v>
      </c>
      <c r="B46" s="22">
        <f>CARGAS!$C$40*Equilibrio!A46^2+CARGAS!$D$40*Equilibrio!A46+CARGAS!$E$40</f>
        <v>83.63475918367341</v>
      </c>
      <c r="C46" s="22">
        <f>CARGAS!$C$53*Equilibrio!A46^2+CARGAS!$D$53*Equilibrio!A46+CARGAS!$E$53</f>
        <v>13.939126530612238</v>
      </c>
      <c r="D46">
        <f>IF(posisup=1,IF(A46&lt;=CARGAS!$E$68,sup,0),IF(posisup=2,IF(AND(A46&lt;=CARGAS!$E$69,A46&gt;=CARGAS!$D$69),sup,0),IF(posisup=3,IF(AND(A46&lt;=CARGAS!$E$70,A46&gt;=CARGAS!$D$70),sup,0),0)))</f>
        <v>0</v>
      </c>
      <c r="E46">
        <f>IF(A46&lt;=CARGAS!$H$25,CARGAS!$I$20,0)</f>
        <v>0</v>
      </c>
      <c r="F46" s="22">
        <f>IF(AND(A46&gt;CARGAS!$O$29,A46&lt;=CARGAS!$O$30),tanque1,0)</f>
        <v>285.60000000000002</v>
      </c>
      <c r="G46" s="22">
        <f>IF(AND(A46&gt;CARGAS!$R$29,A46&lt;=CARGAS!$R$30),tanque2,0)</f>
        <v>0</v>
      </c>
      <c r="H46" s="22">
        <f>IF(AND(A46&gt;CARGAS!$U$29,A46&lt;=CARGAS!$U$30),tanque3,0)</f>
        <v>0</v>
      </c>
      <c r="I46" s="22">
        <f>IF(AND(A46&gt;CARGAS!$X$29,A46&lt;=CARGAS!$X$30),tanque4,0)</f>
        <v>0</v>
      </c>
      <c r="J46" s="22">
        <f>IF(AND(A46&gt;CARGAS!$AA$29,A46&lt;=CARGAS!$AA$30),tanque5,0)</f>
        <v>0</v>
      </c>
      <c r="K46" s="22">
        <f>IF(AND($A46&gt;CARGAS!$AD$29,$A46&lt;=CARGAS!$AD$30),tanque6,0)</f>
        <v>0</v>
      </c>
      <c r="L46" s="22">
        <f>IF(AND($A46&gt;CARGAS!$AG$29,$A46&lt;=CARGAS!$AG$30),tanque7,0)</f>
        <v>0</v>
      </c>
      <c r="M46" s="22">
        <f>IF(AND($A46&gt;CARGAS!$AJ$29,$A46&lt;=CARGAS!$AJ$30),tanque8,0)</f>
        <v>0</v>
      </c>
      <c r="N46" s="22">
        <f t="shared" si="2"/>
        <v>383.17388571428569</v>
      </c>
      <c r="O46" s="22">
        <f t="shared" si="6"/>
        <v>24.903275066210956</v>
      </c>
      <c r="P46" s="22">
        <f>O46*Equilibrio!Y$39*Equilibrio!Y$38*DADOS!C$4</f>
        <v>765.77570828598687</v>
      </c>
      <c r="Q46" s="22">
        <f t="shared" si="3"/>
        <v>-382.60182257170118</v>
      </c>
      <c r="R46" s="22">
        <f t="shared" si="5"/>
        <v>-2883.571246855658</v>
      </c>
      <c r="S46" s="22">
        <f t="shared" si="4"/>
        <v>93043.342635125431</v>
      </c>
      <c r="T46" s="22">
        <f t="shared" si="7"/>
        <v>17242.824857142856</v>
      </c>
    </row>
    <row r="47" spans="1:26" x14ac:dyDescent="0.25">
      <c r="A47" s="21">
        <v>46</v>
      </c>
      <c r="B47" s="22">
        <f>CARGAS!$C$40*Equilibrio!A47^2+CARGAS!$D$40*Equilibrio!A47+CARGAS!$E$40</f>
        <v>84.339196897959113</v>
      </c>
      <c r="C47" s="22">
        <f>CARGAS!$C$53*Equilibrio!A47^2+CARGAS!$D$53*Equilibrio!A47+CARGAS!$E$53</f>
        <v>14.056532816326524</v>
      </c>
      <c r="D47">
        <f>IF(posisup=1,IF(A47&lt;=CARGAS!$E$68,sup,0),IF(posisup=2,IF(AND(A47&lt;=CARGAS!$E$69,A47&gt;=CARGAS!$D$69),sup,0),IF(posisup=3,IF(AND(A47&lt;=CARGAS!$E$70,A47&gt;=CARGAS!$D$70),sup,0),0)))</f>
        <v>0</v>
      </c>
      <c r="E47">
        <f>IF(A47&lt;=CARGAS!$H$25,CARGAS!$I$20,0)</f>
        <v>0</v>
      </c>
      <c r="F47" s="22">
        <f>IF(AND(A47&gt;CARGAS!$O$29,A47&lt;=CARGAS!$O$30),tanque1,0)</f>
        <v>285.60000000000002</v>
      </c>
      <c r="G47" s="22">
        <f>IF(AND(A47&gt;CARGAS!$R$29,A47&lt;=CARGAS!$R$30),tanque2,0)</f>
        <v>0</v>
      </c>
      <c r="H47" s="22">
        <f>IF(AND(A47&gt;CARGAS!$U$29,A47&lt;=CARGAS!$U$30),tanque3,0)</f>
        <v>0</v>
      </c>
      <c r="I47" s="22">
        <f>IF(AND(A47&gt;CARGAS!$X$29,A47&lt;=CARGAS!$X$30),tanque4,0)</f>
        <v>0</v>
      </c>
      <c r="J47" s="22">
        <f>IF(AND(A47&gt;CARGAS!$AA$29,A47&lt;=CARGAS!$AA$30),tanque5,0)</f>
        <v>0</v>
      </c>
      <c r="K47" s="22">
        <f>IF(AND($A47&gt;CARGAS!$AD$29,$A47&lt;=CARGAS!$AD$30),tanque6,0)</f>
        <v>0</v>
      </c>
      <c r="L47" s="22">
        <f>IF(AND($A47&gt;CARGAS!$AG$29,$A47&lt;=CARGAS!$AG$30),tanque7,0)</f>
        <v>0</v>
      </c>
      <c r="M47" s="22">
        <f>IF(AND($A47&gt;CARGAS!$AJ$29,$A47&lt;=CARGAS!$AJ$30),tanque8,0)</f>
        <v>0</v>
      </c>
      <c r="N47" s="22">
        <f t="shared" si="2"/>
        <v>383.99572971428563</v>
      </c>
      <c r="O47" s="22">
        <f t="shared" si="6"/>
        <v>24.796228949348098</v>
      </c>
      <c r="P47" s="22">
        <f>O47*Equilibrio!Y$39*Equilibrio!Y$38*DADOS!C$4</f>
        <v>762.48404019245402</v>
      </c>
      <c r="Q47" s="22">
        <f t="shared" si="3"/>
        <v>-378.48831047816839</v>
      </c>
      <c r="R47" s="22">
        <f t="shared" si="5"/>
        <v>-3262.0595573338264</v>
      </c>
      <c r="S47" s="22">
        <f t="shared" si="4"/>
        <v>89781.28307779161</v>
      </c>
      <c r="T47" s="22">
        <f t="shared" si="7"/>
        <v>17663.803566857139</v>
      </c>
    </row>
    <row r="48" spans="1:26" x14ac:dyDescent="0.25">
      <c r="A48" s="21">
        <v>47</v>
      </c>
      <c r="B48" s="22">
        <f>CARGAS!$C$40*Equilibrio!A48^2+CARGAS!$D$40*Equilibrio!A48+CARGAS!$E$40</f>
        <v>85.038194938775462</v>
      </c>
      <c r="C48" s="22">
        <f>CARGAS!$C$53*Equilibrio!A48^2+CARGAS!$D$53*Equilibrio!A48+CARGAS!$E$53</f>
        <v>14.173032489795911</v>
      </c>
      <c r="D48">
        <f>IF(posisup=1,IF(A48&lt;=CARGAS!$E$68,sup,0),IF(posisup=2,IF(AND(A48&lt;=CARGAS!$E$69,A48&gt;=CARGAS!$D$69),sup,0),IF(posisup=3,IF(AND(A48&lt;=CARGAS!$E$70,A48&gt;=CARGAS!$D$70),sup,0),0)))</f>
        <v>0</v>
      </c>
      <c r="E48">
        <f>IF(A48&lt;=CARGAS!$H$25,CARGAS!$I$20,0)</f>
        <v>0</v>
      </c>
      <c r="F48" s="22">
        <f>IF(AND(A48&gt;CARGAS!$O$29,A48&lt;=CARGAS!$O$30),tanque1,0)</f>
        <v>285.60000000000002</v>
      </c>
      <c r="G48" s="22">
        <f>IF(AND(A48&gt;CARGAS!$R$29,A48&lt;=CARGAS!$R$30),tanque2,0)</f>
        <v>0</v>
      </c>
      <c r="H48" s="22">
        <f>IF(AND(A48&gt;CARGAS!$U$29,A48&lt;=CARGAS!$U$30),tanque3,0)</f>
        <v>0</v>
      </c>
      <c r="I48" s="22">
        <f>IF(AND(A48&gt;CARGAS!$X$29,A48&lt;=CARGAS!$X$30),tanque4,0)</f>
        <v>0</v>
      </c>
      <c r="J48" s="22">
        <f>IF(AND(A48&gt;CARGAS!$AA$29,A48&lt;=CARGAS!$AA$30),tanque5,0)</f>
        <v>0</v>
      </c>
      <c r="K48" s="22">
        <f>IF(AND($A48&gt;CARGAS!$AD$29,$A48&lt;=CARGAS!$AD$30),tanque6,0)</f>
        <v>0</v>
      </c>
      <c r="L48" s="22">
        <f>IF(AND($A48&gt;CARGAS!$AG$29,$A48&lt;=CARGAS!$AG$30),tanque7,0)</f>
        <v>0</v>
      </c>
      <c r="M48" s="22">
        <f>IF(AND($A48&gt;CARGAS!$AJ$29,$A48&lt;=CARGAS!$AJ$30),tanque8,0)</f>
        <v>0</v>
      </c>
      <c r="N48" s="22">
        <f t="shared" si="2"/>
        <v>384.81122742857139</v>
      </c>
      <c r="O48" s="22">
        <f t="shared" si="6"/>
        <v>24.68727106698142</v>
      </c>
      <c r="P48" s="22">
        <f>O48*Equilibrio!Y$39*Equilibrio!Y$38*DADOS!C$4</f>
        <v>759.13358530967866</v>
      </c>
      <c r="Q48" s="22">
        <f t="shared" si="3"/>
        <v>-374.32235788110728</v>
      </c>
      <c r="R48" s="22">
        <f t="shared" si="5"/>
        <v>-3636.3819152149335</v>
      </c>
      <c r="S48" s="22">
        <f t="shared" si="4"/>
        <v>86144.901162576673</v>
      </c>
      <c r="T48" s="22">
        <f t="shared" si="7"/>
        <v>18086.127689142853</v>
      </c>
    </row>
    <row r="49" spans="1:20" x14ac:dyDescent="0.25">
      <c r="A49" s="21">
        <v>48</v>
      </c>
      <c r="B49" s="22">
        <f>CARGAS!$C$40*Equilibrio!A49^2+CARGAS!$D$40*Equilibrio!A49+CARGAS!$E$40</f>
        <v>85.731753306122386</v>
      </c>
      <c r="C49" s="22">
        <f>CARGAS!$C$53*Equilibrio!A49^2+CARGAS!$D$53*Equilibrio!A49+CARGAS!$E$53</f>
        <v>14.288625551020402</v>
      </c>
      <c r="D49">
        <f>IF(posisup=1,IF(A49&lt;=CARGAS!$E$68,sup,0),IF(posisup=2,IF(AND(A49&lt;=CARGAS!$E$69,A49&gt;=CARGAS!$D$69),sup,0),IF(posisup=3,IF(AND(A49&lt;=CARGAS!$E$70,A49&gt;=CARGAS!$D$70),sup,0),0)))</f>
        <v>0</v>
      </c>
      <c r="E49">
        <f>IF(A49&lt;=CARGAS!$H$25,CARGAS!$I$20,0)</f>
        <v>0</v>
      </c>
      <c r="F49" s="22">
        <f>IF(AND(A49&gt;CARGAS!$O$29,A49&lt;=CARGAS!$O$30),tanque1,0)</f>
        <v>285.60000000000002</v>
      </c>
      <c r="G49" s="22">
        <f>IF(AND(A49&gt;CARGAS!$R$29,A49&lt;=CARGAS!$R$30),tanque2,0)</f>
        <v>0</v>
      </c>
      <c r="H49" s="22">
        <f>IF(AND(A49&gt;CARGAS!$U$29,A49&lt;=CARGAS!$U$30),tanque3,0)</f>
        <v>0</v>
      </c>
      <c r="I49" s="22">
        <f>IF(AND(A49&gt;CARGAS!$X$29,A49&lt;=CARGAS!$X$30),tanque4,0)</f>
        <v>0</v>
      </c>
      <c r="J49" s="22">
        <f>IF(AND(A49&gt;CARGAS!$AA$29,A49&lt;=CARGAS!$AA$30),tanque5,0)</f>
        <v>0</v>
      </c>
      <c r="K49" s="22">
        <f>IF(AND($A49&gt;CARGAS!$AD$29,$A49&lt;=CARGAS!$AD$30),tanque6,0)</f>
        <v>0</v>
      </c>
      <c r="L49" s="22">
        <f>IF(AND($A49&gt;CARGAS!$AG$29,$A49&lt;=CARGAS!$AG$30),tanque7,0)</f>
        <v>0</v>
      </c>
      <c r="M49" s="22">
        <f>IF(AND($A49&gt;CARGAS!$AJ$29,$A49&lt;=CARGAS!$AJ$30),tanque8,0)</f>
        <v>0</v>
      </c>
      <c r="N49" s="22">
        <f t="shared" si="2"/>
        <v>385.62037885714278</v>
      </c>
      <c r="O49" s="22">
        <f t="shared" si="6"/>
        <v>24.576438935926742</v>
      </c>
      <c r="P49" s="22">
        <f>O49*Equilibrio!Y$39*Equilibrio!Y$38*DADOS!C$4</f>
        <v>755.72549727974717</v>
      </c>
      <c r="Q49" s="22">
        <f t="shared" si="3"/>
        <v>-370.10511842260439</v>
      </c>
      <c r="R49" s="22">
        <f t="shared" si="5"/>
        <v>-4006.4870336375379</v>
      </c>
      <c r="S49" s="22">
        <f t="shared" si="4"/>
        <v>82138.414128939141</v>
      </c>
      <c r="T49" s="22">
        <f t="shared" si="7"/>
        <v>18509.778185142852</v>
      </c>
    </row>
    <row r="50" spans="1:20" x14ac:dyDescent="0.25">
      <c r="A50" s="21">
        <v>49</v>
      </c>
      <c r="B50" s="22">
        <f>CARGAS!$C$40*Equilibrio!A50^2+CARGAS!$D$40*Equilibrio!A50+CARGAS!$E$40</f>
        <v>86.419871999999941</v>
      </c>
      <c r="C50" s="22">
        <f>CARGAS!$C$53*Equilibrio!A50^2+CARGAS!$D$53*Equilibrio!A50+CARGAS!$E$53</f>
        <v>14.403311999999994</v>
      </c>
      <c r="D50">
        <f>IF(posisup=1,IF(A50&lt;=CARGAS!$E$68,sup,0),IF(posisup=2,IF(AND(A50&lt;=CARGAS!$E$69,A50&gt;=CARGAS!$D$69),sup,0),IF(posisup=3,IF(AND(A50&lt;=CARGAS!$E$70,A50&gt;=CARGAS!$D$70),sup,0),0)))</f>
        <v>0</v>
      </c>
      <c r="E50">
        <f>IF(A50&lt;=CARGAS!$H$25,CARGAS!$I$20,0)</f>
        <v>0</v>
      </c>
      <c r="F50" s="22">
        <f>IF(AND(A50&gt;CARGAS!$O$29,A50&lt;=CARGAS!$O$30),tanque1,0)</f>
        <v>285.60000000000002</v>
      </c>
      <c r="G50" s="22">
        <f>IF(AND(A50&gt;CARGAS!$R$29,A50&lt;=CARGAS!$R$30),tanque2,0)</f>
        <v>0</v>
      </c>
      <c r="H50" s="22">
        <f>IF(AND(A50&gt;CARGAS!$U$29,A50&lt;=CARGAS!$U$30),tanque3,0)</f>
        <v>0</v>
      </c>
      <c r="I50" s="22">
        <f>IF(AND(A50&gt;CARGAS!$X$29,A50&lt;=CARGAS!$X$30),tanque4,0)</f>
        <v>0</v>
      </c>
      <c r="J50" s="22">
        <f>IF(AND(A50&gt;CARGAS!$AA$29,A50&lt;=CARGAS!$AA$30),tanque5,0)</f>
        <v>0</v>
      </c>
      <c r="K50" s="22">
        <f>IF(AND($A50&gt;CARGAS!$AD$29,$A50&lt;=CARGAS!$AD$30),tanque6,0)</f>
        <v>0</v>
      </c>
      <c r="L50" s="22">
        <f>IF(AND($A50&gt;CARGAS!$AG$29,$A50&lt;=CARGAS!$AG$30),tanque7,0)</f>
        <v>0</v>
      </c>
      <c r="M50" s="22">
        <f>IF(AND($A50&gt;CARGAS!$AJ$29,$A50&lt;=CARGAS!$AJ$30),tanque8,0)</f>
        <v>0</v>
      </c>
      <c r="N50" s="22">
        <f t="shared" si="2"/>
        <v>386.42318399999999</v>
      </c>
      <c r="O50" s="22">
        <f t="shared" si="6"/>
        <v>24.463770677003041</v>
      </c>
      <c r="P50" s="22">
        <f>O50*Equilibrio!Y$39*Equilibrio!Y$38*DADOS!C$4</f>
        <v>752.26094831784349</v>
      </c>
      <c r="Q50" s="22">
        <f t="shared" si="3"/>
        <v>-365.83776431784349</v>
      </c>
      <c r="R50" s="22">
        <f t="shared" si="5"/>
        <v>-4372.3247979553817</v>
      </c>
      <c r="S50" s="22">
        <f t="shared" si="4"/>
        <v>77766.089330983756</v>
      </c>
      <c r="T50" s="22">
        <f t="shared" si="7"/>
        <v>18934.736015999999</v>
      </c>
    </row>
    <row r="51" spans="1:20" x14ac:dyDescent="0.25">
      <c r="A51" s="21">
        <v>50</v>
      </c>
      <c r="B51" s="22">
        <f>CARGAS!$C$40*Equilibrio!A51^2+CARGAS!$D$40*Equilibrio!A51+CARGAS!$E$40</f>
        <v>87.1025510204081</v>
      </c>
      <c r="C51" s="22">
        <f>CARGAS!$C$53*Equilibrio!A51^2+CARGAS!$D$53*Equilibrio!A51+CARGAS!$E$53</f>
        <v>14.517091836734689</v>
      </c>
      <c r="D51">
        <f>IF(posisup=1,IF(A51&lt;=CARGAS!$E$68,sup,0),IF(posisup=2,IF(AND(A51&lt;=CARGAS!$E$69,A51&gt;=CARGAS!$D$69),sup,0),IF(posisup=3,IF(AND(A51&lt;=CARGAS!$E$70,A51&gt;=CARGAS!$D$70),sup,0),0)))</f>
        <v>0</v>
      </c>
      <c r="E51">
        <f>IF(A51&lt;=CARGAS!$H$25,CARGAS!$I$20,0)</f>
        <v>0</v>
      </c>
      <c r="F51" s="22">
        <f>IF(AND(A51&gt;CARGAS!$O$29,A51&lt;=CARGAS!$O$30),tanque1,0)</f>
        <v>285.60000000000002</v>
      </c>
      <c r="G51" s="22">
        <f>IF(AND(A51&gt;CARGAS!$R$29,A51&lt;=CARGAS!$R$30),tanque2,0)</f>
        <v>0</v>
      </c>
      <c r="H51" s="22">
        <f>IF(AND(A51&gt;CARGAS!$U$29,A51&lt;=CARGAS!$U$30),tanque3,0)</f>
        <v>0</v>
      </c>
      <c r="I51" s="22">
        <f>IF(AND(A51&gt;CARGAS!$X$29,A51&lt;=CARGAS!$X$30),tanque4,0)</f>
        <v>0</v>
      </c>
      <c r="J51" s="22">
        <f>IF(AND(A51&gt;CARGAS!$AA$29,A51&lt;=CARGAS!$AA$30),tanque5,0)</f>
        <v>0</v>
      </c>
      <c r="K51" s="22">
        <f>IF(AND($A51&gt;CARGAS!$AD$29,$A51&lt;=CARGAS!$AD$30),tanque6,0)</f>
        <v>0</v>
      </c>
      <c r="L51" s="22">
        <f>IF(AND($A51&gt;CARGAS!$AG$29,$A51&lt;=CARGAS!$AG$30),tanque7,0)</f>
        <v>0</v>
      </c>
      <c r="M51" s="22">
        <f>IF(AND($A51&gt;CARGAS!$AJ$29,$A51&lt;=CARGAS!$AJ$30),tanque8,0)</f>
        <v>0</v>
      </c>
      <c r="N51" s="22">
        <f t="shared" si="2"/>
        <v>387.21964285714284</v>
      </c>
      <c r="O51" s="22">
        <f t="shared" si="6"/>
        <v>24.349305002747446</v>
      </c>
      <c r="P51" s="22">
        <f>O51*Equilibrio!Y$39*Equilibrio!Y$38*DADOS!C$4</f>
        <v>748.7411288344839</v>
      </c>
      <c r="Q51" s="22">
        <f t="shared" si="3"/>
        <v>-361.52148597734106</v>
      </c>
      <c r="R51" s="22">
        <f t="shared" si="5"/>
        <v>-4733.8462839327231</v>
      </c>
      <c r="S51" s="22">
        <f t="shared" si="4"/>
        <v>73032.24304705103</v>
      </c>
      <c r="T51" s="22">
        <f t="shared" si="7"/>
        <v>19360.982142857141</v>
      </c>
    </row>
    <row r="52" spans="1:20" x14ac:dyDescent="0.25">
      <c r="A52" s="21">
        <v>51</v>
      </c>
      <c r="B52" s="22">
        <f>CARGAS!$C$40*Equilibrio!A52^2+CARGAS!$D$40*Equilibrio!A52+CARGAS!$E$40</f>
        <v>87.779790367346891</v>
      </c>
      <c r="C52" s="22">
        <f>CARGAS!$C$53*Equilibrio!A52^2+CARGAS!$D$53*Equilibrio!A52+CARGAS!$E$53</f>
        <v>14.629965061224485</v>
      </c>
      <c r="D52">
        <f>IF(posisup=1,IF(A52&lt;=CARGAS!$E$68,sup,0),IF(posisup=2,IF(AND(A52&lt;=CARGAS!$E$69,A52&gt;=CARGAS!$D$69),sup,0),IF(posisup=3,IF(AND(A52&lt;=CARGAS!$E$70,A52&gt;=CARGAS!$D$70),sup,0),0)))</f>
        <v>0</v>
      </c>
      <c r="E52">
        <f>IF(A52&lt;=CARGAS!$H$25,CARGAS!$I$20,0)</f>
        <v>0</v>
      </c>
      <c r="F52" s="22">
        <f>IF(AND(A52&gt;CARGAS!$O$29,A52&lt;=CARGAS!$O$30),tanque1,0)</f>
        <v>285.60000000000002</v>
      </c>
      <c r="G52" s="22">
        <f>IF(AND(A52&gt;CARGAS!$R$29,A52&lt;=CARGAS!$R$30),tanque2,0)</f>
        <v>0</v>
      </c>
      <c r="H52" s="22">
        <f>IF(AND(A52&gt;CARGAS!$U$29,A52&lt;=CARGAS!$U$30),tanque3,0)</f>
        <v>0</v>
      </c>
      <c r="I52" s="22">
        <f>IF(AND(A52&gt;CARGAS!$X$29,A52&lt;=CARGAS!$X$30),tanque4,0)</f>
        <v>0</v>
      </c>
      <c r="J52" s="22">
        <f>IF(AND(A52&gt;CARGAS!$AA$29,A52&lt;=CARGAS!$AA$30),tanque5,0)</f>
        <v>0</v>
      </c>
      <c r="K52" s="22">
        <f>IF(AND($A52&gt;CARGAS!$AD$29,$A52&lt;=CARGAS!$AD$30),tanque6,0)</f>
        <v>0</v>
      </c>
      <c r="L52" s="22">
        <f>IF(AND($A52&gt;CARGAS!$AG$29,$A52&lt;=CARGAS!$AG$30),tanque7,0)</f>
        <v>0</v>
      </c>
      <c r="M52" s="22">
        <f>IF(AND($A52&gt;CARGAS!$AJ$29,$A52&lt;=CARGAS!$AJ$30),tanque8,0)</f>
        <v>0</v>
      </c>
      <c r="N52" s="22">
        <f t="shared" si="2"/>
        <v>388.0097554285714</v>
      </c>
      <c r="O52" s="22">
        <f t="shared" si="6"/>
        <v>24.23308120493963</v>
      </c>
      <c r="P52" s="22">
        <f>O52*Equilibrio!Y$39*Equilibrio!Y$38*DADOS!C$4</f>
        <v>745.16724705189358</v>
      </c>
      <c r="Q52" s="22">
        <f t="shared" si="3"/>
        <v>-357.15749162332219</v>
      </c>
      <c r="R52" s="22">
        <f t="shared" si="5"/>
        <v>-5091.0037755560452</v>
      </c>
      <c r="S52" s="22">
        <f t="shared" si="4"/>
        <v>67941.239271494982</v>
      </c>
      <c r="T52" s="22">
        <f t="shared" si="7"/>
        <v>19788.49752685714</v>
      </c>
    </row>
    <row r="53" spans="1:20" x14ac:dyDescent="0.25">
      <c r="A53" s="21">
        <v>52</v>
      </c>
      <c r="B53" s="22">
        <f>CARGAS!$C$40*Equilibrio!A53^2+CARGAS!$D$40*Equilibrio!A53+CARGAS!$E$40</f>
        <v>88.451590040816257</v>
      </c>
      <c r="C53" s="22">
        <f>CARGAS!$C$53*Equilibrio!A53^2+CARGAS!$D$53*Equilibrio!A53+CARGAS!$E$53</f>
        <v>14.741931673469383</v>
      </c>
      <c r="D53">
        <f>IF(posisup=1,IF(A53&lt;=CARGAS!$E$68,sup,0),IF(posisup=2,IF(AND(A53&lt;=CARGAS!$E$69,A53&gt;=CARGAS!$D$69),sup,0),IF(posisup=3,IF(AND(A53&lt;=CARGAS!$E$70,A53&gt;=CARGAS!$D$70),sup,0),0)))</f>
        <v>0</v>
      </c>
      <c r="E53">
        <f>IF(A53&lt;=CARGAS!$H$25,CARGAS!$I$20,0)</f>
        <v>0</v>
      </c>
      <c r="F53" s="22">
        <f>IF(AND(A53&gt;CARGAS!$O$29,A53&lt;=CARGAS!$O$30),tanque1,0)</f>
        <v>285.60000000000002</v>
      </c>
      <c r="G53" s="22">
        <f>IF(AND(A53&gt;CARGAS!$R$29,A53&lt;=CARGAS!$R$30),tanque2,0)</f>
        <v>0</v>
      </c>
      <c r="H53" s="22">
        <f>IF(AND(A53&gt;CARGAS!$U$29,A53&lt;=CARGAS!$U$30),tanque3,0)</f>
        <v>0</v>
      </c>
      <c r="I53" s="22">
        <f>IF(AND(A53&gt;CARGAS!$X$29,A53&lt;=CARGAS!$X$30),tanque4,0)</f>
        <v>0</v>
      </c>
      <c r="J53" s="22">
        <f>IF(AND(A53&gt;CARGAS!$AA$29,A53&lt;=CARGAS!$AA$30),tanque5,0)</f>
        <v>0</v>
      </c>
      <c r="K53" s="22">
        <f>IF(AND($A53&gt;CARGAS!$AD$29,$A53&lt;=CARGAS!$AD$30),tanque6,0)</f>
        <v>0</v>
      </c>
      <c r="L53" s="22">
        <f>IF(AND($A53&gt;CARGAS!$AG$29,$A53&lt;=CARGAS!$AG$30),tanque7,0)</f>
        <v>0</v>
      </c>
      <c r="M53" s="22">
        <f>IF(AND($A53&gt;CARGAS!$AJ$29,$A53&lt;=CARGAS!$AJ$30),tanque8,0)</f>
        <v>0</v>
      </c>
      <c r="N53" s="22">
        <f t="shared" si="2"/>
        <v>388.79352171428565</v>
      </c>
      <c r="O53" s="22">
        <f t="shared" si="6"/>
        <v>24.115139141939412</v>
      </c>
      <c r="P53" s="22">
        <f>O53*Equilibrio!Y$39*Equilibrio!Y$38*DADOS!C$4</f>
        <v>741.54052861463686</v>
      </c>
      <c r="Q53" s="22">
        <f t="shared" si="3"/>
        <v>-352.74700690035121</v>
      </c>
      <c r="R53" s="22">
        <f t="shared" si="5"/>
        <v>-5443.7507824563963</v>
      </c>
      <c r="S53" s="22">
        <f t="shared" si="4"/>
        <v>62497.488489038587</v>
      </c>
      <c r="T53" s="22">
        <f t="shared" si="7"/>
        <v>20217.263129142855</v>
      </c>
    </row>
    <row r="54" spans="1:20" x14ac:dyDescent="0.25">
      <c r="A54" s="21">
        <v>53</v>
      </c>
      <c r="B54" s="22">
        <f>CARGAS!$C$40*Equilibrio!A54^2+CARGAS!$D$40*Equilibrio!A54+CARGAS!$E$40</f>
        <v>89.117950040816268</v>
      </c>
      <c r="C54" s="22">
        <f>CARGAS!$C$53*Equilibrio!A54^2+CARGAS!$D$53*Equilibrio!A54+CARGAS!$E$53</f>
        <v>14.852991673469383</v>
      </c>
      <c r="D54">
        <f>IF(posisup=1,IF(A54&lt;=CARGAS!$E$68,sup,0),IF(posisup=2,IF(AND(A54&lt;=CARGAS!$E$69,A54&gt;=CARGAS!$D$69),sup,0),IF(posisup=3,IF(AND(A54&lt;=CARGAS!$E$70,A54&gt;=CARGAS!$D$70),sup,0),0)))</f>
        <v>0</v>
      </c>
      <c r="E54">
        <f>IF(A54&lt;=CARGAS!$H$25,CARGAS!$I$20,0)</f>
        <v>0</v>
      </c>
      <c r="F54" s="22">
        <f>IF(AND(A54&gt;CARGAS!$O$29,A54&lt;=CARGAS!$O$30),tanque1,0)</f>
        <v>285.60000000000002</v>
      </c>
      <c r="G54" s="22">
        <f>IF(AND(A54&gt;CARGAS!$R$29,A54&lt;=CARGAS!$R$30),tanque2,0)</f>
        <v>0</v>
      </c>
      <c r="H54" s="22">
        <f>IF(AND(A54&gt;CARGAS!$U$29,A54&lt;=CARGAS!$U$30),tanque3,0)</f>
        <v>0</v>
      </c>
      <c r="I54" s="22">
        <f>IF(AND(A54&gt;CARGAS!$X$29,A54&lt;=CARGAS!$X$30),tanque4,0)</f>
        <v>0</v>
      </c>
      <c r="J54" s="22">
        <f>IF(AND(A54&gt;CARGAS!$AA$29,A54&lt;=CARGAS!$AA$30),tanque5,0)</f>
        <v>0</v>
      </c>
      <c r="K54" s="22">
        <f>IF(AND($A54&gt;CARGAS!$AD$29,$A54&lt;=CARGAS!$AD$30),tanque6,0)</f>
        <v>0</v>
      </c>
      <c r="L54" s="22">
        <f>IF(AND($A54&gt;CARGAS!$AG$29,$A54&lt;=CARGAS!$AG$30),tanque7,0)</f>
        <v>0</v>
      </c>
      <c r="M54" s="22">
        <f>IF(AND($A54&gt;CARGAS!$AJ$29,$A54&lt;=CARGAS!$AJ$30),tanque8,0)</f>
        <v>0</v>
      </c>
      <c r="N54" s="22">
        <f t="shared" si="2"/>
        <v>389.57094171428571</v>
      </c>
      <c r="O54" s="22">
        <f t="shared" si="6"/>
        <v>23.995519225841882</v>
      </c>
      <c r="P54" s="22">
        <f>O54*Equilibrio!Y$39*Equilibrio!Y$38*DADOS!C$4</f>
        <v>737.86221619463777</v>
      </c>
      <c r="Q54" s="22">
        <f t="shared" si="3"/>
        <v>-348.29127448035206</v>
      </c>
      <c r="R54" s="22">
        <f t="shared" si="5"/>
        <v>-5792.0420569367488</v>
      </c>
      <c r="S54" s="22">
        <f t="shared" si="4"/>
        <v>56705.446432101839</v>
      </c>
      <c r="T54" s="22">
        <f t="shared" si="7"/>
        <v>20647.259910857141</v>
      </c>
    </row>
    <row r="55" spans="1:20" x14ac:dyDescent="0.25">
      <c r="A55" s="21">
        <v>54</v>
      </c>
      <c r="B55" s="22">
        <f>CARGAS!$C$40*Equilibrio!A55^2+CARGAS!$D$40*Equilibrio!A55+CARGAS!$E$40</f>
        <v>89.778870367346883</v>
      </c>
      <c r="C55" s="22">
        <f>CARGAS!$C$53*Equilibrio!A55^2+CARGAS!$D$53*Equilibrio!A55+CARGAS!$E$53</f>
        <v>14.963145061224484</v>
      </c>
      <c r="D55">
        <f>IF(posisup=1,IF(A55&lt;=CARGAS!$E$68,sup,0),IF(posisup=2,IF(AND(A55&lt;=CARGAS!$E$69,A55&gt;=CARGAS!$D$69),sup,0),IF(posisup=3,IF(AND(A55&lt;=CARGAS!$E$70,A55&gt;=CARGAS!$D$70),sup,0),0)))</f>
        <v>0</v>
      </c>
      <c r="E55">
        <f>IF(A55&lt;=CARGAS!$H$25,CARGAS!$I$20,0)</f>
        <v>0</v>
      </c>
      <c r="F55" s="22">
        <f>IF(AND(A55&gt;CARGAS!$O$29,A55&lt;=CARGAS!$O$30),tanque1,0)</f>
        <v>285.60000000000002</v>
      </c>
      <c r="G55" s="22">
        <f>IF(AND(A55&gt;CARGAS!$R$29,A55&lt;=CARGAS!$R$30),tanque2,0)</f>
        <v>0</v>
      </c>
      <c r="H55" s="22">
        <f>IF(AND(A55&gt;CARGAS!$U$29,A55&lt;=CARGAS!$U$30),tanque3,0)</f>
        <v>0</v>
      </c>
      <c r="I55" s="22">
        <f>IF(AND(A55&gt;CARGAS!$X$29,A55&lt;=CARGAS!$X$30),tanque4,0)</f>
        <v>0</v>
      </c>
      <c r="J55" s="22">
        <f>IF(AND(A55&gt;CARGAS!$AA$29,A55&lt;=CARGAS!$AA$30),tanque5,0)</f>
        <v>0</v>
      </c>
      <c r="K55" s="22">
        <f>IF(AND($A55&gt;CARGAS!$AD$29,$A55&lt;=CARGAS!$AD$30),tanque6,0)</f>
        <v>0</v>
      </c>
      <c r="L55" s="22">
        <f>IF(AND($A55&gt;CARGAS!$AG$29,$A55&lt;=CARGAS!$AG$30),tanque7,0)</f>
        <v>0</v>
      </c>
      <c r="M55" s="22">
        <f>IF(AND($A55&gt;CARGAS!$AJ$29,$A55&lt;=CARGAS!$AJ$30),tanque8,0)</f>
        <v>0</v>
      </c>
      <c r="N55" s="22">
        <f t="shared" si="2"/>
        <v>390.34201542857136</v>
      </c>
      <c r="O55" s="22">
        <f t="shared" si="6"/>
        <v>23.874262409454019</v>
      </c>
      <c r="P55" s="22">
        <f>O55*Equilibrio!Y$39*Equilibrio!Y$38*DADOS!C$4</f>
        <v>734.13356909071103</v>
      </c>
      <c r="Q55" s="22">
        <f t="shared" si="3"/>
        <v>-343.79155366213968</v>
      </c>
      <c r="R55" s="22">
        <f t="shared" si="5"/>
        <v>-6135.8336105988883</v>
      </c>
      <c r="S55" s="22">
        <f t="shared" si="4"/>
        <v>50569.612821502953</v>
      </c>
      <c r="T55" s="22">
        <f t="shared" si="7"/>
        <v>21078.468833142855</v>
      </c>
    </row>
    <row r="56" spans="1:20" x14ac:dyDescent="0.25">
      <c r="A56" s="21">
        <v>55</v>
      </c>
      <c r="B56" s="22">
        <f>CARGAS!$C$40*Equilibrio!A56^2+CARGAS!$D$40*Equilibrio!A56+CARGAS!$E$40</f>
        <v>90.434351020408116</v>
      </c>
      <c r="C56" s="22">
        <f>CARGAS!$C$53*Equilibrio!A56^2+CARGAS!$D$53*Equilibrio!A56+CARGAS!$E$53</f>
        <v>15.072391836734688</v>
      </c>
      <c r="D56">
        <f>IF(posisup=1,IF(A56&lt;=CARGAS!$E$68,sup,0),IF(posisup=2,IF(AND(A56&lt;=CARGAS!$E$69,A56&gt;=CARGAS!$D$69),sup,0),IF(posisup=3,IF(AND(A56&lt;=CARGAS!$E$70,A56&gt;=CARGAS!$D$70),sup,0),0)))</f>
        <v>0</v>
      </c>
      <c r="E56">
        <f>IF(A56&lt;=CARGAS!$H$25,CARGAS!$I$20,0)</f>
        <v>0</v>
      </c>
      <c r="F56" s="22">
        <f>IF(AND(A56&gt;CARGAS!$O$29,A56&lt;=CARGAS!$O$30),tanque1,0)</f>
        <v>285.60000000000002</v>
      </c>
      <c r="G56" s="22">
        <f>IF(AND(A56&gt;CARGAS!$R$29,A56&lt;=CARGAS!$R$30),tanque2,0)</f>
        <v>0</v>
      </c>
      <c r="H56" s="22">
        <f>IF(AND(A56&gt;CARGAS!$U$29,A56&lt;=CARGAS!$U$30),tanque3,0)</f>
        <v>0</v>
      </c>
      <c r="I56" s="22">
        <f>IF(AND(A56&gt;CARGAS!$X$29,A56&lt;=CARGAS!$X$30),tanque4,0)</f>
        <v>0</v>
      </c>
      <c r="J56" s="22">
        <f>IF(AND(A56&gt;CARGAS!$AA$29,A56&lt;=CARGAS!$AA$30),tanque5,0)</f>
        <v>0</v>
      </c>
      <c r="K56" s="22">
        <f>IF(AND($A56&gt;CARGAS!$AD$29,$A56&lt;=CARGAS!$AD$30),tanque6,0)</f>
        <v>0</v>
      </c>
      <c r="L56" s="22">
        <f>IF(AND($A56&gt;CARGAS!$AG$29,$A56&lt;=CARGAS!$AG$30),tanque7,0)</f>
        <v>0</v>
      </c>
      <c r="M56" s="22">
        <f>IF(AND($A56&gt;CARGAS!$AJ$29,$A56&lt;=CARGAS!$AJ$30),tanque8,0)</f>
        <v>0</v>
      </c>
      <c r="N56" s="22">
        <f t="shared" si="2"/>
        <v>391.10674285714282</v>
      </c>
      <c r="O56" s="22">
        <f t="shared" si="6"/>
        <v>23.751410173097067</v>
      </c>
      <c r="P56" s="22">
        <f>O56*Equilibrio!Y$39*Equilibrio!Y$38*DADOS!C$4</f>
        <v>730.35586282273482</v>
      </c>
      <c r="Q56" s="22">
        <f t="shared" si="3"/>
        <v>-339.249119965592</v>
      </c>
      <c r="R56" s="22">
        <f t="shared" si="5"/>
        <v>-6475.0827305644807</v>
      </c>
      <c r="S56" s="22">
        <f t="shared" si="4"/>
        <v>44094.530090938475</v>
      </c>
      <c r="T56" s="22">
        <f t="shared" si="7"/>
        <v>21510.870857142854</v>
      </c>
    </row>
    <row r="57" spans="1:20" x14ac:dyDescent="0.25">
      <c r="A57" s="21">
        <v>56</v>
      </c>
      <c r="B57" s="22">
        <f>CARGAS!$C$40*Equilibrio!A57^2+CARGAS!$D$40*Equilibrio!A57+CARGAS!$E$40</f>
        <v>91.084391999999937</v>
      </c>
      <c r="C57" s="22">
        <f>CARGAS!$C$53*Equilibrio!A57^2+CARGAS!$D$53*Equilibrio!A57+CARGAS!$E$53</f>
        <v>15.180731999999995</v>
      </c>
      <c r="D57">
        <f>IF(posisup=1,IF(A57&lt;=CARGAS!$E$68,sup,0),IF(posisup=2,IF(AND(A57&lt;=CARGAS!$E$69,A57&gt;=CARGAS!$D$69),sup,0),IF(posisup=3,IF(AND(A57&lt;=CARGAS!$E$70,A57&gt;=CARGAS!$D$70),sup,0),0)))</f>
        <v>0</v>
      </c>
      <c r="E57">
        <f>IF(A57&lt;=CARGAS!$H$25,CARGAS!$I$20,0)</f>
        <v>0</v>
      </c>
      <c r="F57" s="22">
        <f>IF(AND(A57&gt;CARGAS!$O$29,A57&lt;=CARGAS!$O$30),tanque1,0)</f>
        <v>285.60000000000002</v>
      </c>
      <c r="G57" s="22">
        <f>IF(AND(A57&gt;CARGAS!$R$29,A57&lt;=CARGAS!$R$30),tanque2,0)</f>
        <v>0</v>
      </c>
      <c r="H57" s="22">
        <f>IF(AND(A57&gt;CARGAS!$U$29,A57&lt;=CARGAS!$U$30),tanque3,0)</f>
        <v>0</v>
      </c>
      <c r="I57" s="22">
        <f>IF(AND(A57&gt;CARGAS!$X$29,A57&lt;=CARGAS!$X$30),tanque4,0)</f>
        <v>0</v>
      </c>
      <c r="J57" s="22">
        <f>IF(AND(A57&gt;CARGAS!$AA$29,A57&lt;=CARGAS!$AA$30),tanque5,0)</f>
        <v>0</v>
      </c>
      <c r="K57" s="22">
        <f>IF(AND($A57&gt;CARGAS!$AD$29,$A57&lt;=CARGAS!$AD$30),tanque6,0)</f>
        <v>0</v>
      </c>
      <c r="L57" s="22">
        <f>IF(AND($A57&gt;CARGAS!$AG$29,$A57&lt;=CARGAS!$AG$30),tanque7,0)</f>
        <v>0</v>
      </c>
      <c r="M57" s="22">
        <f>IF(AND($A57&gt;CARGAS!$AJ$29,$A57&lt;=CARGAS!$AJ$30),tanque8,0)</f>
        <v>0</v>
      </c>
      <c r="N57" s="22">
        <f t="shared" si="2"/>
        <v>391.86512399999992</v>
      </c>
      <c r="O57" s="22">
        <f t="shared" si="6"/>
        <v>23.627004511238919</v>
      </c>
      <c r="P57" s="22">
        <f>O57*Equilibrio!Y$39*Equilibrio!Y$38*DADOS!C$4</f>
        <v>726.53038872059676</v>
      </c>
      <c r="Q57" s="22">
        <f t="shared" si="3"/>
        <v>-334.66526472059684</v>
      </c>
      <c r="R57" s="22">
        <f t="shared" si="5"/>
        <v>-6809.7479952850772</v>
      </c>
      <c r="S57" s="22">
        <f t="shared" si="4"/>
        <v>37284.782095653398</v>
      </c>
      <c r="T57" s="22">
        <f t="shared" si="7"/>
        <v>21944.446943999996</v>
      </c>
    </row>
    <row r="58" spans="1:20" x14ac:dyDescent="0.25">
      <c r="A58" s="21">
        <v>57</v>
      </c>
      <c r="B58" s="22">
        <f>CARGAS!$C$40*Equilibrio!A58^2+CARGAS!$D$40*Equilibrio!A58+CARGAS!$E$40</f>
        <v>91.728993306122391</v>
      </c>
      <c r="C58" s="22">
        <f>CARGAS!$C$53*Equilibrio!A58^2+CARGAS!$D$53*Equilibrio!A58+CARGAS!$E$53</f>
        <v>15.288165551020402</v>
      </c>
      <c r="D58">
        <f>IF(posisup=1,IF(A58&lt;=CARGAS!$E$68,sup,0),IF(posisup=2,IF(AND(A58&lt;=CARGAS!$E$69,A58&gt;=CARGAS!$D$69),sup,0),IF(posisup=3,IF(AND(A58&lt;=CARGAS!$E$70,A58&gt;=CARGAS!$D$70),sup,0),0)))</f>
        <v>0</v>
      </c>
      <c r="E58">
        <f>IF(A58&lt;=CARGAS!$H$25,CARGAS!$I$20,0)</f>
        <v>0</v>
      </c>
      <c r="F58" s="22">
        <f>IF(AND(A58&gt;CARGAS!$O$29,A58&lt;=CARGAS!$O$30),tanque1,0)</f>
        <v>285.60000000000002</v>
      </c>
      <c r="G58" s="22">
        <f>IF(AND(A58&gt;CARGAS!$R$29,A58&lt;=CARGAS!$R$30),tanque2,0)</f>
        <v>0</v>
      </c>
      <c r="H58" s="22">
        <f>IF(AND(A58&gt;CARGAS!$U$29,A58&lt;=CARGAS!$U$30),tanque3,0)</f>
        <v>0</v>
      </c>
      <c r="I58" s="22">
        <f>IF(AND(A58&gt;CARGAS!$X$29,A58&lt;=CARGAS!$X$30),tanque4,0)</f>
        <v>0</v>
      </c>
      <c r="J58" s="22">
        <f>IF(AND(A58&gt;CARGAS!$AA$29,A58&lt;=CARGAS!$AA$30),tanque5,0)</f>
        <v>0</v>
      </c>
      <c r="K58" s="22">
        <f>IF(AND($A58&gt;CARGAS!$AD$29,$A58&lt;=CARGAS!$AD$30),tanque6,0)</f>
        <v>0</v>
      </c>
      <c r="L58" s="22">
        <f>IF(AND($A58&gt;CARGAS!$AG$29,$A58&lt;=CARGAS!$AG$30),tanque7,0)</f>
        <v>0</v>
      </c>
      <c r="M58" s="22">
        <f>IF(AND($A58&gt;CARGAS!$AJ$29,$A58&lt;=CARGAS!$AJ$30),tanque8,0)</f>
        <v>0</v>
      </c>
      <c r="N58" s="22">
        <f t="shared" si="2"/>
        <v>392.61715885714284</v>
      </c>
      <c r="O58" s="22">
        <f t="shared" si="6"/>
        <v>23.501087918960803</v>
      </c>
      <c r="P58" s="22">
        <f>O58*Equilibrio!Y$39*Equilibrio!Y$38*DADOS!C$4</f>
        <v>722.65845350804466</v>
      </c>
      <c r="Q58" s="22">
        <f t="shared" si="3"/>
        <v>-330.04129465090182</v>
      </c>
      <c r="R58" s="22">
        <f t="shared" si="5"/>
        <v>-7139.7892899359795</v>
      </c>
      <c r="S58" s="22">
        <f t="shared" si="4"/>
        <v>30144.992805717418</v>
      </c>
      <c r="T58" s="22">
        <f t="shared" si="7"/>
        <v>22379.178054857141</v>
      </c>
    </row>
    <row r="59" spans="1:20" x14ac:dyDescent="0.25">
      <c r="A59" s="21">
        <v>58</v>
      </c>
      <c r="B59" s="22">
        <f>CARGAS!$C$40*Equilibrio!A59^2+CARGAS!$D$40*Equilibrio!A59+CARGAS!$E$40</f>
        <v>92.368154938775447</v>
      </c>
      <c r="C59" s="22">
        <f>CARGAS!$C$53*Equilibrio!A59^2+CARGAS!$D$53*Equilibrio!A59+CARGAS!$E$53</f>
        <v>15.394692489795913</v>
      </c>
      <c r="D59">
        <f>IF(posisup=1,IF(A59&lt;=CARGAS!$E$68,sup,0),IF(posisup=2,IF(AND(A59&lt;=CARGAS!$E$69,A59&gt;=CARGAS!$D$69),sup,0),IF(posisup=3,IF(AND(A59&lt;=CARGAS!$E$70,A59&gt;=CARGAS!$D$70),sup,0),0)))</f>
        <v>0</v>
      </c>
      <c r="E59">
        <f>IF(A59&lt;=CARGAS!$H$25,CARGAS!$I$20,0)</f>
        <v>0</v>
      </c>
      <c r="F59" s="22">
        <f>IF(AND(A59&gt;CARGAS!$O$29,A59&lt;=CARGAS!$O$30),tanque1,0)</f>
        <v>285.60000000000002</v>
      </c>
      <c r="G59" s="22">
        <f>IF(AND(A59&gt;CARGAS!$R$29,A59&lt;=CARGAS!$R$30),tanque2,0)</f>
        <v>0</v>
      </c>
      <c r="H59" s="22">
        <f>IF(AND(A59&gt;CARGAS!$U$29,A59&lt;=CARGAS!$U$30),tanque3,0)</f>
        <v>0</v>
      </c>
      <c r="I59" s="22">
        <f>IF(AND(A59&gt;CARGAS!$X$29,A59&lt;=CARGAS!$X$30),tanque4,0)</f>
        <v>0</v>
      </c>
      <c r="J59" s="22">
        <f>IF(AND(A59&gt;CARGAS!$AA$29,A59&lt;=CARGAS!$AA$30),tanque5,0)</f>
        <v>0</v>
      </c>
      <c r="K59" s="22">
        <f>IF(AND($A59&gt;CARGAS!$AD$29,$A59&lt;=CARGAS!$AD$30),tanque6,0)</f>
        <v>0</v>
      </c>
      <c r="L59" s="22">
        <f>IF(AND($A59&gt;CARGAS!$AG$29,$A59&lt;=CARGAS!$AG$30),tanque7,0)</f>
        <v>0</v>
      </c>
      <c r="M59" s="22">
        <f>IF(AND($A59&gt;CARGAS!$AJ$29,$A59&lt;=CARGAS!$AJ$30),tanque8,0)</f>
        <v>0</v>
      </c>
      <c r="N59" s="22">
        <f t="shared" si="2"/>
        <v>393.3628474285714</v>
      </c>
      <c r="O59" s="22">
        <f t="shared" si="6"/>
        <v>23.373703378262636</v>
      </c>
      <c r="P59" s="22">
        <f>O59*Equilibrio!Y$39*Equilibrio!Y$38*DADOS!C$4</f>
        <v>718.741378881576</v>
      </c>
      <c r="Q59" s="22">
        <f t="shared" si="3"/>
        <v>-325.3785314530046</v>
      </c>
      <c r="R59" s="22">
        <f t="shared" si="5"/>
        <v>-7465.1678213889845</v>
      </c>
      <c r="S59" s="22">
        <f t="shared" si="4"/>
        <v>22679.824984328436</v>
      </c>
      <c r="T59" s="22">
        <f t="shared" si="7"/>
        <v>22815.045150857142</v>
      </c>
    </row>
    <row r="60" spans="1:20" x14ac:dyDescent="0.25">
      <c r="A60" s="21">
        <v>59</v>
      </c>
      <c r="B60" s="22">
        <f>CARGAS!$C$40*Equilibrio!A60^2+CARGAS!$D$40*Equilibrio!A60+CARGAS!$E$40</f>
        <v>93.001876897959136</v>
      </c>
      <c r="C60" s="22">
        <f>CARGAS!$C$53*Equilibrio!A60^2+CARGAS!$D$53*Equilibrio!A60+CARGAS!$E$53</f>
        <v>15.500312816326526</v>
      </c>
      <c r="D60">
        <f>IF(posisup=1,IF(A60&lt;=CARGAS!$E$68,sup,0),IF(posisup=2,IF(AND(A60&lt;=CARGAS!$E$69,A60&gt;=CARGAS!$D$69),sup,0),IF(posisup=3,IF(AND(A60&lt;=CARGAS!$E$70,A60&gt;=CARGAS!$D$70),sup,0),0)))</f>
        <v>0</v>
      </c>
      <c r="E60">
        <f>IF(A60&lt;=CARGAS!$H$25,CARGAS!$I$20,0)</f>
        <v>0</v>
      </c>
      <c r="F60" s="22">
        <f>IF(AND(A60&gt;CARGAS!$O$29,A60&lt;=CARGAS!$O$30),tanque1,0)</f>
        <v>285.60000000000002</v>
      </c>
      <c r="G60" s="22">
        <f>IF(AND(A60&gt;CARGAS!$R$29,A60&lt;=CARGAS!$R$30),tanque2,0)</f>
        <v>0</v>
      </c>
      <c r="H60" s="22">
        <f>IF(AND(A60&gt;CARGAS!$U$29,A60&lt;=CARGAS!$U$30),tanque3,0)</f>
        <v>0</v>
      </c>
      <c r="I60" s="22">
        <f>IF(AND(A60&gt;CARGAS!$X$29,A60&lt;=CARGAS!$X$30),tanque4,0)</f>
        <v>0</v>
      </c>
      <c r="J60" s="22">
        <f>IF(AND(A60&gt;CARGAS!$AA$29,A60&lt;=CARGAS!$AA$30),tanque5,0)</f>
        <v>0</v>
      </c>
      <c r="K60" s="22">
        <f>IF(AND($A60&gt;CARGAS!$AD$29,$A60&lt;=CARGAS!$AD$30),tanque6,0)</f>
        <v>0</v>
      </c>
      <c r="L60" s="22">
        <f>IF(AND($A60&gt;CARGAS!$AG$29,$A60&lt;=CARGAS!$AG$30),tanque7,0)</f>
        <v>0</v>
      </c>
      <c r="M60" s="22">
        <f>IF(AND($A60&gt;CARGAS!$AJ$29,$A60&lt;=CARGAS!$AJ$30),tanque8,0)</f>
        <v>0</v>
      </c>
      <c r="N60" s="22">
        <f t="shared" si="2"/>
        <v>394.10218971428571</v>
      </c>
      <c r="O60" s="22">
        <f t="shared" si="6"/>
        <v>23.244894344211492</v>
      </c>
      <c r="P60" s="22">
        <f>O60*Equilibrio!Y$39*Equilibrio!Y$38*DADOS!C$4</f>
        <v>714.78050108450327</v>
      </c>
      <c r="Q60" s="22">
        <f t="shared" si="3"/>
        <v>-320.67831137021756</v>
      </c>
      <c r="R60" s="22">
        <f t="shared" si="5"/>
        <v>-7785.8461327592022</v>
      </c>
      <c r="S60" s="22">
        <f t="shared" si="4"/>
        <v>14893.978851569234</v>
      </c>
      <c r="T60" s="22">
        <f t="shared" si="7"/>
        <v>23252.029193142858</v>
      </c>
    </row>
    <row r="61" spans="1:20" x14ac:dyDescent="0.25">
      <c r="A61" s="21">
        <v>60</v>
      </c>
      <c r="B61" s="22">
        <f>CARGAS!$C$40*Equilibrio!A61^2+CARGAS!$D$40*Equilibrio!A61+CARGAS!$E$40</f>
        <v>93.630159183673413</v>
      </c>
      <c r="C61" s="22">
        <f>CARGAS!$C$53*Equilibrio!A61^2+CARGAS!$D$53*Equilibrio!A61+CARGAS!$E$53</f>
        <v>15.605026530612239</v>
      </c>
      <c r="D61">
        <f>IF(posisup=1,IF(A61&lt;=CARGAS!$E$68,sup,0),IF(posisup=2,IF(AND(A61&lt;=CARGAS!$E$69,A61&gt;=CARGAS!$D$69),sup,0),IF(posisup=3,IF(AND(A61&lt;=CARGAS!$E$70,A61&gt;=CARGAS!$D$70),sup,0),0)))</f>
        <v>0</v>
      </c>
      <c r="E61">
        <f>IF(A61&lt;=CARGAS!$H$25,CARGAS!$I$20,0)</f>
        <v>0</v>
      </c>
      <c r="F61" s="22">
        <f>IF(AND(A61&gt;CARGAS!$O$29,A61&lt;=CARGAS!$O$30),tanque1,0)</f>
        <v>285.60000000000002</v>
      </c>
      <c r="G61" s="22">
        <f>IF(AND(A61&gt;CARGAS!$R$29,A61&lt;=CARGAS!$R$30),tanque2,0)</f>
        <v>0</v>
      </c>
      <c r="H61" s="22">
        <f>IF(AND(A61&gt;CARGAS!$U$29,A61&lt;=CARGAS!$U$30),tanque3,0)</f>
        <v>0</v>
      </c>
      <c r="I61" s="22">
        <f>IF(AND(A61&gt;CARGAS!$X$29,A61&lt;=CARGAS!$X$30),tanque4,0)</f>
        <v>0</v>
      </c>
      <c r="J61" s="22">
        <f>IF(AND(A61&gt;CARGAS!$AA$29,A61&lt;=CARGAS!$AA$30),tanque5,0)</f>
        <v>0</v>
      </c>
      <c r="K61" s="22">
        <f>IF(AND($A61&gt;CARGAS!$AD$29,$A61&lt;=CARGAS!$AD$30),tanque6,0)</f>
        <v>0</v>
      </c>
      <c r="L61" s="22">
        <f>IF(AND($A61&gt;CARGAS!$AG$29,$A61&lt;=CARGAS!$AG$30),tanque7,0)</f>
        <v>0</v>
      </c>
      <c r="M61" s="22">
        <f>IF(AND($A61&gt;CARGAS!$AJ$29,$A61&lt;=CARGAS!$AJ$30),tanque8,0)</f>
        <v>0</v>
      </c>
      <c r="N61" s="22">
        <f t="shared" si="2"/>
        <v>394.83518571428567</v>
      </c>
      <c r="O61" s="22">
        <f t="shared" si="6"/>
        <v>23.11470473093755</v>
      </c>
      <c r="P61" s="22">
        <f>O61*Equilibrio!Y$39*Equilibrio!Y$38*DADOS!C$4</f>
        <v>710.77717047632962</v>
      </c>
      <c r="Q61" s="22">
        <f t="shared" si="3"/>
        <v>-315.94198476204394</v>
      </c>
      <c r="R61" s="22">
        <f t="shared" si="5"/>
        <v>-8101.788117521246</v>
      </c>
      <c r="S61" s="22">
        <f t="shared" si="4"/>
        <v>6792.1907340479884</v>
      </c>
      <c r="T61" s="22">
        <f t="shared" si="7"/>
        <v>23690.111142857138</v>
      </c>
    </row>
    <row r="62" spans="1:20" x14ac:dyDescent="0.25">
      <c r="A62" s="21">
        <v>61</v>
      </c>
      <c r="B62" s="22">
        <f>CARGAS!$C$40*Equilibrio!A62^2+CARGAS!$D$40*Equilibrio!A62+CARGAS!$E$40</f>
        <v>94.253001795918308</v>
      </c>
      <c r="C62" s="22">
        <f>CARGAS!$C$53*Equilibrio!A62^2+CARGAS!$D$53*Equilibrio!A62+CARGAS!$E$53</f>
        <v>15.708833632653056</v>
      </c>
      <c r="D62">
        <f>IF(posisup=1,IF(A62&lt;=CARGAS!$E$68,sup,0),IF(posisup=2,IF(AND(A62&lt;=CARGAS!$E$69,A62&gt;=CARGAS!$D$69),sup,0),IF(posisup=3,IF(AND(A62&lt;=CARGAS!$E$70,A62&gt;=CARGAS!$D$70),sup,0),0)))</f>
        <v>0</v>
      </c>
      <c r="E62">
        <f>IF(A62&lt;=CARGAS!$H$25,CARGAS!$I$20,0)</f>
        <v>0</v>
      </c>
      <c r="F62" s="22">
        <f>IF(AND(A62&gt;CARGAS!$O$29,A62&lt;=CARGAS!$O$30),tanque1,0)</f>
        <v>285.60000000000002</v>
      </c>
      <c r="G62" s="22">
        <f>IF(AND(A62&gt;CARGAS!$R$29,A62&lt;=CARGAS!$R$30),tanque2,0)</f>
        <v>0</v>
      </c>
      <c r="H62" s="22">
        <f>IF(AND(A62&gt;CARGAS!$U$29,A62&lt;=CARGAS!$U$30),tanque3,0)</f>
        <v>0</v>
      </c>
      <c r="I62" s="22">
        <f>IF(AND(A62&gt;CARGAS!$X$29,A62&lt;=CARGAS!$X$30),tanque4,0)</f>
        <v>0</v>
      </c>
      <c r="J62" s="22">
        <f>IF(AND(A62&gt;CARGAS!$AA$29,A62&lt;=CARGAS!$AA$30),tanque5,0)</f>
        <v>0</v>
      </c>
      <c r="K62" s="22">
        <f>IF(AND($A62&gt;CARGAS!$AD$29,$A62&lt;=CARGAS!$AD$30),tanque6,0)</f>
        <v>0</v>
      </c>
      <c r="L62" s="22">
        <f>IF(AND($A62&gt;CARGAS!$AG$29,$A62&lt;=CARGAS!$AG$30),tanque7,0)</f>
        <v>0</v>
      </c>
      <c r="M62" s="22">
        <f>IF(AND($A62&gt;CARGAS!$AJ$29,$A62&lt;=CARGAS!$AJ$30),tanque8,0)</f>
        <v>0</v>
      </c>
      <c r="N62" s="22">
        <f t="shared" si="2"/>
        <v>395.56183542857138</v>
      </c>
      <c r="O62" s="22">
        <f t="shared" si="6"/>
        <v>22.98317889748218</v>
      </c>
      <c r="P62" s="22">
        <f>O62*Equilibrio!Y$39*Equilibrio!Y$38*DADOS!C$4</f>
        <v>706.73275109757697</v>
      </c>
      <c r="Q62" s="22">
        <f t="shared" si="3"/>
        <v>-311.17091566900558</v>
      </c>
      <c r="R62" s="22">
        <f t="shared" si="5"/>
        <v>-8412.9590331902509</v>
      </c>
      <c r="S62" s="22">
        <f t="shared" si="4"/>
        <v>-1620.7682991422625</v>
      </c>
      <c r="T62" s="22">
        <f t="shared" si="7"/>
        <v>24129.271961142855</v>
      </c>
    </row>
    <row r="63" spans="1:20" x14ac:dyDescent="0.25">
      <c r="A63" s="21">
        <v>62</v>
      </c>
      <c r="B63" s="22">
        <f>CARGAS!$C$40*Equilibrio!A63^2+CARGAS!$D$40*Equilibrio!A63+CARGAS!$E$40</f>
        <v>94.870404734693821</v>
      </c>
      <c r="C63" s="22">
        <f>CARGAS!$C$53*Equilibrio!A63^2+CARGAS!$D$53*Equilibrio!A63+CARGAS!$E$53</f>
        <v>15.811734122448975</v>
      </c>
      <c r="D63">
        <f>IF(posisup=1,IF(A63&lt;=CARGAS!$E$68,sup,0),IF(posisup=2,IF(AND(A63&lt;=CARGAS!$E$69,A63&gt;=CARGAS!$D$69),sup,0),IF(posisup=3,IF(AND(A63&lt;=CARGAS!$E$70,A63&gt;=CARGAS!$D$70),sup,0),0)))</f>
        <v>0</v>
      </c>
      <c r="E63">
        <f>IF(A63&lt;=CARGAS!$H$25,CARGAS!$I$20,0)</f>
        <v>0</v>
      </c>
      <c r="F63" s="22">
        <f>IF(AND(A63&gt;CARGAS!$O$29,A63&lt;=CARGAS!$O$30),tanque1,0)</f>
        <v>0</v>
      </c>
      <c r="G63" s="22">
        <f>IF(AND(A63&gt;CARGAS!$R$29,A63&lt;=CARGAS!$R$30),tanque2,0)</f>
        <v>217.05599999999998</v>
      </c>
      <c r="H63" s="22">
        <f>IF(AND(A63&gt;CARGAS!$U$29,A63&lt;=CARGAS!$U$30),tanque3,0)</f>
        <v>0</v>
      </c>
      <c r="I63" s="22">
        <f>IF(AND(A63&gt;CARGAS!$X$29,A63&lt;=CARGAS!$X$30),tanque4,0)</f>
        <v>0</v>
      </c>
      <c r="J63" s="22">
        <f>IF(AND(A63&gt;CARGAS!$AA$29,A63&lt;=CARGAS!$AA$30),tanque5,0)</f>
        <v>0</v>
      </c>
      <c r="K63" s="22">
        <f>IF(AND($A63&gt;CARGAS!$AD$29,$A63&lt;=CARGAS!$AD$30),tanque6,0)</f>
        <v>0</v>
      </c>
      <c r="L63" s="22">
        <f>IF(AND($A63&gt;CARGAS!$AG$29,$A63&lt;=CARGAS!$AG$30),tanque7,0)</f>
        <v>0</v>
      </c>
      <c r="M63" s="22">
        <f>IF(AND($A63&gt;CARGAS!$AJ$29,$A63&lt;=CARGAS!$AJ$30),tanque8,0)</f>
        <v>0</v>
      </c>
      <c r="N63" s="22">
        <f t="shared" si="2"/>
        <v>327.73813885714276</v>
      </c>
      <c r="O63" s="22">
        <f t="shared" si="6"/>
        <v>22.850361633502601</v>
      </c>
      <c r="P63" s="22">
        <f>O63*Equilibrio!Y$39*Equilibrio!Y$38*DADOS!C$4</f>
        <v>702.64862023020498</v>
      </c>
      <c r="Q63" s="22">
        <f t="shared" si="3"/>
        <v>-374.91048137306223</v>
      </c>
      <c r="R63" s="22">
        <f t="shared" si="5"/>
        <v>-8787.8695145633137</v>
      </c>
      <c r="S63" s="22">
        <f t="shared" si="4"/>
        <v>-10408.637813705576</v>
      </c>
      <c r="T63" s="22">
        <f t="shared" si="7"/>
        <v>20319.764609142851</v>
      </c>
    </row>
    <row r="64" spans="1:20" x14ac:dyDescent="0.25">
      <c r="A64" s="21">
        <v>63</v>
      </c>
      <c r="B64" s="22">
        <f>CARGAS!$C$40*Equilibrio!A64^2+CARGAS!$D$40*Equilibrio!A64+CARGAS!$E$40</f>
        <v>95.482367999999951</v>
      </c>
      <c r="C64" s="22">
        <f>CARGAS!$C$53*Equilibrio!A64^2+CARGAS!$D$53*Equilibrio!A64+CARGAS!$E$53</f>
        <v>15.913727999999995</v>
      </c>
      <c r="D64">
        <f>IF(posisup=1,IF(A64&lt;=CARGAS!$E$68,sup,0),IF(posisup=2,IF(AND(A64&lt;=CARGAS!$E$69,A64&gt;=CARGAS!$D$69),sup,0),IF(posisup=3,IF(AND(A64&lt;=CARGAS!$E$70,A64&gt;=CARGAS!$D$70),sup,0),0)))</f>
        <v>0</v>
      </c>
      <c r="E64">
        <f>IF(A64&lt;=CARGAS!$H$25,CARGAS!$I$20,0)</f>
        <v>0</v>
      </c>
      <c r="F64" s="22">
        <f>IF(AND(A64&gt;CARGAS!$O$29,A64&lt;=CARGAS!$O$30),tanque1,0)</f>
        <v>0</v>
      </c>
      <c r="G64" s="22">
        <f>IF(AND(A64&gt;CARGAS!$R$29,A64&lt;=CARGAS!$R$30),tanque2,0)</f>
        <v>217.05599999999998</v>
      </c>
      <c r="H64" s="22">
        <f>IF(AND(A64&gt;CARGAS!$U$29,A64&lt;=CARGAS!$U$30),tanque3,0)</f>
        <v>0</v>
      </c>
      <c r="I64" s="22">
        <f>IF(AND(A64&gt;CARGAS!$X$29,A64&lt;=CARGAS!$X$30),tanque4,0)</f>
        <v>0</v>
      </c>
      <c r="J64" s="22">
        <f>IF(AND(A64&gt;CARGAS!$AA$29,A64&lt;=CARGAS!$AA$30),tanque5,0)</f>
        <v>0</v>
      </c>
      <c r="K64" s="22">
        <f>IF(AND($A64&gt;CARGAS!$AD$29,$A64&lt;=CARGAS!$AD$30),tanque6,0)</f>
        <v>0</v>
      </c>
      <c r="L64" s="22">
        <f>IF(AND($A64&gt;CARGAS!$AG$29,$A64&lt;=CARGAS!$AG$30),tanque7,0)</f>
        <v>0</v>
      </c>
      <c r="M64" s="22">
        <f>IF(AND($A64&gt;CARGAS!$AJ$29,$A64&lt;=CARGAS!$AJ$30),tanque8,0)</f>
        <v>0</v>
      </c>
      <c r="N64" s="22">
        <f t="shared" si="2"/>
        <v>328.45209599999993</v>
      </c>
      <c r="O64" s="22">
        <f t="shared" si="6"/>
        <v>22.716298144837779</v>
      </c>
      <c r="P64" s="22">
        <f>O64*Equilibrio!Y$39*Equilibrio!Y$38*DADOS!C$4</f>
        <v>698.52616795376173</v>
      </c>
      <c r="Q64" s="22">
        <f t="shared" si="3"/>
        <v>-370.0740719537618</v>
      </c>
      <c r="R64" s="22">
        <f t="shared" si="5"/>
        <v>-9157.9435865170763</v>
      </c>
      <c r="S64" s="22">
        <f t="shared" si="4"/>
        <v>-19566.581400222654</v>
      </c>
      <c r="T64" s="22">
        <f t="shared" si="7"/>
        <v>20692.482047999994</v>
      </c>
    </row>
    <row r="65" spans="1:20" x14ac:dyDescent="0.25">
      <c r="A65" s="21">
        <v>64</v>
      </c>
      <c r="B65" s="22">
        <f>CARGAS!$C$40*Equilibrio!A65^2+CARGAS!$D$40*Equilibrio!A65+CARGAS!$E$40</f>
        <v>96.088891591836671</v>
      </c>
      <c r="C65" s="22">
        <f>CARGAS!$C$53*Equilibrio!A65^2+CARGAS!$D$53*Equilibrio!A65+CARGAS!$E$53</f>
        <v>16.014815265306119</v>
      </c>
      <c r="D65">
        <f>IF(posisup=1,IF(A65&lt;=CARGAS!$E$68,sup,0),IF(posisup=2,IF(AND(A65&lt;=CARGAS!$E$69,A65&gt;=CARGAS!$D$69),sup,0),IF(posisup=3,IF(AND(A65&lt;=CARGAS!$E$70,A65&gt;=CARGAS!$D$70),sup,0),0)))</f>
        <v>0</v>
      </c>
      <c r="E65">
        <f>IF(A65&lt;=CARGAS!$H$25,CARGAS!$I$20,0)</f>
        <v>0</v>
      </c>
      <c r="F65" s="22">
        <f>IF(AND(A65&gt;CARGAS!$O$29,A65&lt;=CARGAS!$O$30),tanque1,0)</f>
        <v>0</v>
      </c>
      <c r="G65" s="22">
        <f>IF(AND(A65&gt;CARGAS!$R$29,A65&lt;=CARGAS!$R$30),tanque2,0)</f>
        <v>217.05599999999998</v>
      </c>
      <c r="H65" s="22">
        <f>IF(AND(A65&gt;CARGAS!$U$29,A65&lt;=CARGAS!$U$30),tanque3,0)</f>
        <v>0</v>
      </c>
      <c r="I65" s="22">
        <f>IF(AND(A65&gt;CARGAS!$X$29,A65&lt;=CARGAS!$X$30),tanque4,0)</f>
        <v>0</v>
      </c>
      <c r="J65" s="22">
        <f>IF(AND(A65&gt;CARGAS!$AA$29,A65&lt;=CARGAS!$AA$30),tanque5,0)</f>
        <v>0</v>
      </c>
      <c r="K65" s="22">
        <f>IF(AND($A65&gt;CARGAS!$AD$29,$A65&lt;=CARGAS!$AD$30),tanque6,0)</f>
        <v>0</v>
      </c>
      <c r="L65" s="22">
        <f>IF(AND($A65&gt;CARGAS!$AG$29,$A65&lt;=CARGAS!$AG$30),tanque7,0)</f>
        <v>0</v>
      </c>
      <c r="M65" s="22">
        <f>IF(AND($A65&gt;CARGAS!$AJ$29,$A65&lt;=CARGAS!$AJ$30),tanque8,0)</f>
        <v>0</v>
      </c>
      <c r="N65" s="22">
        <f t="shared" si="2"/>
        <v>329.15970685714274</v>
      </c>
      <c r="O65" s="22">
        <f t="shared" si="6"/>
        <v>22.581034038940217</v>
      </c>
      <c r="P65" s="22">
        <f>O65*Equilibrio!Y$39*Equilibrio!Y$38*DADOS!C$4</f>
        <v>694.36679669741159</v>
      </c>
      <c r="Q65" s="22">
        <f t="shared" si="3"/>
        <v>-365.20708984026885</v>
      </c>
      <c r="R65" s="22">
        <f t="shared" si="5"/>
        <v>-9523.1506763573452</v>
      </c>
      <c r="S65" s="22">
        <f t="shared" si="4"/>
        <v>-29089.73207658</v>
      </c>
      <c r="T65" s="22">
        <f t="shared" si="7"/>
        <v>21066.221238857135</v>
      </c>
    </row>
    <row r="66" spans="1:20" x14ac:dyDescent="0.25">
      <c r="A66" s="21">
        <v>65</v>
      </c>
      <c r="B66" s="22">
        <f>CARGAS!$C$40*Equilibrio!A66^2+CARGAS!$D$40*Equilibrio!A66+CARGAS!$E$40</f>
        <v>96.689975510204022</v>
      </c>
      <c r="C66" s="22">
        <f>CARGAS!$C$53*Equilibrio!A66^2+CARGAS!$D$53*Equilibrio!A66+CARGAS!$E$53</f>
        <v>16.114995918367342</v>
      </c>
      <c r="D66">
        <f>IF(posisup=1,IF(A66&lt;=CARGAS!$E$68,sup,0),IF(posisup=2,IF(AND(A66&lt;=CARGAS!$E$69,A66&gt;=CARGAS!$D$69),sup,0),IF(posisup=3,IF(AND(A66&lt;=CARGAS!$E$70,A66&gt;=CARGAS!$D$70),sup,0),0)))</f>
        <v>0</v>
      </c>
      <c r="E66">
        <f>IF(A66&lt;=CARGAS!$H$25,CARGAS!$I$20,0)</f>
        <v>0</v>
      </c>
      <c r="F66" s="22">
        <f>IF(AND(A66&gt;CARGAS!$O$29,A66&lt;=CARGAS!$O$30),tanque1,0)</f>
        <v>0</v>
      </c>
      <c r="G66" s="22">
        <f>IF(AND(A66&gt;CARGAS!$R$29,A66&lt;=CARGAS!$R$30),tanque2,0)</f>
        <v>217.05599999999998</v>
      </c>
      <c r="H66" s="22">
        <f>IF(AND(A66&gt;CARGAS!$U$29,A66&lt;=CARGAS!$U$30),tanque3,0)</f>
        <v>0</v>
      </c>
      <c r="I66" s="22">
        <f>IF(AND(A66&gt;CARGAS!$X$29,A66&lt;=CARGAS!$X$30),tanque4,0)</f>
        <v>0</v>
      </c>
      <c r="J66" s="22">
        <f>IF(AND(A66&gt;CARGAS!$AA$29,A66&lt;=CARGAS!$AA$30),tanque5,0)</f>
        <v>0</v>
      </c>
      <c r="K66" s="22">
        <f>IF(AND($A66&gt;CARGAS!$AD$29,$A66&lt;=CARGAS!$AD$30),tanque6,0)</f>
        <v>0</v>
      </c>
      <c r="L66" s="22">
        <f>IF(AND($A66&gt;CARGAS!$AG$29,$A66&lt;=CARGAS!$AG$30),tanque7,0)</f>
        <v>0</v>
      </c>
      <c r="M66" s="22">
        <f>IF(AND($A66&gt;CARGAS!$AJ$29,$A66&lt;=CARGAS!$AJ$30),tanque8,0)</f>
        <v>0</v>
      </c>
      <c r="N66" s="22">
        <f t="shared" si="2"/>
        <v>329.86097142857136</v>
      </c>
      <c r="O66" s="22">
        <f t="shared" ref="O66:O97" si="8">IF($X$4=1,tmedio+((loa/2)-A66)*TAN(trimrad),IF($X$4=2,tmedio+$Z$3*COS(2*PI()*A66/$Z$2)+((loa/2)-A66)*TAN(trimrad),IF($X$4=3,tmedio-$Z$3*COS(2*PI()*A66/$Z$2)+((loa/2)-A66)*TAN(trimrad),tmedio+((loa/2)-A66)*TAN(trimrad))))</f>
        <v>22.444615310178285</v>
      </c>
      <c r="P66" s="22">
        <f>O66*Equilibrio!Y$39*Equilibrio!Y$38*DADOS!C$4</f>
        <v>690.17192078798223</v>
      </c>
      <c r="Q66" s="22">
        <f t="shared" si="3"/>
        <v>-360.31094935941087</v>
      </c>
      <c r="R66" s="22">
        <f t="shared" si="5"/>
        <v>-9883.4616257167563</v>
      </c>
      <c r="S66" s="22">
        <f t="shared" si="4"/>
        <v>-38973.193702296754</v>
      </c>
      <c r="T66" s="22">
        <f t="shared" ref="T66:T97" si="9">N66*A66</f>
        <v>21440.963142857137</v>
      </c>
    </row>
    <row r="67" spans="1:20" x14ac:dyDescent="0.25">
      <c r="A67" s="21">
        <v>66</v>
      </c>
      <c r="B67" s="22">
        <f>CARGAS!$C$40*Equilibrio!A67^2+CARGAS!$D$40*Equilibrio!A67+CARGAS!$E$40</f>
        <v>97.285619755101976</v>
      </c>
      <c r="C67" s="22">
        <f>CARGAS!$C$53*Equilibrio!A67^2+CARGAS!$D$53*Equilibrio!A67+CARGAS!$E$53</f>
        <v>16.214269959183667</v>
      </c>
      <c r="D67">
        <f>IF(posisup=1,IF(A67&lt;=CARGAS!$E$68,sup,0),IF(posisup=2,IF(AND(A67&lt;=CARGAS!$E$69,A67&gt;=CARGAS!$D$69),sup,0),IF(posisup=3,IF(AND(A67&lt;=CARGAS!$E$70,A67&gt;=CARGAS!$D$70),sup,0),0)))</f>
        <v>0</v>
      </c>
      <c r="E67">
        <f>IF(A67&lt;=CARGAS!$H$25,CARGAS!$I$20,0)</f>
        <v>0</v>
      </c>
      <c r="F67" s="22">
        <f>IF(AND(A67&gt;CARGAS!$O$29,A67&lt;=CARGAS!$O$30),tanque1,0)</f>
        <v>0</v>
      </c>
      <c r="G67" s="22">
        <f>IF(AND(A67&gt;CARGAS!$R$29,A67&lt;=CARGAS!$R$30),tanque2,0)</f>
        <v>217.05599999999998</v>
      </c>
      <c r="H67" s="22">
        <f>IF(AND(A67&gt;CARGAS!$U$29,A67&lt;=CARGAS!$U$30),tanque3,0)</f>
        <v>0</v>
      </c>
      <c r="I67" s="22">
        <f>IF(AND(A67&gt;CARGAS!$X$29,A67&lt;=CARGAS!$X$30),tanque4,0)</f>
        <v>0</v>
      </c>
      <c r="J67" s="22">
        <f>IF(AND(A67&gt;CARGAS!$AA$29,A67&lt;=CARGAS!$AA$30),tanque5,0)</f>
        <v>0</v>
      </c>
      <c r="K67" s="22">
        <f>IF(AND($A67&gt;CARGAS!$AD$29,$A67&lt;=CARGAS!$AD$30),tanque6,0)</f>
        <v>0</v>
      </c>
      <c r="L67" s="22">
        <f>IF(AND($A67&gt;CARGAS!$AG$29,$A67&lt;=CARGAS!$AG$30),tanque7,0)</f>
        <v>0</v>
      </c>
      <c r="M67" s="22">
        <f>IF(AND($A67&gt;CARGAS!$AJ$29,$A67&lt;=CARGAS!$AJ$30),tanque8,0)</f>
        <v>0</v>
      </c>
      <c r="N67" s="22">
        <f t="shared" ref="N67:N130" si="10">B67+C67+D67+F67+E67+G67+H67+I67+J67+K67+L67+M67</f>
        <v>330.55588971428563</v>
      </c>
      <c r="O67" s="22">
        <f t="shared" si="8"/>
        <v>22.307088325013911</v>
      </c>
      <c r="P67" s="22">
        <f>O67*Equilibrio!Y$39*Equilibrio!Y$38*DADOS!C$4</f>
        <v>685.94296599417771</v>
      </c>
      <c r="Q67" s="22">
        <f t="shared" ref="Q67:Q130" si="11">N67-P67</f>
        <v>-355.38707627989209</v>
      </c>
      <c r="R67" s="22">
        <f t="shared" si="5"/>
        <v>-10238.848701996649</v>
      </c>
      <c r="S67" s="22">
        <f t="shared" si="4"/>
        <v>-49212.042404293403</v>
      </c>
      <c r="T67" s="22">
        <f t="shared" si="9"/>
        <v>21816.688721142851</v>
      </c>
    </row>
    <row r="68" spans="1:20" x14ac:dyDescent="0.25">
      <c r="A68" s="21">
        <v>67</v>
      </c>
      <c r="B68" s="22">
        <f>CARGAS!$C$40*Equilibrio!A68^2+CARGAS!$D$40*Equilibrio!A68+CARGAS!$E$40</f>
        <v>97.875824326530548</v>
      </c>
      <c r="C68" s="22">
        <f>CARGAS!$C$53*Equilibrio!A68^2+CARGAS!$D$53*Equilibrio!A68+CARGAS!$E$53</f>
        <v>16.312637387755096</v>
      </c>
      <c r="D68">
        <f>IF(posisup=1,IF(A68&lt;=CARGAS!$E$68,sup,0),IF(posisup=2,IF(AND(A68&lt;=CARGAS!$E$69,A68&gt;=CARGAS!$D$69),sup,0),IF(posisup=3,IF(AND(A68&lt;=CARGAS!$E$70,A68&gt;=CARGAS!$D$70),sup,0),0)))</f>
        <v>0</v>
      </c>
      <c r="E68">
        <f>IF(A68&lt;=CARGAS!$H$25,CARGAS!$I$20,0)</f>
        <v>0</v>
      </c>
      <c r="F68" s="22">
        <f>IF(AND(A68&gt;CARGAS!$O$29,A68&lt;=CARGAS!$O$30),tanque1,0)</f>
        <v>0</v>
      </c>
      <c r="G68" s="22">
        <f>IF(AND(A68&gt;CARGAS!$R$29,A68&lt;=CARGAS!$R$30),tanque2,0)</f>
        <v>217.05599999999998</v>
      </c>
      <c r="H68" s="22">
        <f>IF(AND(A68&gt;CARGAS!$U$29,A68&lt;=CARGAS!$U$30),tanque3,0)</f>
        <v>0</v>
      </c>
      <c r="I68" s="22">
        <f>IF(AND(A68&gt;CARGAS!$X$29,A68&lt;=CARGAS!$X$30),tanque4,0)</f>
        <v>0</v>
      </c>
      <c r="J68" s="22">
        <f>IF(AND(A68&gt;CARGAS!$AA$29,A68&lt;=CARGAS!$AA$30),tanque5,0)</f>
        <v>0</v>
      </c>
      <c r="K68" s="22">
        <f>IF(AND($A68&gt;CARGAS!$AD$29,$A68&lt;=CARGAS!$AD$30),tanque6,0)</f>
        <v>0</v>
      </c>
      <c r="L68" s="22">
        <f>IF(AND($A68&gt;CARGAS!$AG$29,$A68&lt;=CARGAS!$AG$30),tanque7,0)</f>
        <v>0</v>
      </c>
      <c r="M68" s="22">
        <f>IF(AND($A68&gt;CARGAS!$AJ$29,$A68&lt;=CARGAS!$AJ$30),tanque8,0)</f>
        <v>0</v>
      </c>
      <c r="N68" s="22">
        <f t="shared" si="10"/>
        <v>331.24446171428565</v>
      </c>
      <c r="O68" s="22">
        <f t="shared" si="8"/>
        <v>22.168499807060318</v>
      </c>
      <c r="P68" s="22">
        <f>O68*Equilibrio!Y$39*Equilibrio!Y$38*DADOS!C$4</f>
        <v>681.68136906710481</v>
      </c>
      <c r="Q68" s="22">
        <f t="shared" si="11"/>
        <v>-350.43690735281916</v>
      </c>
      <c r="R68" s="22">
        <f t="shared" si="5"/>
        <v>-10589.285609349468</v>
      </c>
      <c r="S68" s="22">
        <f t="shared" si="4"/>
        <v>-59801.328013642873</v>
      </c>
      <c r="T68" s="22">
        <f t="shared" si="9"/>
        <v>22193.378934857137</v>
      </c>
    </row>
    <row r="69" spans="1:20" x14ac:dyDescent="0.25">
      <c r="A69" s="21">
        <v>68</v>
      </c>
      <c r="B69" s="22">
        <f>CARGAS!$C$40*Equilibrio!A69^2+CARGAS!$D$40*Equilibrio!A69+CARGAS!$E$40</f>
        <v>98.460589224489723</v>
      </c>
      <c r="C69" s="22">
        <f>CARGAS!$C$53*Equilibrio!A69^2+CARGAS!$D$53*Equilibrio!A69+CARGAS!$E$53</f>
        <v>16.410098204081628</v>
      </c>
      <c r="D69">
        <f>IF(posisup=1,IF(A69&lt;=CARGAS!$E$68,sup,0),IF(posisup=2,IF(AND(A69&lt;=CARGAS!$E$69,A69&gt;=CARGAS!$D$69),sup,0),IF(posisup=3,IF(AND(A69&lt;=CARGAS!$E$70,A69&gt;=CARGAS!$D$70),sup,0),0)))</f>
        <v>0</v>
      </c>
      <c r="E69">
        <f>IF(A69&lt;=CARGAS!$H$25,CARGAS!$I$20,0)</f>
        <v>0</v>
      </c>
      <c r="F69" s="22">
        <f>IF(AND(A69&gt;CARGAS!$O$29,A69&lt;=CARGAS!$O$30),tanque1,0)</f>
        <v>0</v>
      </c>
      <c r="G69" s="22">
        <f>IF(AND(A69&gt;CARGAS!$R$29,A69&lt;=CARGAS!$R$30),tanque2,0)</f>
        <v>217.05599999999998</v>
      </c>
      <c r="H69" s="22">
        <f>IF(AND(A69&gt;CARGAS!$U$29,A69&lt;=CARGAS!$U$30),tanque3,0)</f>
        <v>0</v>
      </c>
      <c r="I69" s="22">
        <f>IF(AND(A69&gt;CARGAS!$X$29,A69&lt;=CARGAS!$X$30),tanque4,0)</f>
        <v>0</v>
      </c>
      <c r="J69" s="22">
        <f>IF(AND(A69&gt;CARGAS!$AA$29,A69&lt;=CARGAS!$AA$30),tanque5,0)</f>
        <v>0</v>
      </c>
      <c r="K69" s="22">
        <f>IF(AND($A69&gt;CARGAS!$AD$29,$A69&lt;=CARGAS!$AD$30),tanque6,0)</f>
        <v>0</v>
      </c>
      <c r="L69" s="22">
        <f>IF(AND($A69&gt;CARGAS!$AG$29,$A69&lt;=CARGAS!$AG$30),tanque7,0)</f>
        <v>0</v>
      </c>
      <c r="M69" s="22">
        <f>IF(AND($A69&gt;CARGAS!$AJ$29,$A69&lt;=CARGAS!$AJ$30),tanque8,0)</f>
        <v>0</v>
      </c>
      <c r="N69" s="22">
        <f t="shared" si="10"/>
        <v>331.92668742857131</v>
      </c>
      <c r="O69" s="22">
        <f t="shared" si="8"/>
        <v>22.028896822024688</v>
      </c>
      <c r="P69" s="22">
        <f>O69*Equilibrio!Y$39*Equilibrio!Y$38*DADOS!C$4</f>
        <v>677.38857727725917</v>
      </c>
      <c r="Q69" s="22">
        <f t="shared" si="11"/>
        <v>-345.46188984868786</v>
      </c>
      <c r="R69" s="22">
        <f t="shared" ref="R69:R132" si="12">R68+Q69</f>
        <v>-10934.747499198156</v>
      </c>
      <c r="S69" s="22">
        <f t="shared" ref="S69:S132" si="13">S68+R69</f>
        <v>-70736.075512841024</v>
      </c>
      <c r="T69" s="22">
        <f t="shared" si="9"/>
        <v>22571.014745142849</v>
      </c>
    </row>
    <row r="70" spans="1:20" x14ac:dyDescent="0.25">
      <c r="A70" s="21">
        <v>69</v>
      </c>
      <c r="B70" s="22">
        <f>CARGAS!$C$40*Equilibrio!A70^2+CARGAS!$D$40*Equilibrio!A70+CARGAS!$E$40</f>
        <v>99.039914448979545</v>
      </c>
      <c r="C70" s="22">
        <f>CARGAS!$C$53*Equilibrio!A70^2+CARGAS!$D$53*Equilibrio!A70+CARGAS!$E$53</f>
        <v>16.506652408163259</v>
      </c>
      <c r="D70">
        <f>IF(posisup=1,IF(A70&lt;=CARGAS!$E$68,sup,0),IF(posisup=2,IF(AND(A70&lt;=CARGAS!$E$69,A70&gt;=CARGAS!$D$69),sup,0),IF(posisup=3,IF(AND(A70&lt;=CARGAS!$E$70,A70&gt;=CARGAS!$D$70),sup,0),0)))</f>
        <v>0</v>
      </c>
      <c r="E70">
        <f>IF(A70&lt;=CARGAS!$H$25,CARGAS!$I$20,0)</f>
        <v>0</v>
      </c>
      <c r="F70" s="22">
        <f>IF(AND(A70&gt;CARGAS!$O$29,A70&lt;=CARGAS!$O$30),tanque1,0)</f>
        <v>0</v>
      </c>
      <c r="G70" s="22">
        <f>IF(AND(A70&gt;CARGAS!$R$29,A70&lt;=CARGAS!$R$30),tanque2,0)</f>
        <v>217.05599999999998</v>
      </c>
      <c r="H70" s="22">
        <f>IF(AND(A70&gt;CARGAS!$U$29,A70&lt;=CARGAS!$U$30),tanque3,0)</f>
        <v>0</v>
      </c>
      <c r="I70" s="22">
        <f>IF(AND(A70&gt;CARGAS!$X$29,A70&lt;=CARGAS!$X$30),tanque4,0)</f>
        <v>0</v>
      </c>
      <c r="J70" s="22">
        <f>IF(AND(A70&gt;CARGAS!$AA$29,A70&lt;=CARGAS!$AA$30),tanque5,0)</f>
        <v>0</v>
      </c>
      <c r="K70" s="22">
        <f>IF(AND($A70&gt;CARGAS!$AD$29,$A70&lt;=CARGAS!$AD$30),tanque6,0)</f>
        <v>0</v>
      </c>
      <c r="L70" s="22">
        <f>IF(AND($A70&gt;CARGAS!$AG$29,$A70&lt;=CARGAS!$AG$30),tanque7,0)</f>
        <v>0</v>
      </c>
      <c r="M70" s="22">
        <f>IF(AND($A70&gt;CARGAS!$AJ$29,$A70&lt;=CARGAS!$AJ$30),tanque8,0)</f>
        <v>0</v>
      </c>
      <c r="N70" s="22">
        <f t="shared" si="10"/>
        <v>332.60256685714279</v>
      </c>
      <c r="O70" s="22">
        <f t="shared" si="8"/>
        <v>21.888326762540558</v>
      </c>
      <c r="P70" s="22">
        <f>O70*Equilibrio!Y$39*Equilibrio!Y$38*DADOS!C$4</f>
        <v>673.0660479481221</v>
      </c>
      <c r="Q70" s="22">
        <f t="shared" si="11"/>
        <v>-340.46348109097931</v>
      </c>
      <c r="R70" s="22">
        <f t="shared" si="12"/>
        <v>-11275.210980289135</v>
      </c>
      <c r="S70" s="22">
        <f t="shared" si="13"/>
        <v>-82011.286493130159</v>
      </c>
      <c r="T70" s="22">
        <f t="shared" si="9"/>
        <v>22949.577113142852</v>
      </c>
    </row>
    <row r="71" spans="1:20" x14ac:dyDescent="0.25">
      <c r="A71" s="21">
        <v>70</v>
      </c>
      <c r="B71" s="22">
        <f>CARGAS!$C$40*Equilibrio!A71^2+CARGAS!$D$40*Equilibrio!A71+CARGAS!$E$40</f>
        <v>99.613799999999941</v>
      </c>
      <c r="C71" s="22">
        <f>CARGAS!$C$53*Equilibrio!A71^2+CARGAS!$D$53*Equilibrio!A71+CARGAS!$E$53</f>
        <v>16.602299999999993</v>
      </c>
      <c r="D71">
        <f>IF(posisup=1,IF(A71&lt;=CARGAS!$E$68,sup,0),IF(posisup=2,IF(AND(A71&lt;=CARGAS!$E$69,A71&gt;=CARGAS!$D$69),sup,0),IF(posisup=3,IF(AND(A71&lt;=CARGAS!$E$70,A71&gt;=CARGAS!$D$70),sup,0),0)))</f>
        <v>0</v>
      </c>
      <c r="E71">
        <f>IF(A71&lt;=CARGAS!$H$25,CARGAS!$I$20,0)</f>
        <v>0</v>
      </c>
      <c r="F71" s="22">
        <f>IF(AND(A71&gt;CARGAS!$O$29,A71&lt;=CARGAS!$O$30),tanque1,0)</f>
        <v>0</v>
      </c>
      <c r="G71" s="22">
        <f>IF(AND(A71&gt;CARGAS!$R$29,A71&lt;=CARGAS!$R$30),tanque2,0)</f>
        <v>217.05599999999998</v>
      </c>
      <c r="H71" s="22">
        <f>IF(AND(A71&gt;CARGAS!$U$29,A71&lt;=CARGAS!$U$30),tanque3,0)</f>
        <v>0</v>
      </c>
      <c r="I71" s="22">
        <f>IF(AND(A71&gt;CARGAS!$X$29,A71&lt;=CARGAS!$X$30),tanque4,0)</f>
        <v>0</v>
      </c>
      <c r="J71" s="22">
        <f>IF(AND(A71&gt;CARGAS!$AA$29,A71&lt;=CARGAS!$AA$30),tanque5,0)</f>
        <v>0</v>
      </c>
      <c r="K71" s="22">
        <f>IF(AND($A71&gt;CARGAS!$AD$29,$A71&lt;=CARGAS!$AD$30),tanque6,0)</f>
        <v>0</v>
      </c>
      <c r="L71" s="22">
        <f>IF(AND($A71&gt;CARGAS!$AG$29,$A71&lt;=CARGAS!$AG$30),tanque7,0)</f>
        <v>0</v>
      </c>
      <c r="M71" s="22">
        <f>IF(AND($A71&gt;CARGAS!$AJ$29,$A71&lt;=CARGAS!$AJ$30),tanque8,0)</f>
        <v>0</v>
      </c>
      <c r="N71" s="22">
        <f t="shared" si="10"/>
        <v>333.27209999999991</v>
      </c>
      <c r="O71" s="22">
        <f t="shared" si="8"/>
        <v>21.746837332894884</v>
      </c>
      <c r="P71" s="22">
        <f>O71*Equilibrio!Y$39*Equilibrio!Y$38*DADOS!C$4</f>
        <v>668.71524798651762</v>
      </c>
      <c r="Q71" s="22">
        <f t="shared" si="11"/>
        <v>-335.44314798651772</v>
      </c>
      <c r="R71" s="22">
        <f t="shared" si="12"/>
        <v>-11610.654128275653</v>
      </c>
      <c r="S71" s="22">
        <f t="shared" si="13"/>
        <v>-93621.940621405811</v>
      </c>
      <c r="T71" s="22">
        <f t="shared" si="9"/>
        <v>23329.046999999995</v>
      </c>
    </row>
    <row r="72" spans="1:20" x14ac:dyDescent="0.25">
      <c r="A72" s="21">
        <v>71</v>
      </c>
      <c r="B72" s="22">
        <f>CARGAS!$C$40*Equilibrio!A72^2+CARGAS!$D$40*Equilibrio!A72+CARGAS!$E$40</f>
        <v>100.18224587755095</v>
      </c>
      <c r="C72" s="22">
        <f>CARGAS!$C$53*Equilibrio!A72^2+CARGAS!$D$53*Equilibrio!A72+CARGAS!$E$53</f>
        <v>16.697040979591833</v>
      </c>
      <c r="D72">
        <f>IF(posisup=1,IF(A72&lt;=CARGAS!$E$68,sup,0),IF(posisup=2,IF(AND(A72&lt;=CARGAS!$E$69,A72&gt;=CARGAS!$D$69),sup,0),IF(posisup=3,IF(AND(A72&lt;=CARGAS!$E$70,A72&gt;=CARGAS!$D$70),sup,0),0)))</f>
        <v>0</v>
      </c>
      <c r="E72">
        <f>IF(A72&lt;=CARGAS!$H$25,CARGAS!$I$20,0)</f>
        <v>0</v>
      </c>
      <c r="F72" s="22">
        <f>IF(AND(A72&gt;CARGAS!$O$29,A72&lt;=CARGAS!$O$30),tanque1,0)</f>
        <v>0</v>
      </c>
      <c r="G72" s="22">
        <f>IF(AND(A72&gt;CARGAS!$R$29,A72&lt;=CARGAS!$R$30),tanque2,0)</f>
        <v>217.05599999999998</v>
      </c>
      <c r="H72" s="22">
        <f>IF(AND(A72&gt;CARGAS!$U$29,A72&lt;=CARGAS!$U$30),tanque3,0)</f>
        <v>0</v>
      </c>
      <c r="I72" s="22">
        <f>IF(AND(A72&gt;CARGAS!$X$29,A72&lt;=CARGAS!$X$30),tanque4,0)</f>
        <v>0</v>
      </c>
      <c r="J72" s="22">
        <f>IF(AND(A72&gt;CARGAS!$AA$29,A72&lt;=CARGAS!$AA$30),tanque5,0)</f>
        <v>0</v>
      </c>
      <c r="K72" s="22">
        <f>IF(AND($A72&gt;CARGAS!$AD$29,$A72&lt;=CARGAS!$AD$30),tanque6,0)</f>
        <v>0</v>
      </c>
      <c r="L72" s="22">
        <f>IF(AND($A72&gt;CARGAS!$AG$29,$A72&lt;=CARGAS!$AG$30),tanque7,0)</f>
        <v>0</v>
      </c>
      <c r="M72" s="22">
        <f>IF(AND($A72&gt;CARGAS!$AJ$29,$A72&lt;=CARGAS!$AJ$30),tanque8,0)</f>
        <v>0</v>
      </c>
      <c r="N72" s="22">
        <f t="shared" si="10"/>
        <v>333.93528685714278</v>
      </c>
      <c r="O72" s="22">
        <f t="shared" si="8"/>
        <v>21.604476533654662</v>
      </c>
      <c r="P72" s="22">
        <f>O72*Equilibrio!Y$39*Equilibrio!Y$38*DADOS!C$4</f>
        <v>664.33765340988077</v>
      </c>
      <c r="Q72" s="22">
        <f t="shared" si="11"/>
        <v>-330.40236655273799</v>
      </c>
      <c r="R72" s="22">
        <f t="shared" si="12"/>
        <v>-11941.056494828392</v>
      </c>
      <c r="S72" s="22">
        <f t="shared" si="13"/>
        <v>-105562.9971162342</v>
      </c>
      <c r="T72" s="22">
        <f t="shared" si="9"/>
        <v>23709.405366857136</v>
      </c>
    </row>
    <row r="73" spans="1:20" x14ac:dyDescent="0.25">
      <c r="A73" s="21">
        <v>72</v>
      </c>
      <c r="B73" s="22">
        <f>CARGAS!$C$40*Equilibrio!A73^2+CARGAS!$D$40*Equilibrio!A73+CARGAS!$E$40</f>
        <v>100.74525208163259</v>
      </c>
      <c r="C73" s="22">
        <f>CARGAS!$C$53*Equilibrio!A73^2+CARGAS!$D$53*Equilibrio!A73+CARGAS!$E$53</f>
        <v>16.790875346938769</v>
      </c>
      <c r="D73">
        <f>IF(posisup=1,IF(A73&lt;=CARGAS!$E$68,sup,0),IF(posisup=2,IF(AND(A73&lt;=CARGAS!$E$69,A73&gt;=CARGAS!$D$69),sup,0),IF(posisup=3,IF(AND(A73&lt;=CARGAS!$E$70,A73&gt;=CARGAS!$D$70),sup,0),0)))</f>
        <v>0</v>
      </c>
      <c r="E73">
        <f>IF(A73&lt;=CARGAS!$H$25,CARGAS!$I$20,0)</f>
        <v>0</v>
      </c>
      <c r="F73" s="22">
        <f>IF(AND(A73&gt;CARGAS!$O$29,A73&lt;=CARGAS!$O$30),tanque1,0)</f>
        <v>0</v>
      </c>
      <c r="G73" s="22">
        <f>IF(AND(A73&gt;CARGAS!$R$29,A73&lt;=CARGAS!$R$30),tanque2,0)</f>
        <v>217.05599999999998</v>
      </c>
      <c r="H73" s="22">
        <f>IF(AND(A73&gt;CARGAS!$U$29,A73&lt;=CARGAS!$U$30),tanque3,0)</f>
        <v>0</v>
      </c>
      <c r="I73" s="22">
        <f>IF(AND(A73&gt;CARGAS!$X$29,A73&lt;=CARGAS!$X$30),tanque4,0)</f>
        <v>0</v>
      </c>
      <c r="J73" s="22">
        <f>IF(AND(A73&gt;CARGAS!$AA$29,A73&lt;=CARGAS!$AA$30),tanque5,0)</f>
        <v>0</v>
      </c>
      <c r="K73" s="22">
        <f>IF(AND($A73&gt;CARGAS!$AD$29,$A73&lt;=CARGAS!$AD$30),tanque6,0)</f>
        <v>0</v>
      </c>
      <c r="L73" s="22">
        <f>IF(AND($A73&gt;CARGAS!$AG$29,$A73&lt;=CARGAS!$AG$30),tanque7,0)</f>
        <v>0</v>
      </c>
      <c r="M73" s="22">
        <f>IF(AND($A73&gt;CARGAS!$AJ$29,$A73&lt;=CARGAS!$AJ$30),tanque8,0)</f>
        <v>0</v>
      </c>
      <c r="N73" s="22">
        <f t="shared" si="10"/>
        <v>334.5921274285713</v>
      </c>
      <c r="O73" s="22">
        <f t="shared" si="8"/>
        <v>21.461292646198064</v>
      </c>
      <c r="P73" s="22">
        <f>O73*Equilibrio!Y$39*Equilibrio!Y$38*DADOS!C$4</f>
        <v>659.9347488705904</v>
      </c>
      <c r="Q73" s="22">
        <f t="shared" si="11"/>
        <v>-325.34262144201909</v>
      </c>
      <c r="R73" s="22">
        <f t="shared" si="12"/>
        <v>-12266.399116270411</v>
      </c>
      <c r="S73" s="22">
        <f t="shared" si="13"/>
        <v>-117829.3962325046</v>
      </c>
      <c r="T73" s="22">
        <f t="shared" si="9"/>
        <v>24090.633174857132</v>
      </c>
    </row>
    <row r="74" spans="1:20" x14ac:dyDescent="0.25">
      <c r="A74" s="21">
        <v>73</v>
      </c>
      <c r="B74" s="22">
        <f>CARGAS!$C$40*Equilibrio!A74^2+CARGAS!$D$40*Equilibrio!A74+CARGAS!$E$40</f>
        <v>101.30281861224483</v>
      </c>
      <c r="C74" s="22">
        <f>CARGAS!$C$53*Equilibrio!A74^2+CARGAS!$D$53*Equilibrio!A74+CARGAS!$E$53</f>
        <v>16.883803102040812</v>
      </c>
      <c r="D74">
        <f>IF(posisup=1,IF(A74&lt;=CARGAS!$E$68,sup,0),IF(posisup=2,IF(AND(A74&lt;=CARGAS!$E$69,A74&gt;=CARGAS!$D$69),sup,0),IF(posisup=3,IF(AND(A74&lt;=CARGAS!$E$70,A74&gt;=CARGAS!$D$70),sup,0),0)))</f>
        <v>0</v>
      </c>
      <c r="E74">
        <f>IF(A74&lt;=CARGAS!$H$25,CARGAS!$I$20,0)</f>
        <v>0</v>
      </c>
      <c r="F74" s="22">
        <f>IF(AND(A74&gt;CARGAS!$O$29,A74&lt;=CARGAS!$O$30),tanque1,0)</f>
        <v>0</v>
      </c>
      <c r="G74" s="22">
        <f>IF(AND(A74&gt;CARGAS!$R$29,A74&lt;=CARGAS!$R$30),tanque2,0)</f>
        <v>217.05599999999998</v>
      </c>
      <c r="H74" s="22">
        <f>IF(AND(A74&gt;CARGAS!$U$29,A74&lt;=CARGAS!$U$30),tanque3,0)</f>
        <v>0</v>
      </c>
      <c r="I74" s="22">
        <f>IF(AND(A74&gt;CARGAS!$X$29,A74&lt;=CARGAS!$X$30),tanque4,0)</f>
        <v>0</v>
      </c>
      <c r="J74" s="22">
        <f>IF(AND(A74&gt;CARGAS!$AA$29,A74&lt;=CARGAS!$AA$30),tanque5,0)</f>
        <v>0</v>
      </c>
      <c r="K74" s="22">
        <f>IF(AND($A74&gt;CARGAS!$AD$29,$A74&lt;=CARGAS!$AD$30),tanque6,0)</f>
        <v>0</v>
      </c>
      <c r="L74" s="22">
        <f>IF(AND($A74&gt;CARGAS!$AG$29,$A74&lt;=CARGAS!$AG$30),tanque7,0)</f>
        <v>0</v>
      </c>
      <c r="M74" s="22">
        <f>IF(AND($A74&gt;CARGAS!$AJ$29,$A74&lt;=CARGAS!$AJ$30),tanque8,0)</f>
        <v>0</v>
      </c>
      <c r="N74" s="22">
        <f t="shared" si="10"/>
        <v>335.24262171428563</v>
      </c>
      <c r="O74" s="22">
        <f t="shared" si="8"/>
        <v>21.317334217155071</v>
      </c>
      <c r="P74" s="22">
        <f>O74*Equilibrio!Y$39*Equilibrio!Y$38*DADOS!C$4</f>
        <v>655.50802717751833</v>
      </c>
      <c r="Q74" s="22">
        <f t="shared" si="11"/>
        <v>-320.2654054632327</v>
      </c>
      <c r="R74" s="22">
        <f t="shared" si="12"/>
        <v>-12586.664521733645</v>
      </c>
      <c r="S74" s="22">
        <f t="shared" si="13"/>
        <v>-130416.06075423825</v>
      </c>
      <c r="T74" s="22">
        <f t="shared" si="9"/>
        <v>24472.711385142851</v>
      </c>
    </row>
    <row r="75" spans="1:20" x14ac:dyDescent="0.25">
      <c r="A75" s="21">
        <v>74</v>
      </c>
      <c r="B75" s="22">
        <f>CARGAS!$C$40*Equilibrio!A75^2+CARGAS!$D$40*Equilibrio!A75+CARGAS!$E$40</f>
        <v>101.8549454693877</v>
      </c>
      <c r="C75" s="22">
        <f>CARGAS!$C$53*Equilibrio!A75^2+CARGAS!$D$53*Equilibrio!A75+CARGAS!$E$53</f>
        <v>16.975824244897954</v>
      </c>
      <c r="D75">
        <f>IF(posisup=1,IF(A75&lt;=CARGAS!$E$68,sup,0),IF(posisup=2,IF(AND(A75&lt;=CARGAS!$E$69,A75&gt;=CARGAS!$D$69),sup,0),IF(posisup=3,IF(AND(A75&lt;=CARGAS!$E$70,A75&gt;=CARGAS!$D$70),sup,0),0)))</f>
        <v>0</v>
      </c>
      <c r="E75">
        <f>IF(A75&lt;=CARGAS!$H$25,CARGAS!$I$20,0)</f>
        <v>0</v>
      </c>
      <c r="F75" s="22">
        <f>IF(AND(A75&gt;CARGAS!$O$29,A75&lt;=CARGAS!$O$30),tanque1,0)</f>
        <v>0</v>
      </c>
      <c r="G75" s="22">
        <f>IF(AND(A75&gt;CARGAS!$R$29,A75&lt;=CARGAS!$R$30),tanque2,0)</f>
        <v>217.05599999999998</v>
      </c>
      <c r="H75" s="22">
        <f>IF(AND(A75&gt;CARGAS!$U$29,A75&lt;=CARGAS!$U$30),tanque3,0)</f>
        <v>0</v>
      </c>
      <c r="I75" s="22">
        <f>IF(AND(A75&gt;CARGAS!$X$29,A75&lt;=CARGAS!$X$30),tanque4,0)</f>
        <v>0</v>
      </c>
      <c r="J75" s="22">
        <f>IF(AND(A75&gt;CARGAS!$AA$29,A75&lt;=CARGAS!$AA$30),tanque5,0)</f>
        <v>0</v>
      </c>
      <c r="K75" s="22">
        <f>IF(AND($A75&gt;CARGAS!$AD$29,$A75&lt;=CARGAS!$AD$30),tanque6,0)</f>
        <v>0</v>
      </c>
      <c r="L75" s="22">
        <f>IF(AND($A75&gt;CARGAS!$AG$29,$A75&lt;=CARGAS!$AG$30),tanque7,0)</f>
        <v>0</v>
      </c>
      <c r="M75" s="22">
        <f>IF(AND($A75&gt;CARGAS!$AJ$29,$A75&lt;=CARGAS!$AJ$30),tanque8,0)</f>
        <v>0</v>
      </c>
      <c r="N75" s="22">
        <f t="shared" si="10"/>
        <v>335.88676971428561</v>
      </c>
      <c r="O75" s="22">
        <f t="shared" si="8"/>
        <v>21.172650042762658</v>
      </c>
      <c r="P75" s="22">
        <f>O75*Equilibrio!Y$39*Equilibrio!Y$38*DADOS!C$4</f>
        <v>651.0589888149517</v>
      </c>
      <c r="Q75" s="22">
        <f t="shared" si="11"/>
        <v>-315.1722191006661</v>
      </c>
      <c r="R75" s="22">
        <f t="shared" si="12"/>
        <v>-12901.836740834311</v>
      </c>
      <c r="S75" s="22">
        <f t="shared" si="13"/>
        <v>-143317.89749507257</v>
      </c>
      <c r="T75" s="22">
        <f t="shared" si="9"/>
        <v>24855.620958857136</v>
      </c>
    </row>
    <row r="76" spans="1:20" x14ac:dyDescent="0.25">
      <c r="A76" s="21">
        <v>75</v>
      </c>
      <c r="B76" s="22">
        <f>CARGAS!$C$40*Equilibrio!A76^2+CARGAS!$D$40*Equilibrio!A76+CARGAS!$E$40</f>
        <v>102.40163265306117</v>
      </c>
      <c r="C76" s="22">
        <f>CARGAS!$C$53*Equilibrio!A76^2+CARGAS!$D$53*Equilibrio!A76+CARGAS!$E$53</f>
        <v>17.066938775510199</v>
      </c>
      <c r="D76">
        <f>IF(posisup=1,IF(A76&lt;=CARGAS!$E$68,sup,0),IF(posisup=2,IF(AND(A76&lt;=CARGAS!$E$69,A76&gt;=CARGAS!$D$69),sup,0),IF(posisup=3,IF(AND(A76&lt;=CARGAS!$E$70,A76&gt;=CARGAS!$D$70),sup,0),0)))</f>
        <v>0</v>
      </c>
      <c r="E76">
        <f>IF(A76&lt;=CARGAS!$H$25,CARGAS!$I$20,0)</f>
        <v>0</v>
      </c>
      <c r="F76" s="22">
        <f>IF(AND(A76&gt;CARGAS!$O$29,A76&lt;=CARGAS!$O$30),tanque1,0)</f>
        <v>0</v>
      </c>
      <c r="G76" s="22">
        <f>IF(AND(A76&gt;CARGAS!$R$29,A76&lt;=CARGAS!$R$30),tanque2,0)</f>
        <v>217.05599999999998</v>
      </c>
      <c r="H76" s="22">
        <f>IF(AND(A76&gt;CARGAS!$U$29,A76&lt;=CARGAS!$U$30),tanque3,0)</f>
        <v>0</v>
      </c>
      <c r="I76" s="22">
        <f>IF(AND(A76&gt;CARGAS!$X$29,A76&lt;=CARGAS!$X$30),tanque4,0)</f>
        <v>0</v>
      </c>
      <c r="J76" s="22">
        <f>IF(AND(A76&gt;CARGAS!$AA$29,A76&lt;=CARGAS!$AA$30),tanque5,0)</f>
        <v>0</v>
      </c>
      <c r="K76" s="22">
        <f>IF(AND($A76&gt;CARGAS!$AD$29,$A76&lt;=CARGAS!$AD$30),tanque6,0)</f>
        <v>0</v>
      </c>
      <c r="L76" s="22">
        <f>IF(AND($A76&gt;CARGAS!$AG$29,$A76&lt;=CARGAS!$AG$30),tanque7,0)</f>
        <v>0</v>
      </c>
      <c r="M76" s="22">
        <f>IF(AND($A76&gt;CARGAS!$AJ$29,$A76&lt;=CARGAS!$AJ$30),tanque8,0)</f>
        <v>0</v>
      </c>
      <c r="N76" s="22">
        <f t="shared" si="10"/>
        <v>336.52457142857133</v>
      </c>
      <c r="O76" s="22">
        <f t="shared" si="8"/>
        <v>21.027289153139485</v>
      </c>
      <c r="P76" s="22">
        <f>O76*Equilibrio!Y$39*Equilibrio!Y$38*DADOS!C$4</f>
        <v>646.58914145903918</v>
      </c>
      <c r="Q76" s="22">
        <f t="shared" si="11"/>
        <v>-310.06457003046785</v>
      </c>
      <c r="R76" s="22">
        <f t="shared" si="12"/>
        <v>-13211.90131086478</v>
      </c>
      <c r="S76" s="22">
        <f t="shared" si="13"/>
        <v>-156529.79880593735</v>
      </c>
      <c r="T76" s="22">
        <f t="shared" si="9"/>
        <v>25239.342857142849</v>
      </c>
    </row>
    <row r="77" spans="1:20" x14ac:dyDescent="0.25">
      <c r="A77" s="21">
        <v>76</v>
      </c>
      <c r="B77" s="22">
        <f>CARGAS!$C$40*Equilibrio!A77^2+CARGAS!$D$40*Equilibrio!A77+CARGAS!$E$40</f>
        <v>102.94288016326524</v>
      </c>
      <c r="C77" s="22">
        <f>CARGAS!$C$53*Equilibrio!A77^2+CARGAS!$D$53*Equilibrio!A77+CARGAS!$E$53</f>
        <v>17.157146693877543</v>
      </c>
      <c r="D77">
        <f>IF(posisup=1,IF(A77&lt;=CARGAS!$E$68,sup,0),IF(posisup=2,IF(AND(A77&lt;=CARGAS!$E$69,A77&gt;=CARGAS!$D$69),sup,0),IF(posisup=3,IF(AND(A77&lt;=CARGAS!$E$70,A77&gt;=CARGAS!$D$70),sup,0),0)))</f>
        <v>0</v>
      </c>
      <c r="E77">
        <f>IF(A77&lt;=CARGAS!$H$25,CARGAS!$I$20,0)</f>
        <v>0</v>
      </c>
      <c r="F77" s="22">
        <f>IF(AND(A77&gt;CARGAS!$O$29,A77&lt;=CARGAS!$O$30),tanque1,0)</f>
        <v>0</v>
      </c>
      <c r="G77" s="22">
        <f>IF(AND(A77&gt;CARGAS!$R$29,A77&lt;=CARGAS!$R$30),tanque2,0)</f>
        <v>217.05599999999998</v>
      </c>
      <c r="H77" s="22">
        <f>IF(AND(A77&gt;CARGAS!$U$29,A77&lt;=CARGAS!$U$30),tanque3,0)</f>
        <v>0</v>
      </c>
      <c r="I77" s="22">
        <f>IF(AND(A77&gt;CARGAS!$X$29,A77&lt;=CARGAS!$X$30),tanque4,0)</f>
        <v>0</v>
      </c>
      <c r="J77" s="22">
        <f>IF(AND(A77&gt;CARGAS!$AA$29,A77&lt;=CARGAS!$AA$30),tanque5,0)</f>
        <v>0</v>
      </c>
      <c r="K77" s="22">
        <f>IF(AND($A77&gt;CARGAS!$AD$29,$A77&lt;=CARGAS!$AD$30),tanque6,0)</f>
        <v>0</v>
      </c>
      <c r="L77" s="22">
        <f>IF(AND($A77&gt;CARGAS!$AG$29,$A77&lt;=CARGAS!$AG$30),tanque7,0)</f>
        <v>0</v>
      </c>
      <c r="M77" s="22">
        <f>IF(AND($A77&gt;CARGAS!$AJ$29,$A77&lt;=CARGAS!$AJ$30),tanque8,0)</f>
        <v>0</v>
      </c>
      <c r="N77" s="22">
        <f t="shared" si="10"/>
        <v>337.15602685714276</v>
      </c>
      <c r="O77" s="22">
        <f t="shared" si="8"/>
        <v>20.881300796485277</v>
      </c>
      <c r="P77" s="22">
        <f>O77*Equilibrio!Y$39*Equilibrio!Y$38*DADOS!C$4</f>
        <v>642.09999949192229</v>
      </c>
      <c r="Q77" s="22">
        <f t="shared" si="11"/>
        <v>-304.94397263477953</v>
      </c>
      <c r="R77" s="22">
        <f t="shared" si="12"/>
        <v>-13516.845283499559</v>
      </c>
      <c r="S77" s="22">
        <f t="shared" si="13"/>
        <v>-170046.64408943692</v>
      </c>
      <c r="T77" s="22">
        <f t="shared" si="9"/>
        <v>25623.858041142848</v>
      </c>
    </row>
    <row r="78" spans="1:20" x14ac:dyDescent="0.25">
      <c r="A78" s="21">
        <v>77</v>
      </c>
      <c r="B78" s="22">
        <f>CARGAS!$C$40*Equilibrio!A78^2+CARGAS!$D$40*Equilibrio!A78+CARGAS!$E$40</f>
        <v>103.47868799999995</v>
      </c>
      <c r="C78" s="22">
        <f>CARGAS!$C$53*Equilibrio!A78^2+CARGAS!$D$53*Equilibrio!A78+CARGAS!$E$53</f>
        <v>17.246447999999994</v>
      </c>
      <c r="D78">
        <f>IF(posisup=1,IF(A78&lt;=CARGAS!$E$68,sup,0),IF(posisup=2,IF(AND(A78&lt;=CARGAS!$E$69,A78&gt;=CARGAS!$D$69),sup,0),IF(posisup=3,IF(AND(A78&lt;=CARGAS!$E$70,A78&gt;=CARGAS!$D$70),sup,0),0)))</f>
        <v>0</v>
      </c>
      <c r="E78">
        <f>IF(A78&lt;=CARGAS!$H$25,CARGAS!$I$20,0)</f>
        <v>0</v>
      </c>
      <c r="F78" s="22">
        <f>IF(AND(A78&gt;CARGAS!$O$29,A78&lt;=CARGAS!$O$30),tanque1,0)</f>
        <v>0</v>
      </c>
      <c r="G78" s="22">
        <f>IF(AND(A78&gt;CARGAS!$R$29,A78&lt;=CARGAS!$R$30),tanque2,0)</f>
        <v>217.05599999999998</v>
      </c>
      <c r="H78" s="22">
        <f>IF(AND(A78&gt;CARGAS!$U$29,A78&lt;=CARGAS!$U$30),tanque3,0)</f>
        <v>0</v>
      </c>
      <c r="I78" s="22">
        <f>IF(AND(A78&gt;CARGAS!$X$29,A78&lt;=CARGAS!$X$30),tanque4,0)</f>
        <v>0</v>
      </c>
      <c r="J78" s="22">
        <f>IF(AND(A78&gt;CARGAS!$AA$29,A78&lt;=CARGAS!$AA$30),tanque5,0)</f>
        <v>0</v>
      </c>
      <c r="K78" s="22">
        <f>IF(AND($A78&gt;CARGAS!$AD$29,$A78&lt;=CARGAS!$AD$30),tanque6,0)</f>
        <v>0</v>
      </c>
      <c r="L78" s="22">
        <f>IF(AND($A78&gt;CARGAS!$AG$29,$A78&lt;=CARGAS!$AG$30),tanque7,0)</f>
        <v>0</v>
      </c>
      <c r="M78" s="22">
        <f>IF(AND($A78&gt;CARGAS!$AJ$29,$A78&lt;=CARGAS!$AJ$30),tanque8,0)</f>
        <v>0</v>
      </c>
      <c r="N78" s="22">
        <f t="shared" si="10"/>
        <v>337.78113599999995</v>
      </c>
      <c r="O78" s="22">
        <f t="shared" si="8"/>
        <v>20.734734423209883</v>
      </c>
      <c r="P78" s="22">
        <f>O78*Equilibrio!Y$39*Equilibrio!Y$38*DADOS!C$4</f>
        <v>637.59308351370373</v>
      </c>
      <c r="Q78" s="22">
        <f t="shared" si="11"/>
        <v>-299.81194751370379</v>
      </c>
      <c r="R78" s="22">
        <f t="shared" si="12"/>
        <v>-13816.657231013263</v>
      </c>
      <c r="S78" s="22">
        <f t="shared" si="13"/>
        <v>-183863.30132045018</v>
      </c>
      <c r="T78" s="22">
        <f t="shared" si="9"/>
        <v>26009.147471999997</v>
      </c>
    </row>
    <row r="79" spans="1:20" x14ac:dyDescent="0.25">
      <c r="A79" s="21">
        <v>78</v>
      </c>
      <c r="B79" s="22">
        <f>CARGAS!$C$40*Equilibrio!A79^2+CARGAS!$D$40*Equilibrio!A79+CARGAS!$E$40</f>
        <v>104.00905616326524</v>
      </c>
      <c r="C79" s="22">
        <f>CARGAS!$C$53*Equilibrio!A79^2+CARGAS!$D$53*Equilibrio!A79+CARGAS!$E$53</f>
        <v>17.334842693877548</v>
      </c>
      <c r="D79">
        <f>IF(posisup=1,IF(A79&lt;=CARGAS!$E$68,sup,0),IF(posisup=2,IF(AND(A79&lt;=CARGAS!$E$69,A79&gt;=CARGAS!$D$69),sup,0),IF(posisup=3,IF(AND(A79&lt;=CARGAS!$E$70,A79&gt;=CARGAS!$D$70),sup,0),0)))</f>
        <v>0</v>
      </c>
      <c r="E79">
        <f>IF(A79&lt;=CARGAS!$H$25,CARGAS!$I$20,0)</f>
        <v>0</v>
      </c>
      <c r="F79" s="22">
        <f>IF(AND(A79&gt;CARGAS!$O$29,A79&lt;=CARGAS!$O$30),tanque1,0)</f>
        <v>0</v>
      </c>
      <c r="G79" s="22">
        <f>IF(AND(A79&gt;CARGAS!$R$29,A79&lt;=CARGAS!$R$30),tanque2,0)</f>
        <v>217.05599999999998</v>
      </c>
      <c r="H79" s="22">
        <f>IF(AND(A79&gt;CARGAS!$U$29,A79&lt;=CARGAS!$U$30),tanque3,0)</f>
        <v>0</v>
      </c>
      <c r="I79" s="22">
        <f>IF(AND(A79&gt;CARGAS!$X$29,A79&lt;=CARGAS!$X$30),tanque4,0)</f>
        <v>0</v>
      </c>
      <c r="J79" s="22">
        <f>IF(AND(A79&gt;CARGAS!$AA$29,A79&lt;=CARGAS!$AA$30),tanque5,0)</f>
        <v>0</v>
      </c>
      <c r="K79" s="22">
        <f>IF(AND($A79&gt;CARGAS!$AD$29,$A79&lt;=CARGAS!$AD$30),tanque6,0)</f>
        <v>0</v>
      </c>
      <c r="L79" s="22">
        <f>IF(AND($A79&gt;CARGAS!$AG$29,$A79&lt;=CARGAS!$AG$30),tanque7,0)</f>
        <v>0</v>
      </c>
      <c r="M79" s="22">
        <f>IF(AND($A79&gt;CARGAS!$AJ$29,$A79&lt;=CARGAS!$AJ$30),tanque8,0)</f>
        <v>0</v>
      </c>
      <c r="N79" s="22">
        <f t="shared" si="10"/>
        <v>338.39989885714277</v>
      </c>
      <c r="O79" s="22">
        <f t="shared" si="8"/>
        <v>20.587639669997174</v>
      </c>
      <c r="P79" s="22">
        <f>O79*Equilibrio!Y$39*Equilibrio!Y$38*DADOS!C$4</f>
        <v>633.06991985241302</v>
      </c>
      <c r="Q79" s="22">
        <f t="shared" si="11"/>
        <v>-294.67002099527025</v>
      </c>
      <c r="R79" s="22">
        <f t="shared" si="12"/>
        <v>-14111.327252008534</v>
      </c>
      <c r="S79" s="22">
        <f t="shared" si="13"/>
        <v>-197974.62857245872</v>
      </c>
      <c r="T79" s="22">
        <f t="shared" si="9"/>
        <v>26395.192110857137</v>
      </c>
    </row>
    <row r="80" spans="1:20" x14ac:dyDescent="0.25">
      <c r="A80" s="21">
        <v>79</v>
      </c>
      <c r="B80" s="22">
        <f>CARGAS!$C$40*Equilibrio!A80^2+CARGAS!$D$40*Equilibrio!A80+CARGAS!$E$40</f>
        <v>104.53398465306117</v>
      </c>
      <c r="C80" s="22">
        <f>CARGAS!$C$53*Equilibrio!A80^2+CARGAS!$D$53*Equilibrio!A80+CARGAS!$E$53</f>
        <v>17.422330775510197</v>
      </c>
      <c r="D80">
        <f>IF(posisup=1,IF(A80&lt;=CARGAS!$E$68,sup,0),IF(posisup=2,IF(AND(A80&lt;=CARGAS!$E$69,A80&gt;=CARGAS!$D$69),sup,0),IF(posisup=3,IF(AND(A80&lt;=CARGAS!$E$70,A80&gt;=CARGAS!$D$70),sup,0),0)))</f>
        <v>0</v>
      </c>
      <c r="E80">
        <f>IF(A80&lt;=CARGAS!$H$25,CARGAS!$I$20,0)</f>
        <v>0</v>
      </c>
      <c r="F80" s="22">
        <f>IF(AND(A80&gt;CARGAS!$O$29,A80&lt;=CARGAS!$O$30),tanque1,0)</f>
        <v>0</v>
      </c>
      <c r="G80" s="22">
        <f>IF(AND(A80&gt;CARGAS!$R$29,A80&lt;=CARGAS!$R$30),tanque2,0)</f>
        <v>217.05599999999998</v>
      </c>
      <c r="H80" s="22">
        <f>IF(AND(A80&gt;CARGAS!$U$29,A80&lt;=CARGAS!$U$30),tanque3,0)</f>
        <v>0</v>
      </c>
      <c r="I80" s="22">
        <f>IF(AND(A80&gt;CARGAS!$X$29,A80&lt;=CARGAS!$X$30),tanque4,0)</f>
        <v>0</v>
      </c>
      <c r="J80" s="22">
        <f>IF(AND(A80&gt;CARGAS!$AA$29,A80&lt;=CARGAS!$AA$30),tanque5,0)</f>
        <v>0</v>
      </c>
      <c r="K80" s="22">
        <f>IF(AND($A80&gt;CARGAS!$AD$29,$A80&lt;=CARGAS!$AD$30),tanque6,0)</f>
        <v>0</v>
      </c>
      <c r="L80" s="22">
        <f>IF(AND($A80&gt;CARGAS!$AG$29,$A80&lt;=CARGAS!$AG$30),tanque7,0)</f>
        <v>0</v>
      </c>
      <c r="M80" s="22">
        <f>IF(AND($A80&gt;CARGAS!$AJ$29,$A80&lt;=CARGAS!$AJ$30),tanque8,0)</f>
        <v>0</v>
      </c>
      <c r="N80" s="22">
        <f t="shared" si="10"/>
        <v>339.01231542857136</v>
      </c>
      <c r="O80" s="22">
        <f t="shared" si="8"/>
        <v>20.44006634380893</v>
      </c>
      <c r="P80" s="22">
        <f>O80*Equilibrio!Y$39*Equilibrio!Y$38*DADOS!C$4</f>
        <v>628.53204007212457</v>
      </c>
      <c r="Q80" s="22">
        <f t="shared" si="11"/>
        <v>-289.51972464355322</v>
      </c>
      <c r="R80" s="22">
        <f t="shared" si="12"/>
        <v>-14400.846976652087</v>
      </c>
      <c r="S80" s="22">
        <f t="shared" si="13"/>
        <v>-212375.47554911079</v>
      </c>
      <c r="T80" s="22">
        <f t="shared" si="9"/>
        <v>26781.972918857136</v>
      </c>
    </row>
    <row r="81" spans="1:20" x14ac:dyDescent="0.25">
      <c r="A81" s="21">
        <v>80</v>
      </c>
      <c r="B81" s="22">
        <f>CARGAS!$C$40*Equilibrio!A81^2+CARGAS!$D$40*Equilibrio!A81+CARGAS!$E$40</f>
        <v>105.05347346938768</v>
      </c>
      <c r="C81" s="22">
        <f>CARGAS!$C$53*Equilibrio!A81^2+CARGAS!$D$53*Equilibrio!A81+CARGAS!$E$53</f>
        <v>17.508912244897953</v>
      </c>
      <c r="D81">
        <f>IF(posisup=1,IF(A81&lt;=CARGAS!$E$68,sup,0),IF(posisup=2,IF(AND(A81&lt;=CARGAS!$E$69,A81&gt;=CARGAS!$D$69),sup,0),IF(posisup=3,IF(AND(A81&lt;=CARGAS!$E$70,A81&gt;=CARGAS!$D$70),sup,0),0)))</f>
        <v>0</v>
      </c>
      <c r="E81">
        <f>IF(A81&lt;=CARGAS!$H$25,CARGAS!$I$20,0)</f>
        <v>0</v>
      </c>
      <c r="F81" s="22">
        <f>IF(AND(A81&gt;CARGAS!$O$29,A81&lt;=CARGAS!$O$30),tanque1,0)</f>
        <v>0</v>
      </c>
      <c r="G81" s="22">
        <f>IF(AND(A81&gt;CARGAS!$R$29,A81&lt;=CARGAS!$R$30),tanque2,0)</f>
        <v>217.05599999999998</v>
      </c>
      <c r="H81" s="22">
        <f>IF(AND(A81&gt;CARGAS!$U$29,A81&lt;=CARGAS!$U$30),tanque3,0)</f>
        <v>0</v>
      </c>
      <c r="I81" s="22">
        <f>IF(AND(A81&gt;CARGAS!$X$29,A81&lt;=CARGAS!$X$30),tanque4,0)</f>
        <v>0</v>
      </c>
      <c r="J81" s="22">
        <f>IF(AND(A81&gt;CARGAS!$AA$29,A81&lt;=CARGAS!$AA$30),tanque5,0)</f>
        <v>0</v>
      </c>
      <c r="K81" s="22">
        <f>IF(AND($A81&gt;CARGAS!$AD$29,$A81&lt;=CARGAS!$AD$30),tanque6,0)</f>
        <v>0</v>
      </c>
      <c r="L81" s="22">
        <f>IF(AND($A81&gt;CARGAS!$AG$29,$A81&lt;=CARGAS!$AG$30),tanque7,0)</f>
        <v>0</v>
      </c>
      <c r="M81" s="22">
        <f>IF(AND($A81&gt;CARGAS!$AJ$29,$A81&lt;=CARGAS!$AJ$30),tanque8,0)</f>
        <v>0</v>
      </c>
      <c r="N81" s="22">
        <f t="shared" si="10"/>
        <v>339.61838571428564</v>
      </c>
      <c r="O81" s="22">
        <f t="shared" si="8"/>
        <v>20.292064405833859</v>
      </c>
      <c r="P81" s="22">
        <f>O81*Equilibrio!Y$39*Equilibrio!Y$38*DADOS!C$4</f>
        <v>623.98098047939106</v>
      </c>
      <c r="Q81" s="22">
        <f t="shared" si="11"/>
        <v>-284.36259476510543</v>
      </c>
      <c r="R81" s="22">
        <f t="shared" si="12"/>
        <v>-14685.209571417192</v>
      </c>
      <c r="S81" s="22">
        <f t="shared" si="13"/>
        <v>-227060.68512052798</v>
      </c>
      <c r="T81" s="22">
        <f t="shared" si="9"/>
        <v>27169.470857142849</v>
      </c>
    </row>
    <row r="82" spans="1:20" x14ac:dyDescent="0.25">
      <c r="A82" s="21">
        <v>81</v>
      </c>
      <c r="B82" s="22">
        <f>CARGAS!$C$40*Equilibrio!A82^2+CARGAS!$D$40*Equilibrio!A82+CARGAS!$E$40</f>
        <v>105.56752261224484</v>
      </c>
      <c r="C82" s="22">
        <f>CARGAS!$C$53*Equilibrio!A82^2+CARGAS!$D$53*Equilibrio!A82+CARGAS!$E$53</f>
        <v>17.594587102040812</v>
      </c>
      <c r="D82">
        <f>IF(posisup=1,IF(A82&lt;=CARGAS!$E$68,sup,0),IF(posisup=2,IF(AND(A82&lt;=CARGAS!$E$69,A82&gt;=CARGAS!$D$69),sup,0),IF(posisup=3,IF(AND(A82&lt;=CARGAS!$E$70,A82&gt;=CARGAS!$D$70),sup,0),0)))</f>
        <v>0</v>
      </c>
      <c r="E82">
        <f>IF(A82&lt;=CARGAS!$H$25,CARGAS!$I$20,0)</f>
        <v>0</v>
      </c>
      <c r="F82" s="22">
        <f>IF(AND(A82&gt;CARGAS!$O$29,A82&lt;=CARGAS!$O$30),tanque1,0)</f>
        <v>0</v>
      </c>
      <c r="G82" s="22">
        <f>IF(AND(A82&gt;CARGAS!$R$29,A82&lt;=CARGAS!$R$30),tanque2,0)</f>
        <v>217.05599999999998</v>
      </c>
      <c r="H82" s="22">
        <f>IF(AND(A82&gt;CARGAS!$U$29,A82&lt;=CARGAS!$U$30),tanque3,0)</f>
        <v>0</v>
      </c>
      <c r="I82" s="22">
        <f>IF(AND(A82&gt;CARGAS!$X$29,A82&lt;=CARGAS!$X$30),tanque4,0)</f>
        <v>0</v>
      </c>
      <c r="J82" s="22">
        <f>IF(AND(A82&gt;CARGAS!$AA$29,A82&lt;=CARGAS!$AA$30),tanque5,0)</f>
        <v>0</v>
      </c>
      <c r="K82" s="22">
        <f>IF(AND($A82&gt;CARGAS!$AD$29,$A82&lt;=CARGAS!$AD$30),tanque6,0)</f>
        <v>0</v>
      </c>
      <c r="L82" s="22">
        <f>IF(AND($A82&gt;CARGAS!$AG$29,$A82&lt;=CARGAS!$AG$30),tanque7,0)</f>
        <v>0</v>
      </c>
      <c r="M82" s="22">
        <f>IF(AND($A82&gt;CARGAS!$AJ$29,$A82&lt;=CARGAS!$AJ$30),tanque8,0)</f>
        <v>0</v>
      </c>
      <c r="N82" s="22">
        <f t="shared" si="10"/>
        <v>340.21810971428567</v>
      </c>
      <c r="O82" s="22">
        <f t="shared" si="8"/>
        <v>20.143683955386855</v>
      </c>
      <c r="P82" s="22">
        <f>O82*Equilibrio!Y$39*Equilibrio!Y$38*DADOS!C$4</f>
        <v>619.41828162814579</v>
      </c>
      <c r="Q82" s="22">
        <f t="shared" si="11"/>
        <v>-279.20017191386012</v>
      </c>
      <c r="R82" s="22">
        <f t="shared" si="12"/>
        <v>-14964.409743331053</v>
      </c>
      <c r="S82" s="22">
        <f t="shared" si="13"/>
        <v>-242025.09486385903</v>
      </c>
      <c r="T82" s="22">
        <f t="shared" si="9"/>
        <v>27557.66688685714</v>
      </c>
    </row>
    <row r="83" spans="1:20" x14ac:dyDescent="0.25">
      <c r="A83" s="21">
        <v>82</v>
      </c>
      <c r="B83" s="22">
        <f>CARGAS!$C$40*Equilibrio!A83^2+CARGAS!$D$40*Equilibrio!A83+CARGAS!$E$40</f>
        <v>106.07613208163259</v>
      </c>
      <c r="C83" s="22">
        <f>CARGAS!$C$53*Equilibrio!A83^2+CARGAS!$D$53*Equilibrio!A83+CARGAS!$E$53</f>
        <v>17.67935534693877</v>
      </c>
      <c r="D83">
        <f>IF(posisup=1,IF(A83&lt;=CARGAS!$E$68,sup,0),IF(posisup=2,IF(AND(A83&lt;=CARGAS!$E$69,A83&gt;=CARGAS!$D$69),sup,0),IF(posisup=3,IF(AND(A83&lt;=CARGAS!$E$70,A83&gt;=CARGAS!$D$70),sup,0),0)))</f>
        <v>0</v>
      </c>
      <c r="E83">
        <f>IF(A83&lt;=CARGAS!$H$25,CARGAS!$I$20,0)</f>
        <v>0</v>
      </c>
      <c r="F83" s="22">
        <f>IF(AND(A83&gt;CARGAS!$O$29,A83&lt;=CARGAS!$O$30),tanque1,0)</f>
        <v>0</v>
      </c>
      <c r="G83" s="22">
        <f>IF(AND(A83&gt;CARGAS!$R$29,A83&lt;=CARGAS!$R$30),tanque2,0)</f>
        <v>217.05599999999998</v>
      </c>
      <c r="H83" s="22">
        <f>IF(AND(A83&gt;CARGAS!$U$29,A83&lt;=CARGAS!$U$30),tanque3,0)</f>
        <v>0</v>
      </c>
      <c r="I83" s="22">
        <f>IF(AND(A83&gt;CARGAS!$X$29,A83&lt;=CARGAS!$X$30),tanque4,0)</f>
        <v>0</v>
      </c>
      <c r="J83" s="22">
        <f>IF(AND(A83&gt;CARGAS!$AA$29,A83&lt;=CARGAS!$AA$30),tanque5,0)</f>
        <v>0</v>
      </c>
      <c r="K83" s="22">
        <f>IF(AND($A83&gt;CARGAS!$AD$29,$A83&lt;=CARGAS!$AD$30),tanque6,0)</f>
        <v>0</v>
      </c>
      <c r="L83" s="22">
        <f>IF(AND($A83&gt;CARGAS!$AG$29,$A83&lt;=CARGAS!$AG$30),tanque7,0)</f>
        <v>0</v>
      </c>
      <c r="M83" s="22">
        <f>IF(AND($A83&gt;CARGAS!$AJ$29,$A83&lt;=CARGAS!$AJ$30),tanque8,0)</f>
        <v>0</v>
      </c>
      <c r="N83" s="22">
        <f t="shared" si="10"/>
        <v>340.81148742857135</v>
      </c>
      <c r="O83" s="22">
        <f t="shared" si="8"/>
        <v>19.994975213763812</v>
      </c>
      <c r="P83" s="22">
        <f>O83*Equilibrio!Y$39*Equilibrio!Y$38*DADOS!C$4</f>
        <v>614.84548782323714</v>
      </c>
      <c r="Q83" s="22">
        <f t="shared" si="11"/>
        <v>-274.03400039466578</v>
      </c>
      <c r="R83" s="22">
        <f t="shared" si="12"/>
        <v>-15238.443743725718</v>
      </c>
      <c r="S83" s="22">
        <f t="shared" si="13"/>
        <v>-257263.53860758475</v>
      </c>
      <c r="T83" s="22">
        <f t="shared" si="9"/>
        <v>27946.541969142851</v>
      </c>
    </row>
    <row r="84" spans="1:20" x14ac:dyDescent="0.25">
      <c r="A84" s="21">
        <v>83</v>
      </c>
      <c r="B84" s="22">
        <f>CARGAS!$C$40*Equilibrio!A84^2+CARGAS!$D$40*Equilibrio!A84+CARGAS!$E$40</f>
        <v>106.57930187755096</v>
      </c>
      <c r="C84" s="22">
        <f>CARGAS!$C$53*Equilibrio!A84^2+CARGAS!$D$53*Equilibrio!A84+CARGAS!$E$53</f>
        <v>17.763216979591832</v>
      </c>
      <c r="D84">
        <f>IF(posisup=1,IF(A84&lt;=CARGAS!$E$68,sup,0),IF(posisup=2,IF(AND(A84&lt;=CARGAS!$E$69,A84&gt;=CARGAS!$D$69),sup,0),IF(posisup=3,IF(AND(A84&lt;=CARGAS!$E$70,A84&gt;=CARGAS!$D$70),sup,0),0)))</f>
        <v>0</v>
      </c>
      <c r="E84">
        <f>IF(A84&lt;=CARGAS!$H$25,CARGAS!$I$20,0)</f>
        <v>0</v>
      </c>
      <c r="F84" s="22">
        <f>IF(AND(A84&gt;CARGAS!$O$29,A84&lt;=CARGAS!$O$30),tanque1,0)</f>
        <v>0</v>
      </c>
      <c r="G84" s="22">
        <f>IF(AND(A84&gt;CARGAS!$R$29,A84&lt;=CARGAS!$R$30),tanque2,0)</f>
        <v>217.05599999999998</v>
      </c>
      <c r="H84" s="22">
        <f>IF(AND(A84&gt;CARGAS!$U$29,A84&lt;=CARGAS!$U$30),tanque3,0)</f>
        <v>0</v>
      </c>
      <c r="I84" s="22">
        <f>IF(AND(A84&gt;CARGAS!$X$29,A84&lt;=CARGAS!$X$30),tanque4,0)</f>
        <v>0</v>
      </c>
      <c r="J84" s="22">
        <f>IF(AND(A84&gt;CARGAS!$AA$29,A84&lt;=CARGAS!$AA$30),tanque5,0)</f>
        <v>0</v>
      </c>
      <c r="K84" s="22">
        <f>IF(AND($A84&gt;CARGAS!$AD$29,$A84&lt;=CARGAS!$AD$30),tanque6,0)</f>
        <v>0</v>
      </c>
      <c r="L84" s="22">
        <f>IF(AND($A84&gt;CARGAS!$AG$29,$A84&lt;=CARGAS!$AG$30),tanque7,0)</f>
        <v>0</v>
      </c>
      <c r="M84" s="22">
        <f>IF(AND($A84&gt;CARGAS!$AJ$29,$A84&lt;=CARGAS!$AJ$30),tanque8,0)</f>
        <v>0</v>
      </c>
      <c r="N84" s="22">
        <f t="shared" si="10"/>
        <v>341.39851885714279</v>
      </c>
      <c r="O84" s="22">
        <f t="shared" si="8"/>
        <v>19.845988508057108</v>
      </c>
      <c r="P84" s="22">
        <f>O84*Equilibrio!Y$39*Equilibrio!Y$38*DADOS!C$4</f>
        <v>610.26414662275602</v>
      </c>
      <c r="Q84" s="22">
        <f t="shared" si="11"/>
        <v>-268.86562776561323</v>
      </c>
      <c r="R84" s="22">
        <f t="shared" si="12"/>
        <v>-15507.309371491332</v>
      </c>
      <c r="S84" s="22">
        <f t="shared" si="13"/>
        <v>-272770.84797907609</v>
      </c>
      <c r="T84" s="22">
        <f t="shared" si="9"/>
        <v>28336.07706514285</v>
      </c>
    </row>
    <row r="85" spans="1:20" x14ac:dyDescent="0.25">
      <c r="A85" s="21">
        <v>84</v>
      </c>
      <c r="B85" s="22">
        <f>CARGAS!$C$40*Equilibrio!A85^2+CARGAS!$D$40*Equilibrio!A85+CARGAS!$E$40</f>
        <v>107.07703199999993</v>
      </c>
      <c r="C85" s="22">
        <f>CARGAS!$C$53*Equilibrio!A85^2+CARGAS!$D$53*Equilibrio!A85+CARGAS!$E$53</f>
        <v>17.846171999999996</v>
      </c>
      <c r="D85">
        <f>IF(posisup=1,IF(A85&lt;=CARGAS!$E$68,sup,0),IF(posisup=2,IF(AND(A85&lt;=CARGAS!$E$69,A85&gt;=CARGAS!$D$69),sup,0),IF(posisup=3,IF(AND(A85&lt;=CARGAS!$E$70,A85&gt;=CARGAS!$D$70),sup,0),0)))</f>
        <v>0</v>
      </c>
      <c r="E85">
        <f>IF(A85&lt;=CARGAS!$H$25,CARGAS!$I$20,0)</f>
        <v>0</v>
      </c>
      <c r="F85" s="22">
        <f>IF(AND(A85&gt;CARGAS!$O$29,A85&lt;=CARGAS!$O$30),tanque1,0)</f>
        <v>0</v>
      </c>
      <c r="G85" s="22">
        <f>IF(AND(A85&gt;CARGAS!$R$29,A85&lt;=CARGAS!$R$30),tanque2,0)</f>
        <v>217.05599999999998</v>
      </c>
      <c r="H85" s="22">
        <f>IF(AND(A85&gt;CARGAS!$U$29,A85&lt;=CARGAS!$U$30),tanque3,0)</f>
        <v>0</v>
      </c>
      <c r="I85" s="22">
        <f>IF(AND(A85&gt;CARGAS!$X$29,A85&lt;=CARGAS!$X$30),tanque4,0)</f>
        <v>0</v>
      </c>
      <c r="J85" s="22">
        <f>IF(AND(A85&gt;CARGAS!$AA$29,A85&lt;=CARGAS!$AA$30),tanque5,0)</f>
        <v>0</v>
      </c>
      <c r="K85" s="22">
        <f>IF(AND($A85&gt;CARGAS!$AD$29,$A85&lt;=CARGAS!$AD$30),tanque6,0)</f>
        <v>0</v>
      </c>
      <c r="L85" s="22">
        <f>IF(AND($A85&gt;CARGAS!$AG$29,$A85&lt;=CARGAS!$AG$30),tanque7,0)</f>
        <v>0</v>
      </c>
      <c r="M85" s="22">
        <f>IF(AND($A85&gt;CARGAS!$AJ$29,$A85&lt;=CARGAS!$AJ$30),tanque8,0)</f>
        <v>0</v>
      </c>
      <c r="N85" s="22">
        <f t="shared" si="10"/>
        <v>341.97920399999992</v>
      </c>
      <c r="O85" s="22">
        <f t="shared" si="8"/>
        <v>19.696774254936976</v>
      </c>
      <c r="P85" s="22">
        <f>O85*Equilibrio!Y$39*Equilibrio!Y$38*DADOS!C$4</f>
        <v>605.67580833931197</v>
      </c>
      <c r="Q85" s="22">
        <f t="shared" si="11"/>
        <v>-263.69660433931205</v>
      </c>
      <c r="R85" s="22">
        <f t="shared" si="12"/>
        <v>-15771.005975830643</v>
      </c>
      <c r="S85" s="22">
        <f t="shared" si="13"/>
        <v>-288541.85395490675</v>
      </c>
      <c r="T85" s="22">
        <f t="shared" si="9"/>
        <v>28726.253135999992</v>
      </c>
    </row>
    <row r="86" spans="1:20" x14ac:dyDescent="0.25">
      <c r="A86" s="21">
        <v>85</v>
      </c>
      <c r="B86" s="22">
        <f>CARGAS!$C$40*Equilibrio!A86^2+CARGAS!$D$40*Equilibrio!A86+CARGAS!$E$40</f>
        <v>107.56932244897953</v>
      </c>
      <c r="C86" s="22">
        <f>CARGAS!$C$53*Equilibrio!A86^2+CARGAS!$D$53*Equilibrio!A86+CARGAS!$E$53</f>
        <v>17.928220408163259</v>
      </c>
      <c r="D86">
        <f>IF(posisup=1,IF(A86&lt;=CARGAS!$E$68,sup,0),IF(posisup=2,IF(AND(A86&lt;=CARGAS!$E$69,A86&gt;=CARGAS!$D$69),sup,0),IF(posisup=3,IF(AND(A86&lt;=CARGAS!$E$70,A86&gt;=CARGAS!$D$70),sup,0),0)))</f>
        <v>0</v>
      </c>
      <c r="E86">
        <f>IF(A86&lt;=CARGAS!$H$25,CARGAS!$I$20,0)</f>
        <v>0</v>
      </c>
      <c r="F86" s="22">
        <f>IF(AND(A86&gt;CARGAS!$O$29,A86&lt;=CARGAS!$O$30),tanque1,0)</f>
        <v>0</v>
      </c>
      <c r="G86" s="22">
        <f>IF(AND(A86&gt;CARGAS!$R$29,A86&lt;=CARGAS!$R$30),tanque2,0)</f>
        <v>217.05599999999998</v>
      </c>
      <c r="H86" s="22">
        <f>IF(AND(A86&gt;CARGAS!$U$29,A86&lt;=CARGAS!$U$30),tanque3,0)</f>
        <v>0</v>
      </c>
      <c r="I86" s="22">
        <f>IF(AND(A86&gt;CARGAS!$X$29,A86&lt;=CARGAS!$X$30),tanque4,0)</f>
        <v>0</v>
      </c>
      <c r="J86" s="22">
        <f>IF(AND(A86&gt;CARGAS!$AA$29,A86&lt;=CARGAS!$AA$30),tanque5,0)</f>
        <v>0</v>
      </c>
      <c r="K86" s="22">
        <f>IF(AND($A86&gt;CARGAS!$AD$29,$A86&lt;=CARGAS!$AD$30),tanque6,0)</f>
        <v>0</v>
      </c>
      <c r="L86" s="22">
        <f>IF(AND($A86&gt;CARGAS!$AG$29,$A86&lt;=CARGAS!$AG$30),tanque7,0)</f>
        <v>0</v>
      </c>
      <c r="M86" s="22">
        <f>IF(AND($A86&gt;CARGAS!$AJ$29,$A86&lt;=CARGAS!$AJ$30),tanque8,0)</f>
        <v>0</v>
      </c>
      <c r="N86" s="22">
        <f t="shared" si="10"/>
        <v>342.55354285714276</v>
      </c>
      <c r="O86" s="22">
        <f t="shared" si="8"/>
        <v>19.547382944404021</v>
      </c>
      <c r="P86" s="22">
        <f>O86*Equilibrio!Y$39*Equilibrio!Y$38*DADOS!C$4</f>
        <v>601.0820255404235</v>
      </c>
      <c r="Q86" s="22">
        <f t="shared" si="11"/>
        <v>-258.52848268328074</v>
      </c>
      <c r="R86" s="22">
        <f t="shared" si="12"/>
        <v>-16029.534458513925</v>
      </c>
      <c r="S86" s="22">
        <f t="shared" si="13"/>
        <v>-304571.38841342065</v>
      </c>
      <c r="T86" s="22">
        <f t="shared" si="9"/>
        <v>29117.051142857134</v>
      </c>
    </row>
    <row r="87" spans="1:20" x14ac:dyDescent="0.25">
      <c r="A87" s="21">
        <v>86</v>
      </c>
      <c r="B87" s="22">
        <f>CARGAS!$C$40*Equilibrio!A87^2+CARGAS!$D$40*Equilibrio!A87+CARGAS!$E$40</f>
        <v>108.05617322448974</v>
      </c>
      <c r="C87" s="22">
        <f>CARGAS!$C$53*Equilibrio!A87^2+CARGAS!$D$53*Equilibrio!A87+CARGAS!$E$53</f>
        <v>18.009362204081626</v>
      </c>
      <c r="D87">
        <f>IF(posisup=1,IF(A87&lt;=CARGAS!$E$68,sup,0),IF(posisup=2,IF(AND(A87&lt;=CARGAS!$E$69,A87&gt;=CARGAS!$D$69),sup,0),IF(posisup=3,IF(AND(A87&lt;=CARGAS!$E$70,A87&gt;=CARGAS!$D$70),sup,0),0)))</f>
        <v>0</v>
      </c>
      <c r="E87">
        <f>IF(A87&lt;=CARGAS!$H$25,CARGAS!$I$20,0)</f>
        <v>0</v>
      </c>
      <c r="F87" s="22">
        <f>IF(AND(A87&gt;CARGAS!$O$29,A87&lt;=CARGAS!$O$30),tanque1,0)</f>
        <v>0</v>
      </c>
      <c r="G87" s="22">
        <f>IF(AND(A87&gt;CARGAS!$R$29,A87&lt;=CARGAS!$R$30),tanque2,0)</f>
        <v>217.05599999999998</v>
      </c>
      <c r="H87" s="22">
        <f>IF(AND(A87&gt;CARGAS!$U$29,A87&lt;=CARGAS!$U$30),tanque3,0)</f>
        <v>0</v>
      </c>
      <c r="I87" s="22">
        <f>IF(AND(A87&gt;CARGAS!$X$29,A87&lt;=CARGAS!$X$30),tanque4,0)</f>
        <v>0</v>
      </c>
      <c r="J87" s="22">
        <f>IF(AND(A87&gt;CARGAS!$AA$29,A87&lt;=CARGAS!$AA$30),tanque5,0)</f>
        <v>0</v>
      </c>
      <c r="K87" s="22">
        <f>IF(AND($A87&gt;CARGAS!$AD$29,$A87&lt;=CARGAS!$AD$30),tanque6,0)</f>
        <v>0</v>
      </c>
      <c r="L87" s="22">
        <f>IF(AND($A87&gt;CARGAS!$AG$29,$A87&lt;=CARGAS!$AG$30),tanque7,0)</f>
        <v>0</v>
      </c>
      <c r="M87" s="22">
        <f>IF(AND($A87&gt;CARGAS!$AJ$29,$A87&lt;=CARGAS!$AJ$30),tanque8,0)</f>
        <v>0</v>
      </c>
      <c r="N87" s="22">
        <f t="shared" si="10"/>
        <v>343.12153542857135</v>
      </c>
      <c r="O87" s="22">
        <f t="shared" si="8"/>
        <v>19.397865123518095</v>
      </c>
      <c r="P87" s="22">
        <f>O87*Equilibrio!Y$39*Equilibrio!Y$38*DADOS!C$4</f>
        <v>596.48435254818139</v>
      </c>
      <c r="Q87" s="22">
        <f t="shared" si="11"/>
        <v>-253.36281711961004</v>
      </c>
      <c r="R87" s="22">
        <f t="shared" si="12"/>
        <v>-16282.897275633535</v>
      </c>
      <c r="S87" s="22">
        <f t="shared" si="13"/>
        <v>-320854.28568905417</v>
      </c>
      <c r="T87" s="22">
        <f t="shared" si="9"/>
        <v>29508.452046857135</v>
      </c>
    </row>
    <row r="88" spans="1:20" x14ac:dyDescent="0.25">
      <c r="A88" s="21">
        <v>87</v>
      </c>
      <c r="B88" s="22">
        <f>CARGAS!$C$40*Equilibrio!A88^2+CARGAS!$D$40*Equilibrio!A88+CARGAS!$E$40</f>
        <v>108.53758432653055</v>
      </c>
      <c r="C88" s="22">
        <f>CARGAS!$C$53*Equilibrio!A88^2+CARGAS!$D$53*Equilibrio!A88+CARGAS!$E$53</f>
        <v>18.089597387755095</v>
      </c>
      <c r="D88">
        <f>IF(posisup=1,IF(A88&lt;=CARGAS!$E$68,sup,0),IF(posisup=2,IF(AND(A88&lt;=CARGAS!$E$69,A88&gt;=CARGAS!$D$69),sup,0),IF(posisup=3,IF(AND(A88&lt;=CARGAS!$E$70,A88&gt;=CARGAS!$D$70),sup,0),0)))</f>
        <v>0</v>
      </c>
      <c r="E88">
        <f>IF(A88&lt;=CARGAS!$H$25,CARGAS!$I$20,0)</f>
        <v>0</v>
      </c>
      <c r="F88" s="22">
        <f>IF(AND(A88&gt;CARGAS!$O$29,A88&lt;=CARGAS!$O$30),tanque1,0)</f>
        <v>0</v>
      </c>
      <c r="G88" s="22">
        <f>IF(AND(A88&gt;CARGAS!$R$29,A88&lt;=CARGAS!$R$30),tanque2,0)</f>
        <v>217.05599999999998</v>
      </c>
      <c r="H88" s="22">
        <f>IF(AND(A88&gt;CARGAS!$U$29,A88&lt;=CARGAS!$U$30),tanque3,0)</f>
        <v>0</v>
      </c>
      <c r="I88" s="22">
        <f>IF(AND(A88&gt;CARGAS!$X$29,A88&lt;=CARGAS!$X$30),tanque4,0)</f>
        <v>0</v>
      </c>
      <c r="J88" s="22">
        <f>IF(AND(A88&gt;CARGAS!$AA$29,A88&lt;=CARGAS!$AA$30),tanque5,0)</f>
        <v>0</v>
      </c>
      <c r="K88" s="22">
        <f>IF(AND($A88&gt;CARGAS!$AD$29,$A88&lt;=CARGAS!$AD$30),tanque6,0)</f>
        <v>0</v>
      </c>
      <c r="L88" s="22">
        <f>IF(AND($A88&gt;CARGAS!$AG$29,$A88&lt;=CARGAS!$AG$30),tanque7,0)</f>
        <v>0</v>
      </c>
      <c r="M88" s="22">
        <f>IF(AND($A88&gt;CARGAS!$AJ$29,$A88&lt;=CARGAS!$AJ$30),tanque8,0)</f>
        <v>0</v>
      </c>
      <c r="N88" s="22">
        <f t="shared" si="10"/>
        <v>343.68318171428564</v>
      </c>
      <c r="O88" s="22">
        <f t="shared" si="8"/>
        <v>19.2482713801088</v>
      </c>
      <c r="P88" s="22">
        <f>O88*Equilibrio!Y$39*Equilibrio!Y$38*DADOS!C$4</f>
        <v>591.88434493834552</v>
      </c>
      <c r="Q88" s="22">
        <f t="shared" si="11"/>
        <v>-248.20116322405988</v>
      </c>
      <c r="R88" s="22">
        <f t="shared" si="12"/>
        <v>-16531.098438857596</v>
      </c>
      <c r="S88" s="22">
        <f t="shared" si="13"/>
        <v>-337385.38412791176</v>
      </c>
      <c r="T88" s="22">
        <f t="shared" si="9"/>
        <v>29900.436809142851</v>
      </c>
    </row>
    <row r="89" spans="1:20" x14ac:dyDescent="0.25">
      <c r="A89" s="21">
        <v>88</v>
      </c>
      <c r="B89" s="22">
        <f>CARGAS!$C$40*Equilibrio!A89^2+CARGAS!$D$40*Equilibrio!A89+CARGAS!$E$40</f>
        <v>109.01355575510198</v>
      </c>
      <c r="C89" s="22">
        <f>CARGAS!$C$53*Equilibrio!A89^2+CARGAS!$D$53*Equilibrio!A89+CARGAS!$E$53</f>
        <v>18.168925959183667</v>
      </c>
      <c r="D89">
        <f>IF(posisup=1,IF(A89&lt;=CARGAS!$E$68,sup,0),IF(posisup=2,IF(AND(A89&lt;=CARGAS!$E$69,A89&gt;=CARGAS!$D$69),sup,0),IF(posisup=3,IF(AND(A89&lt;=CARGAS!$E$70,A89&gt;=CARGAS!$D$70),sup,0),0)))</f>
        <v>0</v>
      </c>
      <c r="E89">
        <f>IF(A89&lt;=CARGAS!$H$25,CARGAS!$I$20,0)</f>
        <v>0</v>
      </c>
      <c r="F89" s="22">
        <f>IF(AND(A89&gt;CARGAS!$O$29,A89&lt;=CARGAS!$O$30),tanque1,0)</f>
        <v>0</v>
      </c>
      <c r="G89" s="22">
        <f>IF(AND(A89&gt;CARGAS!$R$29,A89&lt;=CARGAS!$R$30),tanque2,0)</f>
        <v>217.05599999999998</v>
      </c>
      <c r="H89" s="22">
        <f>IF(AND(A89&gt;CARGAS!$U$29,A89&lt;=CARGAS!$U$30),tanque3,0)</f>
        <v>0</v>
      </c>
      <c r="I89" s="22">
        <f>IF(AND(A89&gt;CARGAS!$X$29,A89&lt;=CARGAS!$X$30),tanque4,0)</f>
        <v>0</v>
      </c>
      <c r="J89" s="22">
        <f>IF(AND(A89&gt;CARGAS!$AA$29,A89&lt;=CARGAS!$AA$30),tanque5,0)</f>
        <v>0</v>
      </c>
      <c r="K89" s="22">
        <f>IF(AND($A89&gt;CARGAS!$AD$29,$A89&lt;=CARGAS!$AD$30),tanque6,0)</f>
        <v>0</v>
      </c>
      <c r="L89" s="22">
        <f>IF(AND($A89&gt;CARGAS!$AG$29,$A89&lt;=CARGAS!$AG$30),tanque7,0)</f>
        <v>0</v>
      </c>
      <c r="M89" s="22">
        <f>IF(AND($A89&gt;CARGAS!$AJ$29,$A89&lt;=CARGAS!$AJ$30),tanque8,0)</f>
        <v>0</v>
      </c>
      <c r="N89" s="22">
        <f t="shared" si="10"/>
        <v>344.23848171428563</v>
      </c>
      <c r="O89" s="22">
        <f t="shared" si="8"/>
        <v>19.098652326472866</v>
      </c>
      <c r="P89" s="22">
        <f>O89*Equilibrio!Y$39*Equilibrio!Y$38*DADOS!C$4</f>
        <v>587.2835590390406</v>
      </c>
      <c r="Q89" s="22">
        <f t="shared" si="11"/>
        <v>-243.04507732475497</v>
      </c>
      <c r="R89" s="22">
        <f t="shared" si="12"/>
        <v>-16774.14351618235</v>
      </c>
      <c r="S89" s="22">
        <f t="shared" si="13"/>
        <v>-354159.52764409414</v>
      </c>
      <c r="T89" s="22">
        <f t="shared" si="9"/>
        <v>30292.986390857135</v>
      </c>
    </row>
    <row r="90" spans="1:20" x14ac:dyDescent="0.25">
      <c r="A90" s="21">
        <v>89</v>
      </c>
      <c r="B90" s="22">
        <f>CARGAS!$C$40*Equilibrio!A90^2+CARGAS!$D$40*Equilibrio!A90+CARGAS!$E$40</f>
        <v>109.48408751020403</v>
      </c>
      <c r="C90" s="22">
        <f>CARGAS!$C$53*Equilibrio!A90^2+CARGAS!$D$53*Equilibrio!A90+CARGAS!$E$53</f>
        <v>18.247347918367339</v>
      </c>
      <c r="D90">
        <f>IF(posisup=1,IF(A90&lt;=CARGAS!$E$68,sup,0),IF(posisup=2,IF(AND(A90&lt;=CARGAS!$E$69,A90&gt;=CARGAS!$D$69),sup,0),IF(posisup=3,IF(AND(A90&lt;=CARGAS!$E$70,A90&gt;=CARGAS!$D$70),sup,0),0)))</f>
        <v>0</v>
      </c>
      <c r="E90">
        <f>IF(A90&lt;=CARGAS!$H$25,CARGAS!$I$20,0)</f>
        <v>0</v>
      </c>
      <c r="F90" s="22">
        <f>IF(AND(A90&gt;CARGAS!$O$29,A90&lt;=CARGAS!$O$30),tanque1,0)</f>
        <v>0</v>
      </c>
      <c r="G90" s="22">
        <f>IF(AND(A90&gt;CARGAS!$R$29,A90&lt;=CARGAS!$R$30),tanque2,0)</f>
        <v>217.05599999999998</v>
      </c>
      <c r="H90" s="22">
        <f>IF(AND(A90&gt;CARGAS!$U$29,A90&lt;=CARGAS!$U$30),tanque3,0)</f>
        <v>0</v>
      </c>
      <c r="I90" s="22">
        <f>IF(AND(A90&gt;CARGAS!$X$29,A90&lt;=CARGAS!$X$30),tanque4,0)</f>
        <v>0</v>
      </c>
      <c r="J90" s="22">
        <f>IF(AND(A90&gt;CARGAS!$AA$29,A90&lt;=CARGAS!$AA$30),tanque5,0)</f>
        <v>0</v>
      </c>
      <c r="K90" s="22">
        <f>IF(AND($A90&gt;CARGAS!$AD$29,$A90&lt;=CARGAS!$AD$30),tanque6,0)</f>
        <v>0</v>
      </c>
      <c r="L90" s="22">
        <f>IF(AND($A90&gt;CARGAS!$AG$29,$A90&lt;=CARGAS!$AG$30),tanque7,0)</f>
        <v>0</v>
      </c>
      <c r="M90" s="22">
        <f>IF(AND($A90&gt;CARGAS!$AJ$29,$A90&lt;=CARGAS!$AJ$30),tanque8,0)</f>
        <v>0</v>
      </c>
      <c r="N90" s="22">
        <f t="shared" si="10"/>
        <v>344.78743542857137</v>
      </c>
      <c r="O90" s="22">
        <f t="shared" si="8"/>
        <v>18.949058583063575</v>
      </c>
      <c r="P90" s="22">
        <f>O90*Equilibrio!Y$39*Equilibrio!Y$38*DADOS!C$4</f>
        <v>582.68355142920484</v>
      </c>
      <c r="Q90" s="22">
        <f t="shared" si="11"/>
        <v>-237.89611600063347</v>
      </c>
      <c r="R90" s="22">
        <f t="shared" si="12"/>
        <v>-17012.039632182983</v>
      </c>
      <c r="S90" s="22">
        <f t="shared" si="13"/>
        <v>-371171.56727627711</v>
      </c>
      <c r="T90" s="22">
        <f t="shared" si="9"/>
        <v>30686.081753142851</v>
      </c>
    </row>
    <row r="91" spans="1:20" x14ac:dyDescent="0.25">
      <c r="A91" s="21">
        <v>90</v>
      </c>
      <c r="B91" s="22">
        <f>CARGAS!$C$40*Equilibrio!A91^2+CARGAS!$D$40*Equilibrio!A91+CARGAS!$E$40</f>
        <v>109.94917959183668</v>
      </c>
      <c r="C91" s="22">
        <f>CARGAS!$C$53*Equilibrio!A91^2+CARGAS!$D$53*Equilibrio!A91+CARGAS!$E$53</f>
        <v>18.324863265306117</v>
      </c>
      <c r="D91">
        <f>IF(posisup=1,IF(A91&lt;=CARGAS!$E$68,sup,0),IF(posisup=2,IF(AND(A91&lt;=CARGAS!$E$69,A91&gt;=CARGAS!$D$69),sup,0),IF(posisup=3,IF(AND(A91&lt;=CARGAS!$E$70,A91&gt;=CARGAS!$D$70),sup,0),0)))</f>
        <v>0</v>
      </c>
      <c r="E91">
        <f>IF(A91&lt;=CARGAS!$H$25,CARGAS!$I$20,0)</f>
        <v>0</v>
      </c>
      <c r="F91" s="22">
        <f>IF(AND(A91&gt;CARGAS!$O$29,A91&lt;=CARGAS!$O$30),tanque1,0)</f>
        <v>0</v>
      </c>
      <c r="G91" s="22">
        <f>IF(AND(A91&gt;CARGAS!$R$29,A91&lt;=CARGAS!$R$30),tanque2,0)</f>
        <v>217.05599999999998</v>
      </c>
      <c r="H91" s="22">
        <f>IF(AND(A91&gt;CARGAS!$U$29,A91&lt;=CARGAS!$U$30),tanque3,0)</f>
        <v>0</v>
      </c>
      <c r="I91" s="22">
        <f>IF(AND(A91&gt;CARGAS!$X$29,A91&lt;=CARGAS!$X$30),tanque4,0)</f>
        <v>0</v>
      </c>
      <c r="J91" s="22">
        <f>IF(AND(A91&gt;CARGAS!$AA$29,A91&lt;=CARGAS!$AA$30),tanque5,0)</f>
        <v>0</v>
      </c>
      <c r="K91" s="22">
        <f>IF(AND($A91&gt;CARGAS!$AD$29,$A91&lt;=CARGAS!$AD$30),tanque6,0)</f>
        <v>0</v>
      </c>
      <c r="L91" s="22">
        <f>IF(AND($A91&gt;CARGAS!$AG$29,$A91&lt;=CARGAS!$AG$30),tanque7,0)</f>
        <v>0</v>
      </c>
      <c r="M91" s="22">
        <f>IF(AND($A91&gt;CARGAS!$AJ$29,$A91&lt;=CARGAS!$AJ$30),tanque8,0)</f>
        <v>0</v>
      </c>
      <c r="N91" s="22">
        <f t="shared" si="10"/>
        <v>345.33004285714276</v>
      </c>
      <c r="O91" s="22">
        <f t="shared" si="8"/>
        <v>18.799540762177649</v>
      </c>
      <c r="P91" s="22">
        <f>O91*Equilibrio!Y$39*Equilibrio!Y$38*DADOS!C$4</f>
        <v>578.08587843696262</v>
      </c>
      <c r="Q91" s="22">
        <f t="shared" si="11"/>
        <v>-232.75583557981986</v>
      </c>
      <c r="R91" s="22">
        <f t="shared" si="12"/>
        <v>-17244.795467762804</v>
      </c>
      <c r="S91" s="22">
        <f t="shared" si="13"/>
        <v>-388416.36274403991</v>
      </c>
      <c r="T91" s="22">
        <f t="shared" si="9"/>
        <v>31079.703857142849</v>
      </c>
    </row>
    <row r="92" spans="1:20" x14ac:dyDescent="0.25">
      <c r="A92" s="21">
        <v>91</v>
      </c>
      <c r="B92" s="22">
        <f>CARGAS!$C$40*Equilibrio!A92^2+CARGAS!$D$40*Equilibrio!A92+CARGAS!$E$40</f>
        <v>110.40883199999993</v>
      </c>
      <c r="C92" s="22">
        <f>CARGAS!$C$53*Equilibrio!A92^2+CARGAS!$D$53*Equilibrio!A92+CARGAS!$E$53</f>
        <v>18.401471999999995</v>
      </c>
      <c r="D92">
        <f>IF(posisup=1,IF(A92&lt;=CARGAS!$E$68,sup,0),IF(posisup=2,IF(AND(A92&lt;=CARGAS!$E$69,A92&gt;=CARGAS!$D$69),sup,0),IF(posisup=3,IF(AND(A92&lt;=CARGAS!$E$70,A92&gt;=CARGAS!$D$70),sup,0),0)))</f>
        <v>0</v>
      </c>
      <c r="E92">
        <f>IF(A92&lt;=CARGAS!$H$25,CARGAS!$I$20,0)</f>
        <v>0</v>
      </c>
      <c r="F92" s="22">
        <f>IF(AND(A92&gt;CARGAS!$O$29,A92&lt;=CARGAS!$O$30),tanque1,0)</f>
        <v>0</v>
      </c>
      <c r="G92" s="22">
        <f>IF(AND(A92&gt;CARGAS!$R$29,A92&lt;=CARGAS!$R$30),tanque2,0)</f>
        <v>217.05599999999998</v>
      </c>
      <c r="H92" s="22">
        <f>IF(AND(A92&gt;CARGAS!$U$29,A92&lt;=CARGAS!$U$30),tanque3,0)</f>
        <v>0</v>
      </c>
      <c r="I92" s="22">
        <f>IF(AND(A92&gt;CARGAS!$X$29,A92&lt;=CARGAS!$X$30),tanque4,0)</f>
        <v>0</v>
      </c>
      <c r="J92" s="22">
        <f>IF(AND(A92&gt;CARGAS!$AA$29,A92&lt;=CARGAS!$AA$30),tanque5,0)</f>
        <v>0</v>
      </c>
      <c r="K92" s="22">
        <f>IF(AND($A92&gt;CARGAS!$AD$29,$A92&lt;=CARGAS!$AD$30),tanque6,0)</f>
        <v>0</v>
      </c>
      <c r="L92" s="22">
        <f>IF(AND($A92&gt;CARGAS!$AG$29,$A92&lt;=CARGAS!$AG$30),tanque7,0)</f>
        <v>0</v>
      </c>
      <c r="M92" s="22">
        <f>IF(AND($A92&gt;CARGAS!$AJ$29,$A92&lt;=CARGAS!$AJ$30),tanque8,0)</f>
        <v>0</v>
      </c>
      <c r="N92" s="22">
        <f t="shared" si="10"/>
        <v>345.8663039999999</v>
      </c>
      <c r="O92" s="22">
        <f t="shared" si="8"/>
        <v>18.65014945164469</v>
      </c>
      <c r="P92" s="22">
        <f>O92*Equilibrio!Y$39*Equilibrio!Y$38*DADOS!C$4</f>
        <v>573.49209563807415</v>
      </c>
      <c r="Q92" s="22">
        <f t="shared" si="11"/>
        <v>-227.62579163807425</v>
      </c>
      <c r="R92" s="22">
        <f t="shared" si="12"/>
        <v>-17472.421259400879</v>
      </c>
      <c r="S92" s="22">
        <f t="shared" si="13"/>
        <v>-405888.78400344081</v>
      </c>
      <c r="T92" s="22">
        <f t="shared" si="9"/>
        <v>31473.833663999991</v>
      </c>
    </row>
    <row r="93" spans="1:20" x14ac:dyDescent="0.25">
      <c r="A93" s="21">
        <v>92</v>
      </c>
      <c r="B93" s="22">
        <f>CARGAS!$C$40*Equilibrio!A93^2+CARGAS!$D$40*Equilibrio!A93+CARGAS!$E$40</f>
        <v>110.86304473469382</v>
      </c>
      <c r="C93" s="22">
        <f>CARGAS!$C$53*Equilibrio!A93^2+CARGAS!$D$53*Equilibrio!A93+CARGAS!$E$53</f>
        <v>18.477174122448972</v>
      </c>
      <c r="D93">
        <f>IF(posisup=1,IF(A93&lt;=CARGAS!$E$68,sup,0),IF(posisup=2,IF(AND(A93&lt;=CARGAS!$E$69,A93&gt;=CARGAS!$D$69),sup,0),IF(posisup=3,IF(AND(A93&lt;=CARGAS!$E$70,A93&gt;=CARGAS!$D$70),sup,0),0)))</f>
        <v>0</v>
      </c>
      <c r="E93">
        <f>IF(A93&lt;=CARGAS!$H$25,CARGAS!$I$20,0)</f>
        <v>0</v>
      </c>
      <c r="F93" s="22">
        <f>IF(AND(A93&gt;CARGAS!$O$29,A93&lt;=CARGAS!$O$30),tanque1,0)</f>
        <v>0</v>
      </c>
      <c r="G93" s="22">
        <f>IF(AND(A93&gt;CARGAS!$R$29,A93&lt;=CARGAS!$R$30),tanque2,0)</f>
        <v>217.05599999999998</v>
      </c>
      <c r="H93" s="22">
        <f>IF(AND(A93&gt;CARGAS!$U$29,A93&lt;=CARGAS!$U$30),tanque3,0)</f>
        <v>0</v>
      </c>
      <c r="I93" s="22">
        <f>IF(AND(A93&gt;CARGAS!$X$29,A93&lt;=CARGAS!$X$30),tanque4,0)</f>
        <v>0</v>
      </c>
      <c r="J93" s="22">
        <f>IF(AND(A93&gt;CARGAS!$AA$29,A93&lt;=CARGAS!$AA$30),tanque5,0)</f>
        <v>0</v>
      </c>
      <c r="K93" s="22">
        <f>IF(AND($A93&gt;CARGAS!$AD$29,$A93&lt;=CARGAS!$AD$30),tanque6,0)</f>
        <v>0</v>
      </c>
      <c r="L93" s="22">
        <f>IF(AND($A93&gt;CARGAS!$AG$29,$A93&lt;=CARGAS!$AG$30),tanque7,0)</f>
        <v>0</v>
      </c>
      <c r="M93" s="22">
        <f>IF(AND($A93&gt;CARGAS!$AJ$29,$A93&lt;=CARGAS!$AJ$30),tanque8,0)</f>
        <v>0</v>
      </c>
      <c r="N93" s="22">
        <f t="shared" si="10"/>
        <v>346.3962188571428</v>
      </c>
      <c r="O93" s="22">
        <f t="shared" si="8"/>
        <v>18.500935198524559</v>
      </c>
      <c r="P93" s="22">
        <f>O93*Equilibrio!Y$39*Equilibrio!Y$38*DADOS!C$4</f>
        <v>568.9037573546301</v>
      </c>
      <c r="Q93" s="22">
        <f t="shared" si="11"/>
        <v>-222.5075384974873</v>
      </c>
      <c r="R93" s="22">
        <f t="shared" si="12"/>
        <v>-17694.928797898367</v>
      </c>
      <c r="S93" s="22">
        <f t="shared" si="13"/>
        <v>-423583.71280133916</v>
      </c>
      <c r="T93" s="22">
        <f t="shared" si="9"/>
        <v>31868.452134857136</v>
      </c>
    </row>
    <row r="94" spans="1:20" x14ac:dyDescent="0.25">
      <c r="A94" s="21">
        <v>93</v>
      </c>
      <c r="B94" s="22">
        <f>CARGAS!$C$40*Equilibrio!A94^2+CARGAS!$D$40*Equilibrio!A94+CARGAS!$E$40</f>
        <v>111.31181779591832</v>
      </c>
      <c r="C94" s="22">
        <f>CARGAS!$C$53*Equilibrio!A94^2+CARGAS!$D$53*Equilibrio!A94+CARGAS!$E$53</f>
        <v>18.551969632653055</v>
      </c>
      <c r="D94">
        <f>IF(posisup=1,IF(A94&lt;=CARGAS!$E$68,sup,0),IF(posisup=2,IF(AND(A94&lt;=CARGAS!$E$69,A94&gt;=CARGAS!$D$69),sup,0),IF(posisup=3,IF(AND(A94&lt;=CARGAS!$E$70,A94&gt;=CARGAS!$D$70),sup,0),0)))</f>
        <v>0</v>
      </c>
      <c r="E94">
        <f>IF(A94&lt;=CARGAS!$H$25,CARGAS!$I$20,0)</f>
        <v>0</v>
      </c>
      <c r="F94" s="22">
        <f>IF(AND(A94&gt;CARGAS!$O$29,A94&lt;=CARGAS!$O$30),tanque1,0)</f>
        <v>0</v>
      </c>
      <c r="G94" s="22">
        <f>IF(AND(A94&gt;CARGAS!$R$29,A94&lt;=CARGAS!$R$30),tanque2,0)</f>
        <v>217.05599999999998</v>
      </c>
      <c r="H94" s="22">
        <f>IF(AND(A94&gt;CARGAS!$U$29,A94&lt;=CARGAS!$U$30),tanque3,0)</f>
        <v>0</v>
      </c>
      <c r="I94" s="22">
        <f>IF(AND(A94&gt;CARGAS!$X$29,A94&lt;=CARGAS!$X$30),tanque4,0)</f>
        <v>0</v>
      </c>
      <c r="J94" s="22">
        <f>IF(AND(A94&gt;CARGAS!$AA$29,A94&lt;=CARGAS!$AA$30),tanque5,0)</f>
        <v>0</v>
      </c>
      <c r="K94" s="22">
        <f>IF(AND($A94&gt;CARGAS!$AD$29,$A94&lt;=CARGAS!$AD$30),tanque6,0)</f>
        <v>0</v>
      </c>
      <c r="L94" s="22">
        <f>IF(AND($A94&gt;CARGAS!$AG$29,$A94&lt;=CARGAS!$AG$30),tanque7,0)</f>
        <v>0</v>
      </c>
      <c r="M94" s="22">
        <f>IF(AND($A94&gt;CARGAS!$AJ$29,$A94&lt;=CARGAS!$AJ$30),tanque8,0)</f>
        <v>0</v>
      </c>
      <c r="N94" s="22">
        <f t="shared" si="10"/>
        <v>346.91978742857134</v>
      </c>
      <c r="O94" s="22">
        <f t="shared" si="8"/>
        <v>18.351948492817861</v>
      </c>
      <c r="P94" s="22">
        <f>O94*Equilibrio!Y$39*Equilibrio!Y$38*DADOS!C$4</f>
        <v>564.32241615414921</v>
      </c>
      <c r="Q94" s="22">
        <f t="shared" si="11"/>
        <v>-217.40262872557787</v>
      </c>
      <c r="R94" s="22">
        <f t="shared" si="12"/>
        <v>-17912.331426623943</v>
      </c>
      <c r="S94" s="22">
        <f t="shared" si="13"/>
        <v>-441496.04422796308</v>
      </c>
      <c r="T94" s="22">
        <f t="shared" si="9"/>
        <v>32263.540230857136</v>
      </c>
    </row>
    <row r="95" spans="1:20" x14ac:dyDescent="0.25">
      <c r="A95" s="21">
        <v>94</v>
      </c>
      <c r="B95" s="22">
        <f>CARGAS!$C$40*Equilibrio!A95^2+CARGAS!$D$40*Equilibrio!A95+CARGAS!$E$40</f>
        <v>111.75515118367341</v>
      </c>
      <c r="C95" s="22">
        <f>CARGAS!$C$53*Equilibrio!A95^2+CARGAS!$D$53*Equilibrio!A95+CARGAS!$E$53</f>
        <v>18.625858530612238</v>
      </c>
      <c r="D95">
        <f>IF(posisup=1,IF(A95&lt;=CARGAS!$E$68,sup,0),IF(posisup=2,IF(AND(A95&lt;=CARGAS!$E$69,A95&gt;=CARGAS!$D$69),sup,0),IF(posisup=3,IF(AND(A95&lt;=CARGAS!$E$70,A95&gt;=CARGAS!$D$70),sup,0),0)))</f>
        <v>0</v>
      </c>
      <c r="E95">
        <f>IF(A95&lt;=CARGAS!$H$25,CARGAS!$I$20,0)</f>
        <v>0</v>
      </c>
      <c r="F95" s="22">
        <f>IF(AND(A95&gt;CARGAS!$O$29,A95&lt;=CARGAS!$O$30),tanque1,0)</f>
        <v>0</v>
      </c>
      <c r="G95" s="22">
        <f>IF(AND(A95&gt;CARGAS!$R$29,A95&lt;=CARGAS!$R$30),tanque2,0)</f>
        <v>217.05599999999998</v>
      </c>
      <c r="H95" s="22">
        <f>IF(AND(A95&gt;CARGAS!$U$29,A95&lt;=CARGAS!$U$30),tanque3,0)</f>
        <v>0</v>
      </c>
      <c r="I95" s="22">
        <f>IF(AND(A95&gt;CARGAS!$X$29,A95&lt;=CARGAS!$X$30),tanque4,0)</f>
        <v>0</v>
      </c>
      <c r="J95" s="22">
        <f>IF(AND(A95&gt;CARGAS!$AA$29,A95&lt;=CARGAS!$AA$30),tanque5,0)</f>
        <v>0</v>
      </c>
      <c r="K95" s="22">
        <f>IF(AND($A95&gt;CARGAS!$AD$29,$A95&lt;=CARGAS!$AD$30),tanque6,0)</f>
        <v>0</v>
      </c>
      <c r="L95" s="22">
        <f>IF(AND($A95&gt;CARGAS!$AG$29,$A95&lt;=CARGAS!$AG$30),tanque7,0)</f>
        <v>0</v>
      </c>
      <c r="M95" s="22">
        <f>IF(AND($A95&gt;CARGAS!$AJ$29,$A95&lt;=CARGAS!$AJ$30),tanque8,0)</f>
        <v>0</v>
      </c>
      <c r="N95" s="22">
        <f t="shared" si="10"/>
        <v>347.43700971428564</v>
      </c>
      <c r="O95" s="22">
        <f t="shared" si="8"/>
        <v>18.203239751194818</v>
      </c>
      <c r="P95" s="22">
        <f>O95*Equilibrio!Y$39*Equilibrio!Y$38*DADOS!C$4</f>
        <v>559.74962234924067</v>
      </c>
      <c r="Q95" s="22">
        <f t="shared" si="11"/>
        <v>-212.31261263495503</v>
      </c>
      <c r="R95" s="22">
        <f t="shared" si="12"/>
        <v>-18124.644039258899</v>
      </c>
      <c r="S95" s="22">
        <f t="shared" si="13"/>
        <v>-459620.68826722197</v>
      </c>
      <c r="T95" s="22">
        <f t="shared" si="9"/>
        <v>32659.07891314285</v>
      </c>
    </row>
    <row r="96" spans="1:20" x14ac:dyDescent="0.25">
      <c r="A96" s="21">
        <v>95</v>
      </c>
      <c r="B96" s="22">
        <f>CARGAS!$C$40*Equilibrio!A96^2+CARGAS!$D$40*Equilibrio!A96+CARGAS!$E$40</f>
        <v>112.19304489795913</v>
      </c>
      <c r="C96" s="22">
        <f>CARGAS!$C$53*Equilibrio!A96^2+CARGAS!$D$53*Equilibrio!A96+CARGAS!$E$53</f>
        <v>18.698840816326523</v>
      </c>
      <c r="D96">
        <f>IF(posisup=1,IF(A96&lt;=CARGAS!$E$68,sup,0),IF(posisup=2,IF(AND(A96&lt;=CARGAS!$E$69,A96&gt;=CARGAS!$D$69),sup,0),IF(posisup=3,IF(AND(A96&lt;=CARGAS!$E$70,A96&gt;=CARGAS!$D$70),sup,0),0)))</f>
        <v>0</v>
      </c>
      <c r="E96">
        <f>IF(A96&lt;=CARGAS!$H$25,CARGAS!$I$20,0)</f>
        <v>0</v>
      </c>
      <c r="F96" s="22">
        <f>IF(AND(A96&gt;CARGAS!$O$29,A96&lt;=CARGAS!$O$30),tanque1,0)</f>
        <v>0</v>
      </c>
      <c r="G96" s="22">
        <f>IF(AND(A96&gt;CARGAS!$R$29,A96&lt;=CARGAS!$R$30),tanque2,0)</f>
        <v>217.05599999999998</v>
      </c>
      <c r="H96" s="22">
        <f>IF(AND(A96&gt;CARGAS!$U$29,A96&lt;=CARGAS!$U$30),tanque3,0)</f>
        <v>0</v>
      </c>
      <c r="I96" s="22">
        <f>IF(AND(A96&gt;CARGAS!$X$29,A96&lt;=CARGAS!$X$30),tanque4,0)</f>
        <v>0</v>
      </c>
      <c r="J96" s="22">
        <f>IF(AND(A96&gt;CARGAS!$AA$29,A96&lt;=CARGAS!$AA$30),tanque5,0)</f>
        <v>0</v>
      </c>
      <c r="K96" s="22">
        <f>IF(AND($A96&gt;CARGAS!$AD$29,$A96&lt;=CARGAS!$AD$30),tanque6,0)</f>
        <v>0</v>
      </c>
      <c r="L96" s="22">
        <f>IF(AND($A96&gt;CARGAS!$AG$29,$A96&lt;=CARGAS!$AG$30),tanque7,0)</f>
        <v>0</v>
      </c>
      <c r="M96" s="22">
        <f>IF(AND($A96&gt;CARGAS!$AJ$29,$A96&lt;=CARGAS!$AJ$30),tanque8,0)</f>
        <v>0</v>
      </c>
      <c r="N96" s="22">
        <f t="shared" si="10"/>
        <v>347.94788571428563</v>
      </c>
      <c r="O96" s="22">
        <f t="shared" si="8"/>
        <v>18.054859300747808</v>
      </c>
      <c r="P96" s="22">
        <f>O96*Equilibrio!Y$39*Equilibrio!Y$38*DADOS!C$4</f>
        <v>555.18692349799505</v>
      </c>
      <c r="Q96" s="22">
        <f t="shared" si="11"/>
        <v>-207.23903778370942</v>
      </c>
      <c r="R96" s="22">
        <f t="shared" si="12"/>
        <v>-18331.88307704261</v>
      </c>
      <c r="S96" s="22">
        <f>S95+R96</f>
        <v>-477952.57134426455</v>
      </c>
      <c r="T96" s="22">
        <f t="shared" si="9"/>
        <v>33055.049142857133</v>
      </c>
    </row>
    <row r="97" spans="1:20" x14ac:dyDescent="0.25">
      <c r="A97" s="21">
        <v>96</v>
      </c>
      <c r="B97" s="22">
        <f>CARGAS!$C$40*Equilibrio!A97^2+CARGAS!$D$40*Equilibrio!A97+CARGAS!$E$40</f>
        <v>112.62549893877545</v>
      </c>
      <c r="C97" s="22">
        <f>CARGAS!$C$53*Equilibrio!A97^2+CARGAS!$D$53*Equilibrio!A97+CARGAS!$E$53</f>
        <v>18.770916489795916</v>
      </c>
      <c r="D97">
        <f>IF(posisup=1,IF(A97&lt;=CARGAS!$E$68,sup,0),IF(posisup=2,IF(AND(A97&lt;=CARGAS!$E$69,A97&gt;=CARGAS!$D$69),sup,0),IF(posisup=3,IF(AND(A97&lt;=CARGAS!$E$70,A97&gt;=CARGAS!$D$70),sup,0),0)))</f>
        <v>0</v>
      </c>
      <c r="E97">
        <f>IF(A97&lt;=CARGAS!$H$25,CARGAS!$I$20,0)</f>
        <v>0</v>
      </c>
      <c r="F97" s="22">
        <f>IF(AND(A97&gt;CARGAS!$O$29,A97&lt;=CARGAS!$O$30),tanque1,0)</f>
        <v>0</v>
      </c>
      <c r="G97" s="22">
        <f>IF(AND(A97&gt;CARGAS!$R$29,A97&lt;=CARGAS!$R$30),tanque2,0)</f>
        <v>217.05599999999998</v>
      </c>
      <c r="H97" s="22">
        <f>IF(AND(A97&gt;CARGAS!$U$29,A97&lt;=CARGAS!$U$30),tanque3,0)</f>
        <v>0</v>
      </c>
      <c r="I97" s="22">
        <f>IF(AND(A97&gt;CARGAS!$X$29,A97&lt;=CARGAS!$X$30),tanque4,0)</f>
        <v>0</v>
      </c>
      <c r="J97" s="22">
        <f>IF(AND(A97&gt;CARGAS!$AA$29,A97&lt;=CARGAS!$AA$30),tanque5,0)</f>
        <v>0</v>
      </c>
      <c r="K97" s="22">
        <f>IF(AND($A97&gt;CARGAS!$AD$29,$A97&lt;=CARGAS!$AD$30),tanque6,0)</f>
        <v>0</v>
      </c>
      <c r="L97" s="22">
        <f>IF(AND($A97&gt;CARGAS!$AG$29,$A97&lt;=CARGAS!$AG$30),tanque7,0)</f>
        <v>0</v>
      </c>
      <c r="M97" s="22">
        <f>IF(AND($A97&gt;CARGAS!$AJ$29,$A97&lt;=CARGAS!$AJ$30),tanque8,0)</f>
        <v>0</v>
      </c>
      <c r="N97" s="22">
        <f t="shared" si="10"/>
        <v>348.45241542857138</v>
      </c>
      <c r="O97" s="22">
        <f t="shared" si="8"/>
        <v>17.906857362772733</v>
      </c>
      <c r="P97" s="22">
        <f>O97*Equilibrio!Y$39*Equilibrio!Y$38*DADOS!C$4</f>
        <v>550.63586390526154</v>
      </c>
      <c r="Q97" s="22">
        <f t="shared" si="11"/>
        <v>-202.18344847669016</v>
      </c>
      <c r="R97" s="22">
        <f t="shared" si="12"/>
        <v>-18534.066525519302</v>
      </c>
      <c r="S97" s="22">
        <f t="shared" si="13"/>
        <v>-496486.63786978385</v>
      </c>
      <c r="T97" s="22">
        <f t="shared" si="9"/>
        <v>33451.431881142853</v>
      </c>
    </row>
    <row r="98" spans="1:20" x14ac:dyDescent="0.25">
      <c r="A98" s="21">
        <v>97</v>
      </c>
      <c r="B98" s="22">
        <f>CARGAS!$C$40*Equilibrio!A98^2+CARGAS!$D$40*Equilibrio!A98+CARGAS!$E$40</f>
        <v>113.05251330612238</v>
      </c>
      <c r="C98" s="22">
        <f>CARGAS!$C$53*Equilibrio!A98^2+CARGAS!$D$53*Equilibrio!A98+CARGAS!$E$53</f>
        <v>18.842085551020403</v>
      </c>
      <c r="D98">
        <f>IF(posisup=1,IF(A98&lt;=CARGAS!$E$68,sup,0),IF(posisup=2,IF(AND(A98&lt;=CARGAS!$E$69,A98&gt;=CARGAS!$D$69),sup,0),IF(posisup=3,IF(AND(A98&lt;=CARGAS!$E$70,A98&gt;=CARGAS!$D$70),sup,0),0)))</f>
        <v>0</v>
      </c>
      <c r="E98">
        <f>IF(A98&lt;=CARGAS!$H$25,CARGAS!$I$20,0)</f>
        <v>0</v>
      </c>
      <c r="F98" s="22">
        <f>IF(AND(A98&gt;CARGAS!$O$29,A98&lt;=CARGAS!$O$30),tanque1,0)</f>
        <v>0</v>
      </c>
      <c r="G98" s="22">
        <f>IF(AND(A98&gt;CARGAS!$R$29,A98&lt;=CARGAS!$R$30),tanque2,0)</f>
        <v>217.05599999999998</v>
      </c>
      <c r="H98" s="22">
        <f>IF(AND(A98&gt;CARGAS!$U$29,A98&lt;=CARGAS!$U$30),tanque3,0)</f>
        <v>0</v>
      </c>
      <c r="I98" s="22">
        <f>IF(AND(A98&gt;CARGAS!$X$29,A98&lt;=CARGAS!$X$30),tanque4,0)</f>
        <v>0</v>
      </c>
      <c r="J98" s="22">
        <f>IF(AND(A98&gt;CARGAS!$AA$29,A98&lt;=CARGAS!$AA$30),tanque5,0)</f>
        <v>0</v>
      </c>
      <c r="K98" s="22">
        <f>IF(AND($A98&gt;CARGAS!$AD$29,$A98&lt;=CARGAS!$AD$30),tanque6,0)</f>
        <v>0</v>
      </c>
      <c r="L98" s="22">
        <f>IF(AND($A98&gt;CARGAS!$AG$29,$A98&lt;=CARGAS!$AG$30),tanque7,0)</f>
        <v>0</v>
      </c>
      <c r="M98" s="22">
        <f>IF(AND($A98&gt;CARGAS!$AJ$29,$A98&lt;=CARGAS!$AJ$30),tanque8,0)</f>
        <v>0</v>
      </c>
      <c r="N98" s="22">
        <f t="shared" si="10"/>
        <v>348.95059885714278</v>
      </c>
      <c r="O98" s="22">
        <f t="shared" ref="O98:O129" si="14">IF($X$4=1,tmedio+((loa/2)-A98)*TAN(trimrad),IF($X$4=2,tmedio+$Z$3*COS(2*PI()*A98/$Z$2)+((loa/2)-A98)*TAN(trimrad),IF($X$4=3,tmedio-$Z$3*COS(2*PI()*A98/$Z$2)+((loa/2)-A98)*TAN(trimrad),tmedio+((loa/2)-A98)*TAN(trimrad))))</f>
        <v>17.7592840365845</v>
      </c>
      <c r="P98" s="22">
        <f>O98*Equilibrio!Y$39*Equilibrio!Y$38*DADOS!C$4</f>
        <v>546.09798412497332</v>
      </c>
      <c r="Q98" s="22">
        <f t="shared" si="11"/>
        <v>-197.14738526783054</v>
      </c>
      <c r="R98" s="22">
        <f t="shared" si="12"/>
        <v>-18731.213910787133</v>
      </c>
      <c r="S98" s="22">
        <f t="shared" si="13"/>
        <v>-515217.85178057099</v>
      </c>
      <c r="T98" s="22">
        <f t="shared" ref="T98:T129" si="15">N98*A98</f>
        <v>33848.208089142849</v>
      </c>
    </row>
    <row r="99" spans="1:20" x14ac:dyDescent="0.25">
      <c r="A99" s="21">
        <v>98</v>
      </c>
      <c r="B99" s="22">
        <f>CARGAS!$C$40*Equilibrio!A99^2+CARGAS!$D$40*Equilibrio!A99+CARGAS!$E$40</f>
        <v>113.47408799999994</v>
      </c>
      <c r="C99" s="22">
        <f>CARGAS!$C$53*Equilibrio!A99^2+CARGAS!$D$53*Equilibrio!A99+CARGAS!$E$53</f>
        <v>18.912347999999994</v>
      </c>
      <c r="D99">
        <f>IF(posisup=1,IF(A99&lt;=CARGAS!$E$68,sup,0),IF(posisup=2,IF(AND(A99&lt;=CARGAS!$E$69,A99&gt;=CARGAS!$D$69),sup,0),IF(posisup=3,IF(AND(A99&lt;=CARGAS!$E$70,A99&gt;=CARGAS!$D$70),sup,0),0)))</f>
        <v>0</v>
      </c>
      <c r="E99">
        <f>IF(A99&lt;=CARGAS!$H$25,CARGAS!$I$20,0)</f>
        <v>0</v>
      </c>
      <c r="F99" s="22">
        <f>IF(AND(A99&gt;CARGAS!$O$29,A99&lt;=CARGAS!$O$30),tanque1,0)</f>
        <v>0</v>
      </c>
      <c r="G99" s="22">
        <f>IF(AND(A99&gt;CARGAS!$R$29,A99&lt;=CARGAS!$R$30),tanque2,0)</f>
        <v>217.05599999999998</v>
      </c>
      <c r="H99" s="22">
        <f>IF(AND(A99&gt;CARGAS!$U$29,A99&lt;=CARGAS!$U$30),tanque3,0)</f>
        <v>0</v>
      </c>
      <c r="I99" s="22">
        <f>IF(AND(A99&gt;CARGAS!$X$29,A99&lt;=CARGAS!$X$30),tanque4,0)</f>
        <v>0</v>
      </c>
      <c r="J99" s="22">
        <f>IF(AND(A99&gt;CARGAS!$AA$29,A99&lt;=CARGAS!$AA$30),tanque5,0)</f>
        <v>0</v>
      </c>
      <c r="K99" s="22">
        <f>IF(AND($A99&gt;CARGAS!$AD$29,$A99&lt;=CARGAS!$AD$30),tanque6,0)</f>
        <v>0</v>
      </c>
      <c r="L99" s="22">
        <f>IF(AND($A99&gt;CARGAS!$AG$29,$A99&lt;=CARGAS!$AG$30),tanque7,0)</f>
        <v>0</v>
      </c>
      <c r="M99" s="22">
        <f>IF(AND($A99&gt;CARGAS!$AJ$29,$A99&lt;=CARGAS!$AJ$30),tanque8,0)</f>
        <v>0</v>
      </c>
      <c r="N99" s="22">
        <f t="shared" si="10"/>
        <v>349.44243599999993</v>
      </c>
      <c r="O99" s="22">
        <f t="shared" si="14"/>
        <v>17.612189283371791</v>
      </c>
      <c r="P99" s="22">
        <f>O99*Equilibrio!Y$39*Equilibrio!Y$38*DADOS!C$4</f>
        <v>541.5748204636825</v>
      </c>
      <c r="Q99" s="22">
        <f t="shared" si="11"/>
        <v>-192.13238446368257</v>
      </c>
      <c r="R99" s="22">
        <f t="shared" si="12"/>
        <v>-18923.346295250816</v>
      </c>
      <c r="S99" s="22">
        <f t="shared" si="13"/>
        <v>-534141.19807582186</v>
      </c>
      <c r="T99" s="22">
        <f t="shared" si="15"/>
        <v>34245.358727999992</v>
      </c>
    </row>
    <row r="100" spans="1:20" x14ac:dyDescent="0.25">
      <c r="A100" s="21">
        <v>99</v>
      </c>
      <c r="B100" s="22">
        <f>CARGAS!$C$40*Equilibrio!A100^2+CARGAS!$D$40*Equilibrio!A100+CARGAS!$E$40</f>
        <v>113.8902230204081</v>
      </c>
      <c r="C100" s="22">
        <f>CARGAS!$C$53*Equilibrio!A100^2+CARGAS!$D$53*Equilibrio!A100+CARGAS!$E$53</f>
        <v>18.981703836734688</v>
      </c>
      <c r="D100">
        <f>IF(posisup=1,IF(A100&lt;=CARGAS!$E$68,sup,0),IF(posisup=2,IF(AND(A100&lt;=CARGAS!$E$69,A100&gt;=CARGAS!$D$69),sup,0),IF(posisup=3,IF(AND(A100&lt;=CARGAS!$E$70,A100&gt;=CARGAS!$D$70),sup,0),0)))</f>
        <v>0</v>
      </c>
      <c r="E100">
        <f>IF(A100&lt;=CARGAS!$H$25,CARGAS!$I$20,0)</f>
        <v>0</v>
      </c>
      <c r="F100" s="22">
        <f>IF(AND(A100&gt;CARGAS!$O$29,A100&lt;=CARGAS!$O$30),tanque1,0)</f>
        <v>0</v>
      </c>
      <c r="G100" s="22">
        <f>IF(AND(A100&gt;CARGAS!$R$29,A100&lt;=CARGAS!$R$30),tanque2,0)</f>
        <v>217.05599999999998</v>
      </c>
      <c r="H100" s="22">
        <f>IF(AND(A100&gt;CARGAS!$U$29,A100&lt;=CARGAS!$U$30),tanque3,0)</f>
        <v>0</v>
      </c>
      <c r="I100" s="22">
        <f>IF(AND(A100&gt;CARGAS!$X$29,A100&lt;=CARGAS!$X$30),tanque4,0)</f>
        <v>0</v>
      </c>
      <c r="J100" s="22">
        <f>IF(AND(A100&gt;CARGAS!$AA$29,A100&lt;=CARGAS!$AA$30),tanque5,0)</f>
        <v>0</v>
      </c>
      <c r="K100" s="22">
        <f>IF(AND($A100&gt;CARGAS!$AD$29,$A100&lt;=CARGAS!$AD$30),tanque6,0)</f>
        <v>0</v>
      </c>
      <c r="L100" s="22">
        <f>IF(AND($A100&gt;CARGAS!$AG$29,$A100&lt;=CARGAS!$AG$30),tanque7,0)</f>
        <v>0</v>
      </c>
      <c r="M100" s="22">
        <f>IF(AND($A100&gt;CARGAS!$AJ$29,$A100&lt;=CARGAS!$AJ$30),tanque8,0)</f>
        <v>0</v>
      </c>
      <c r="N100" s="22">
        <f t="shared" si="10"/>
        <v>349.92792685714278</v>
      </c>
      <c r="O100" s="22">
        <f t="shared" si="14"/>
        <v>17.465622910096393</v>
      </c>
      <c r="P100" s="22">
        <f>O100*Equilibrio!Y$39*Equilibrio!Y$38*DADOS!C$4</f>
        <v>537.06790448546406</v>
      </c>
      <c r="Q100" s="22">
        <f t="shared" si="11"/>
        <v>-187.13997762832128</v>
      </c>
      <c r="R100" s="22">
        <f t="shared" si="12"/>
        <v>-19110.486272879138</v>
      </c>
      <c r="S100" s="22">
        <f t="shared" si="13"/>
        <v>-553251.68434870103</v>
      </c>
      <c r="T100" s="22">
        <f t="shared" si="15"/>
        <v>34642.864758857133</v>
      </c>
    </row>
    <row r="101" spans="1:20" x14ac:dyDescent="0.25">
      <c r="A101" s="21">
        <v>100</v>
      </c>
      <c r="B101" s="22">
        <f>CARGAS!$C$40*Equilibrio!A101^2+CARGAS!$D$40*Equilibrio!A101+CARGAS!$E$40</f>
        <v>114.30091836734687</v>
      </c>
      <c r="C101" s="22">
        <f>CARGAS!$C$53*Equilibrio!A101^2+CARGAS!$D$53*Equilibrio!A101+CARGAS!$E$53</f>
        <v>19.050153061224485</v>
      </c>
      <c r="D101">
        <f>IF(posisup=1,IF(A101&lt;=CARGAS!$E$68,sup,0),IF(posisup=2,IF(AND(A101&lt;=CARGAS!$E$69,A101&gt;=CARGAS!$D$69),sup,0),IF(posisup=3,IF(AND(A101&lt;=CARGAS!$E$70,A101&gt;=CARGAS!$D$70),sup,0),0)))</f>
        <v>0</v>
      </c>
      <c r="E101">
        <f>IF(A101&lt;=CARGAS!$H$25,CARGAS!$I$20,0)</f>
        <v>0</v>
      </c>
      <c r="F101" s="22">
        <f>IF(AND(A101&gt;CARGAS!$O$29,A101&lt;=CARGAS!$O$30),tanque1,0)</f>
        <v>0</v>
      </c>
      <c r="G101" s="22">
        <f>IF(AND(A101&gt;CARGAS!$R$29,A101&lt;=CARGAS!$R$30),tanque2,0)</f>
        <v>217.05599999999998</v>
      </c>
      <c r="H101" s="22">
        <f>IF(AND(A101&gt;CARGAS!$U$29,A101&lt;=CARGAS!$U$30),tanque3,0)</f>
        <v>0</v>
      </c>
      <c r="I101" s="22">
        <f>IF(AND(A101&gt;CARGAS!$X$29,A101&lt;=CARGAS!$X$30),tanque4,0)</f>
        <v>0</v>
      </c>
      <c r="J101" s="22">
        <f>IF(AND(A101&gt;CARGAS!$AA$29,A101&lt;=CARGAS!$AA$30),tanque5,0)</f>
        <v>0</v>
      </c>
      <c r="K101" s="22">
        <f>IF(AND($A101&gt;CARGAS!$AD$29,$A101&lt;=CARGAS!$AD$30),tanque6,0)</f>
        <v>0</v>
      </c>
      <c r="L101" s="22">
        <f>IF(AND($A101&gt;CARGAS!$AG$29,$A101&lt;=CARGAS!$AG$30),tanque7,0)</f>
        <v>0</v>
      </c>
      <c r="M101" s="22">
        <f>IF(AND($A101&gt;CARGAS!$AJ$29,$A101&lt;=CARGAS!$AJ$30),tanque8,0)</f>
        <v>0</v>
      </c>
      <c r="N101" s="22">
        <f t="shared" si="10"/>
        <v>350.40707142857133</v>
      </c>
      <c r="O101" s="22">
        <f t="shared" si="14"/>
        <v>17.319634553442185</v>
      </c>
      <c r="P101" s="22">
        <f>O101*Equilibrio!Y$39*Equilibrio!Y$38*DADOS!C$4</f>
        <v>532.57876251834716</v>
      </c>
      <c r="Q101" s="22">
        <f t="shared" si="11"/>
        <v>-182.17169108977583</v>
      </c>
      <c r="R101" s="22">
        <f t="shared" si="12"/>
        <v>-19292.657963968915</v>
      </c>
      <c r="S101" s="22">
        <f t="shared" si="13"/>
        <v>-572544.34231266996</v>
      </c>
      <c r="T101" s="22">
        <f t="shared" si="15"/>
        <v>35040.707142857136</v>
      </c>
    </row>
    <row r="102" spans="1:20" x14ac:dyDescent="0.25">
      <c r="A102" s="21">
        <v>101</v>
      </c>
      <c r="B102" s="22">
        <f>CARGAS!$C$40*Equilibrio!A102^2+CARGAS!$D$40*Equilibrio!A102+CARGAS!$E$40</f>
        <v>114.70617404081626</v>
      </c>
      <c r="C102" s="22">
        <f>CARGAS!$C$53*Equilibrio!A102^2+CARGAS!$D$53*Equilibrio!A102+CARGAS!$E$53</f>
        <v>19.117695673469381</v>
      </c>
      <c r="D102">
        <f>IF(posisup=1,IF(A102&lt;=CARGAS!$E$68,sup,0),IF(posisup=2,IF(AND(A102&lt;=CARGAS!$E$69,A102&gt;=CARGAS!$D$69),sup,0),IF(posisup=3,IF(AND(A102&lt;=CARGAS!$E$70,A102&gt;=CARGAS!$D$70),sup,0),0)))</f>
        <v>0</v>
      </c>
      <c r="E102">
        <f>IF(A102&lt;=CARGAS!$H$25,CARGAS!$I$20,0)</f>
        <v>0</v>
      </c>
      <c r="F102" s="22">
        <f>IF(AND(A102&gt;CARGAS!$O$29,A102&lt;=CARGAS!$O$30),tanque1,0)</f>
        <v>0</v>
      </c>
      <c r="G102" s="22">
        <f>IF(AND(A102&gt;CARGAS!$R$29,A102&lt;=CARGAS!$R$30),tanque2,0)</f>
        <v>217.05599999999998</v>
      </c>
      <c r="H102" s="22">
        <f>IF(AND(A102&gt;CARGAS!$U$29,A102&lt;=CARGAS!$U$30),tanque3,0)</f>
        <v>0</v>
      </c>
      <c r="I102" s="22">
        <f>IF(AND(A102&gt;CARGAS!$X$29,A102&lt;=CARGAS!$X$30),tanque4,0)</f>
        <v>0</v>
      </c>
      <c r="J102" s="22">
        <f>IF(AND(A102&gt;CARGAS!$AA$29,A102&lt;=CARGAS!$AA$30),tanque5,0)</f>
        <v>0</v>
      </c>
      <c r="K102" s="22">
        <f>IF(AND($A102&gt;CARGAS!$AD$29,$A102&lt;=CARGAS!$AD$30),tanque6,0)</f>
        <v>0</v>
      </c>
      <c r="L102" s="22">
        <f>IF(AND($A102&gt;CARGAS!$AG$29,$A102&lt;=CARGAS!$AG$30),tanque7,0)</f>
        <v>0</v>
      </c>
      <c r="M102" s="22">
        <f>IF(AND($A102&gt;CARGAS!$AJ$29,$A102&lt;=CARGAS!$AJ$30),tanque8,0)</f>
        <v>0</v>
      </c>
      <c r="N102" s="22">
        <f t="shared" si="10"/>
        <v>350.87986971428563</v>
      </c>
      <c r="O102" s="22">
        <f t="shared" si="14"/>
        <v>17.174273663819012</v>
      </c>
      <c r="P102" s="22">
        <f>O102*Equilibrio!Y$39*Equilibrio!Y$38*DADOS!C$4</f>
        <v>528.10891516243464</v>
      </c>
      <c r="Q102" s="22">
        <f t="shared" si="11"/>
        <v>-177.22904544814901</v>
      </c>
      <c r="R102" s="22">
        <f t="shared" si="12"/>
        <v>-19469.887009417063</v>
      </c>
      <c r="S102" s="22">
        <f t="shared" si="13"/>
        <v>-592014.22932208702</v>
      </c>
      <c r="T102" s="22">
        <f t="shared" si="15"/>
        <v>35438.866841142852</v>
      </c>
    </row>
    <row r="103" spans="1:20" x14ac:dyDescent="0.25">
      <c r="A103" s="21">
        <v>102</v>
      </c>
      <c r="B103" s="22">
        <f>CARGAS!$C$40*Equilibrio!A103^2+CARGAS!$D$40*Equilibrio!A103+CARGAS!$E$40</f>
        <v>115.10599004081627</v>
      </c>
      <c r="C103" s="22">
        <f>CARGAS!$C$53*Equilibrio!A103^2+CARGAS!$D$53*Equilibrio!A103+CARGAS!$E$53</f>
        <v>19.184331673469384</v>
      </c>
      <c r="D103">
        <f>IF(posisup=1,IF(A103&lt;=CARGAS!$E$68,sup,0),IF(posisup=2,IF(AND(A103&lt;=CARGAS!$E$69,A103&gt;=CARGAS!$D$69),sup,0),IF(posisup=3,IF(AND(A103&lt;=CARGAS!$E$70,A103&gt;=CARGAS!$D$70),sup,0),0)))</f>
        <v>0</v>
      </c>
      <c r="E103">
        <f>IF(A103&lt;=CARGAS!$H$25,CARGAS!$I$20,0)</f>
        <v>0</v>
      </c>
      <c r="F103" s="22">
        <f>IF(AND(A103&gt;CARGAS!$O$29,A103&lt;=CARGAS!$O$30),tanque1,0)</f>
        <v>0</v>
      </c>
      <c r="G103" s="22">
        <f>IF(AND(A103&gt;CARGAS!$R$29,A103&lt;=CARGAS!$R$30),tanque2,0)</f>
        <v>217.05599999999998</v>
      </c>
      <c r="H103" s="22">
        <f>IF(AND(A103&gt;CARGAS!$U$29,A103&lt;=CARGAS!$U$30),tanque3,0)</f>
        <v>0</v>
      </c>
      <c r="I103" s="22">
        <f>IF(AND(A103&gt;CARGAS!$X$29,A103&lt;=CARGAS!$X$30),tanque4,0)</f>
        <v>0</v>
      </c>
      <c r="J103" s="22">
        <f>IF(AND(A103&gt;CARGAS!$AA$29,A103&lt;=CARGAS!$AA$30),tanque5,0)</f>
        <v>0</v>
      </c>
      <c r="K103" s="22">
        <f>IF(AND($A103&gt;CARGAS!$AD$29,$A103&lt;=CARGAS!$AD$30),tanque6,0)</f>
        <v>0</v>
      </c>
      <c r="L103" s="22">
        <f>IF(AND($A103&gt;CARGAS!$AG$29,$A103&lt;=CARGAS!$AG$30),tanque7,0)</f>
        <v>0</v>
      </c>
      <c r="M103" s="22">
        <f>IF(AND($A103&gt;CARGAS!$AJ$29,$A103&lt;=CARGAS!$AJ$30),tanque8,0)</f>
        <v>0</v>
      </c>
      <c r="N103" s="22">
        <f t="shared" si="10"/>
        <v>351.34632171428564</v>
      </c>
      <c r="O103" s="22">
        <f t="shared" si="14"/>
        <v>17.029589489426598</v>
      </c>
      <c r="P103" s="22">
        <f>O103*Equilibrio!Y$39*Equilibrio!Y$38*DADOS!C$4</f>
        <v>523.65987679986779</v>
      </c>
      <c r="Q103" s="22">
        <f t="shared" si="11"/>
        <v>-172.31355508558215</v>
      </c>
      <c r="R103" s="22">
        <f t="shared" si="12"/>
        <v>-19642.200564502644</v>
      </c>
      <c r="S103" s="22">
        <f t="shared" si="13"/>
        <v>-611656.42988658964</v>
      </c>
      <c r="T103" s="22">
        <f t="shared" si="15"/>
        <v>35837.324814857137</v>
      </c>
    </row>
    <row r="104" spans="1:20" x14ac:dyDescent="0.25">
      <c r="A104" s="21">
        <v>103</v>
      </c>
      <c r="B104" s="22">
        <f>CARGAS!$C$40*Equilibrio!A104^2+CARGAS!$D$40*Equilibrio!A104+CARGAS!$E$40</f>
        <v>115.50036636734688</v>
      </c>
      <c r="C104" s="22">
        <f>CARGAS!$C$53*Equilibrio!A104^2+CARGAS!$D$53*Equilibrio!A104+CARGAS!$E$53</f>
        <v>19.250061061224486</v>
      </c>
      <c r="D104">
        <f>IF(posisup=1,IF(A104&lt;=CARGAS!$E$68,sup,0),IF(posisup=2,IF(AND(A104&lt;=CARGAS!$E$69,A104&gt;=CARGAS!$D$69),sup,0),IF(posisup=3,IF(AND(A104&lt;=CARGAS!$E$70,A104&gt;=CARGAS!$D$70),sup,0),0)))</f>
        <v>0</v>
      </c>
      <c r="E104">
        <f>IF(A104&lt;=CARGAS!$H$25,CARGAS!$I$20,0)</f>
        <v>0</v>
      </c>
      <c r="F104" s="22">
        <f>IF(AND(A104&gt;CARGAS!$O$29,A104&lt;=CARGAS!$O$30),tanque1,0)</f>
        <v>0</v>
      </c>
      <c r="G104" s="22">
        <f>IF(AND(A104&gt;CARGAS!$R$29,A104&lt;=CARGAS!$R$30),tanque2,0)</f>
        <v>0</v>
      </c>
      <c r="H104" s="22">
        <f>IF(AND(A104&gt;CARGAS!$U$29,A104&lt;=CARGAS!$U$30),tanque3,0)</f>
        <v>411.26400000000001</v>
      </c>
      <c r="I104" s="22">
        <f>IF(AND(A104&gt;CARGAS!$X$29,A104&lt;=CARGAS!$X$30),tanque4,0)</f>
        <v>0</v>
      </c>
      <c r="J104" s="22">
        <f>IF(AND(A104&gt;CARGAS!$AA$29,A104&lt;=CARGAS!$AA$30),tanque5,0)</f>
        <v>0</v>
      </c>
      <c r="K104" s="22">
        <f>IF(AND($A104&gt;CARGAS!$AD$29,$A104&lt;=CARGAS!$AD$30),tanque6,0)</f>
        <v>0</v>
      </c>
      <c r="L104" s="22">
        <f>IF(AND($A104&gt;CARGAS!$AG$29,$A104&lt;=CARGAS!$AG$30),tanque7,0)</f>
        <v>0</v>
      </c>
      <c r="M104" s="22">
        <f>IF(AND($A104&gt;CARGAS!$AJ$29,$A104&lt;=CARGAS!$AJ$30),tanque8,0)</f>
        <v>0</v>
      </c>
      <c r="N104" s="22">
        <f t="shared" si="10"/>
        <v>546.01442742857137</v>
      </c>
      <c r="O104" s="22">
        <f t="shared" si="14"/>
        <v>16.885631060383609</v>
      </c>
      <c r="P104" s="22">
        <f>O104*Equilibrio!Y$39*Equilibrio!Y$38*DADOS!C$4</f>
        <v>519.23315510679595</v>
      </c>
      <c r="Q104" s="22">
        <f t="shared" si="11"/>
        <v>26.781272321775418</v>
      </c>
      <c r="R104" s="22">
        <f t="shared" si="12"/>
        <v>-19615.419292180868</v>
      </c>
      <c r="S104" s="22">
        <f t="shared" si="13"/>
        <v>-631271.84917877056</v>
      </c>
      <c r="T104" s="22">
        <f t="shared" si="15"/>
        <v>56239.486025142847</v>
      </c>
    </row>
    <row r="105" spans="1:20" x14ac:dyDescent="0.25">
      <c r="A105" s="21">
        <v>104</v>
      </c>
      <c r="B105" s="22">
        <f>CARGAS!$C$40*Equilibrio!A105^2+CARGAS!$D$40*Equilibrio!A105+CARGAS!$E$40</f>
        <v>115.88930302040811</v>
      </c>
      <c r="C105" s="22">
        <f>CARGAS!$C$53*Equilibrio!A105^2+CARGAS!$D$53*Equilibrio!A105+CARGAS!$E$53</f>
        <v>19.31488383673469</v>
      </c>
      <c r="D105">
        <f>IF(posisup=1,IF(A105&lt;=CARGAS!$E$68,sup,0),IF(posisup=2,IF(AND(A105&lt;=CARGAS!$E$69,A105&gt;=CARGAS!$D$69),sup,0),IF(posisup=3,IF(AND(A105&lt;=CARGAS!$E$70,A105&gt;=CARGAS!$D$70),sup,0),0)))</f>
        <v>0</v>
      </c>
      <c r="E105">
        <f>IF(A105&lt;=CARGAS!$H$25,CARGAS!$I$20,0)</f>
        <v>0</v>
      </c>
      <c r="F105" s="22">
        <f>IF(AND(A105&gt;CARGAS!$O$29,A105&lt;=CARGAS!$O$30),tanque1,0)</f>
        <v>0</v>
      </c>
      <c r="G105" s="22">
        <f>IF(AND(A105&gt;CARGAS!$R$29,A105&lt;=CARGAS!$R$30),tanque2,0)</f>
        <v>0</v>
      </c>
      <c r="H105" s="22">
        <f>IF(AND(A105&gt;CARGAS!$U$29,A105&lt;=CARGAS!$U$30),tanque3,0)</f>
        <v>411.26400000000001</v>
      </c>
      <c r="I105" s="22">
        <f>IF(AND(A105&gt;CARGAS!$X$29,A105&lt;=CARGAS!$X$30),tanque4,0)</f>
        <v>0</v>
      </c>
      <c r="J105" s="22">
        <f>IF(AND(A105&gt;CARGAS!$AA$29,A105&lt;=CARGAS!$AA$30),tanque5,0)</f>
        <v>0</v>
      </c>
      <c r="K105" s="22">
        <f>IF(AND($A105&gt;CARGAS!$AD$29,$A105&lt;=CARGAS!$AD$30),tanque6,0)</f>
        <v>0</v>
      </c>
      <c r="L105" s="22">
        <f>IF(AND($A105&gt;CARGAS!$AG$29,$A105&lt;=CARGAS!$AG$30),tanque7,0)</f>
        <v>0</v>
      </c>
      <c r="M105" s="22">
        <f>IF(AND($A105&gt;CARGAS!$AJ$29,$A105&lt;=CARGAS!$AJ$30),tanque8,0)</f>
        <v>0</v>
      </c>
      <c r="N105" s="22">
        <f t="shared" si="10"/>
        <v>546.46818685714277</v>
      </c>
      <c r="O105" s="22">
        <f t="shared" si="14"/>
        <v>16.742447172927005</v>
      </c>
      <c r="P105" s="22">
        <f>O105*Equilibrio!Y$39*Equilibrio!Y$38*DADOS!C$4</f>
        <v>514.83025056750535</v>
      </c>
      <c r="Q105" s="22">
        <f t="shared" si="11"/>
        <v>31.637936289637423</v>
      </c>
      <c r="R105" s="22">
        <f t="shared" si="12"/>
        <v>-19583.781355891231</v>
      </c>
      <c r="S105" s="22">
        <f t="shared" si="13"/>
        <v>-650855.63053466182</v>
      </c>
      <c r="T105" s="22">
        <f t="shared" si="15"/>
        <v>56832.691433142849</v>
      </c>
    </row>
    <row r="106" spans="1:20" x14ac:dyDescent="0.25">
      <c r="A106" s="21">
        <v>105</v>
      </c>
      <c r="B106" s="22">
        <f>CARGAS!$C$40*Equilibrio!A106^2+CARGAS!$D$40*Equilibrio!A106+CARGAS!$E$40</f>
        <v>116.27279999999993</v>
      </c>
      <c r="C106" s="22">
        <f>CARGAS!$C$53*Equilibrio!A106^2+CARGAS!$D$53*Equilibrio!A106+CARGAS!$E$53</f>
        <v>19.378799999999995</v>
      </c>
      <c r="D106">
        <f>IF(posisup=1,IF(A106&lt;=CARGAS!$E$68,sup,0),IF(posisup=2,IF(AND(A106&lt;=CARGAS!$E$69,A106&gt;=CARGAS!$D$69),sup,0),IF(posisup=3,IF(AND(A106&lt;=CARGAS!$E$70,A106&gt;=CARGAS!$D$70),sup,0),0)))</f>
        <v>0</v>
      </c>
      <c r="E106">
        <f>IF(A106&lt;=CARGAS!$H$25,CARGAS!$I$20,0)</f>
        <v>0</v>
      </c>
      <c r="F106" s="22">
        <f>IF(AND(A106&gt;CARGAS!$O$29,A106&lt;=CARGAS!$O$30),tanque1,0)</f>
        <v>0</v>
      </c>
      <c r="G106" s="22">
        <f>IF(AND(A106&gt;CARGAS!$R$29,A106&lt;=CARGAS!$R$30),tanque2,0)</f>
        <v>0</v>
      </c>
      <c r="H106" s="22">
        <f>IF(AND(A106&gt;CARGAS!$U$29,A106&lt;=CARGAS!$U$30),tanque3,0)</f>
        <v>411.26400000000001</v>
      </c>
      <c r="I106" s="22">
        <f>IF(AND(A106&gt;CARGAS!$X$29,A106&lt;=CARGAS!$X$30),tanque4,0)</f>
        <v>0</v>
      </c>
      <c r="J106" s="22">
        <f>IF(AND(A106&gt;CARGAS!$AA$29,A106&lt;=CARGAS!$AA$30),tanque5,0)</f>
        <v>0</v>
      </c>
      <c r="K106" s="22">
        <f>IF(AND($A106&gt;CARGAS!$AD$29,$A106&lt;=CARGAS!$AD$30),tanque6,0)</f>
        <v>0</v>
      </c>
      <c r="L106" s="22">
        <f>IF(AND($A106&gt;CARGAS!$AG$29,$A106&lt;=CARGAS!$AG$30),tanque7,0)</f>
        <v>0</v>
      </c>
      <c r="M106" s="22">
        <f>IF(AND($A106&gt;CARGAS!$AJ$29,$A106&lt;=CARGAS!$AJ$30),tanque8,0)</f>
        <v>0</v>
      </c>
      <c r="N106" s="22">
        <f t="shared" si="10"/>
        <v>546.91559999999993</v>
      </c>
      <c r="O106" s="22">
        <f t="shared" si="14"/>
        <v>16.600086373686786</v>
      </c>
      <c r="P106" s="22">
        <f>O106*Equilibrio!Y$39*Equilibrio!Y$38*DADOS!C$4</f>
        <v>510.45265599086866</v>
      </c>
      <c r="Q106" s="22">
        <f t="shared" si="11"/>
        <v>36.462944009131263</v>
      </c>
      <c r="R106" s="22">
        <f t="shared" si="12"/>
        <v>-19547.318411882101</v>
      </c>
      <c r="S106" s="22">
        <f t="shared" si="13"/>
        <v>-670402.94894654397</v>
      </c>
      <c r="T106" s="22">
        <f t="shared" si="15"/>
        <v>57426.137999999992</v>
      </c>
    </row>
    <row r="107" spans="1:20" x14ac:dyDescent="0.25">
      <c r="A107" s="21">
        <v>106</v>
      </c>
      <c r="B107" s="22">
        <f>CARGAS!$C$40*Equilibrio!A107^2+CARGAS!$D$40*Equilibrio!A107+CARGAS!$E$40</f>
        <v>116.65085730612239</v>
      </c>
      <c r="C107" s="22">
        <f>CARGAS!$C$53*Equilibrio!A107^2+CARGAS!$D$53*Equilibrio!A107+CARGAS!$E$53</f>
        <v>19.441809551020405</v>
      </c>
      <c r="D107">
        <f>IF(posisup=1,IF(A107&lt;=CARGAS!$E$68,sup,0),IF(posisup=2,IF(AND(A107&lt;=CARGAS!$E$69,A107&gt;=CARGAS!$D$69),sup,0),IF(posisup=3,IF(AND(A107&lt;=CARGAS!$E$70,A107&gt;=CARGAS!$D$70),sup,0),0)))</f>
        <v>0</v>
      </c>
      <c r="E107">
        <f>IF(A107&lt;=CARGAS!$H$25,CARGAS!$I$20,0)</f>
        <v>0</v>
      </c>
      <c r="F107" s="22">
        <f>IF(AND(A107&gt;CARGAS!$O$29,A107&lt;=CARGAS!$O$30),tanque1,0)</f>
        <v>0</v>
      </c>
      <c r="G107" s="22">
        <f>IF(AND(A107&gt;CARGAS!$R$29,A107&lt;=CARGAS!$R$30),tanque2,0)</f>
        <v>0</v>
      </c>
      <c r="H107" s="22">
        <f>IF(AND(A107&gt;CARGAS!$U$29,A107&lt;=CARGAS!$U$30),tanque3,0)</f>
        <v>411.26400000000001</v>
      </c>
      <c r="I107" s="22">
        <f>IF(AND(A107&gt;CARGAS!$X$29,A107&lt;=CARGAS!$X$30),tanque4,0)</f>
        <v>0</v>
      </c>
      <c r="J107" s="22">
        <f>IF(AND(A107&gt;CARGAS!$AA$29,A107&lt;=CARGAS!$AA$30),tanque5,0)</f>
        <v>0</v>
      </c>
      <c r="K107" s="22">
        <f>IF(AND($A107&gt;CARGAS!$AD$29,$A107&lt;=CARGAS!$AD$30),tanque6,0)</f>
        <v>0</v>
      </c>
      <c r="L107" s="22">
        <f>IF(AND($A107&gt;CARGAS!$AG$29,$A107&lt;=CARGAS!$AG$30),tanque7,0)</f>
        <v>0</v>
      </c>
      <c r="M107" s="22">
        <f>IF(AND($A107&gt;CARGAS!$AJ$29,$A107&lt;=CARGAS!$AJ$30),tanque8,0)</f>
        <v>0</v>
      </c>
      <c r="N107" s="22">
        <f t="shared" si="10"/>
        <v>547.35666685714284</v>
      </c>
      <c r="O107" s="22">
        <f t="shared" si="14"/>
        <v>16.458596944041112</v>
      </c>
      <c r="P107" s="22">
        <f>O107*Equilibrio!Y$39*Equilibrio!Y$38*DADOS!C$4</f>
        <v>506.10185602926418</v>
      </c>
      <c r="Q107" s="22">
        <f t="shared" si="11"/>
        <v>41.254810827878657</v>
      </c>
      <c r="R107" s="22">
        <f t="shared" si="12"/>
        <v>-19506.063601054222</v>
      </c>
      <c r="S107" s="22">
        <f t="shared" si="13"/>
        <v>-689909.01254759822</v>
      </c>
      <c r="T107" s="22">
        <f t="shared" si="15"/>
        <v>58019.80668685714</v>
      </c>
    </row>
    <row r="108" spans="1:20" x14ac:dyDescent="0.25">
      <c r="A108" s="21">
        <v>107</v>
      </c>
      <c r="B108" s="22">
        <f>CARGAS!$C$40*Equilibrio!A108^2+CARGAS!$D$40*Equilibrio!A108+CARGAS!$E$40</f>
        <v>117.02347493877545</v>
      </c>
      <c r="C108" s="22">
        <f>CARGAS!$C$53*Equilibrio!A108^2+CARGAS!$D$53*Equilibrio!A108+CARGAS!$E$53</f>
        <v>19.503912489795912</v>
      </c>
      <c r="D108">
        <f>IF(posisup=1,IF(A108&lt;=CARGAS!$E$68,sup,0),IF(posisup=2,IF(AND(A108&lt;=CARGAS!$E$69,A108&gt;=CARGAS!$D$69),sup,0),IF(posisup=3,IF(AND(A108&lt;=CARGAS!$E$70,A108&gt;=CARGAS!$D$70),sup,0),0)))</f>
        <v>0</v>
      </c>
      <c r="E108">
        <f>IF(A108&lt;=CARGAS!$H$25,CARGAS!$I$20,0)</f>
        <v>0</v>
      </c>
      <c r="F108" s="22">
        <f>IF(AND(A108&gt;CARGAS!$O$29,A108&lt;=CARGAS!$O$30),tanque1,0)</f>
        <v>0</v>
      </c>
      <c r="G108" s="22">
        <f>IF(AND(A108&gt;CARGAS!$R$29,A108&lt;=CARGAS!$R$30),tanque2,0)</f>
        <v>0</v>
      </c>
      <c r="H108" s="22">
        <f>IF(AND(A108&gt;CARGAS!$U$29,A108&lt;=CARGAS!$U$30),tanque3,0)</f>
        <v>411.26400000000001</v>
      </c>
      <c r="I108" s="22">
        <f>IF(AND(A108&gt;CARGAS!$X$29,A108&lt;=CARGAS!$X$30),tanque4,0)</f>
        <v>0</v>
      </c>
      <c r="J108" s="22">
        <f>IF(AND(A108&gt;CARGAS!$AA$29,A108&lt;=CARGAS!$AA$30),tanque5,0)</f>
        <v>0</v>
      </c>
      <c r="K108" s="22">
        <f>IF(AND($A108&gt;CARGAS!$AD$29,$A108&lt;=CARGAS!$AD$30),tanque6,0)</f>
        <v>0</v>
      </c>
      <c r="L108" s="22">
        <f>IF(AND($A108&gt;CARGAS!$AG$29,$A108&lt;=CARGAS!$AG$30),tanque7,0)</f>
        <v>0</v>
      </c>
      <c r="M108" s="22">
        <f>IF(AND($A108&gt;CARGAS!$AJ$29,$A108&lt;=CARGAS!$AJ$30),tanque8,0)</f>
        <v>0</v>
      </c>
      <c r="N108" s="22">
        <f t="shared" si="10"/>
        <v>547.7913874285714</v>
      </c>
      <c r="O108" s="22">
        <f t="shared" si="14"/>
        <v>16.318026884556986</v>
      </c>
      <c r="P108" s="22">
        <f>O108*Equilibrio!Y$39*Equilibrio!Y$38*DADOS!C$4</f>
        <v>501.77932670012729</v>
      </c>
      <c r="Q108" s="22">
        <f t="shared" si="11"/>
        <v>46.012060728444112</v>
      </c>
      <c r="R108" s="22">
        <f t="shared" si="12"/>
        <v>-19460.051540325778</v>
      </c>
      <c r="S108" s="22">
        <f t="shared" si="13"/>
        <v>-709369.06408792397</v>
      </c>
      <c r="T108" s="22">
        <f t="shared" si="15"/>
        <v>58613.678454857138</v>
      </c>
    </row>
    <row r="109" spans="1:20" x14ac:dyDescent="0.25">
      <c r="A109" s="21">
        <v>108</v>
      </c>
      <c r="B109" s="22">
        <f>CARGAS!$C$40*Equilibrio!A109^2+CARGAS!$D$40*Equilibrio!A109+CARGAS!$E$40</f>
        <v>117.39065289795911</v>
      </c>
      <c r="C109" s="22">
        <f>CARGAS!$C$53*Equilibrio!A109^2+CARGAS!$D$53*Equilibrio!A109+CARGAS!$E$53</f>
        <v>19.565108816326525</v>
      </c>
      <c r="D109">
        <f>IF(posisup=1,IF(A109&lt;=CARGAS!$E$68,sup,0),IF(posisup=2,IF(AND(A109&lt;=CARGAS!$E$69,A109&gt;=CARGAS!$D$69),sup,0),IF(posisup=3,IF(AND(A109&lt;=CARGAS!$E$70,A109&gt;=CARGAS!$D$70),sup,0),0)))</f>
        <v>0</v>
      </c>
      <c r="E109">
        <f>IF(A109&lt;=CARGAS!$H$25,CARGAS!$I$20,0)</f>
        <v>0</v>
      </c>
      <c r="F109" s="22">
        <f>IF(AND(A109&gt;CARGAS!$O$29,A109&lt;=CARGAS!$O$30),tanque1,0)</f>
        <v>0</v>
      </c>
      <c r="G109" s="22">
        <f>IF(AND(A109&gt;CARGAS!$R$29,A109&lt;=CARGAS!$R$30),tanque2,0)</f>
        <v>0</v>
      </c>
      <c r="H109" s="22">
        <f>IF(AND(A109&gt;CARGAS!$U$29,A109&lt;=CARGAS!$U$30),tanque3,0)</f>
        <v>411.26400000000001</v>
      </c>
      <c r="I109" s="22">
        <f>IF(AND(A109&gt;CARGAS!$X$29,A109&lt;=CARGAS!$X$30),tanque4,0)</f>
        <v>0</v>
      </c>
      <c r="J109" s="22">
        <f>IF(AND(A109&gt;CARGAS!$AA$29,A109&lt;=CARGAS!$AA$30),tanque5,0)</f>
        <v>0</v>
      </c>
      <c r="K109" s="22">
        <f>IF(AND($A109&gt;CARGAS!$AD$29,$A109&lt;=CARGAS!$AD$30),tanque6,0)</f>
        <v>0</v>
      </c>
      <c r="L109" s="22">
        <f>IF(AND($A109&gt;CARGAS!$AG$29,$A109&lt;=CARGAS!$AG$30),tanque7,0)</f>
        <v>0</v>
      </c>
      <c r="M109" s="22">
        <f>IF(AND($A109&gt;CARGAS!$AJ$29,$A109&lt;=CARGAS!$AJ$30),tanque8,0)</f>
        <v>0</v>
      </c>
      <c r="N109" s="22">
        <f t="shared" si="10"/>
        <v>548.2197617142856</v>
      </c>
      <c r="O109" s="22">
        <f t="shared" si="14"/>
        <v>16.178423899521352</v>
      </c>
      <c r="P109" s="22">
        <f>O109*Equilibrio!Y$39*Equilibrio!Y$38*DADOS!C$4</f>
        <v>497.48653491028153</v>
      </c>
      <c r="Q109" s="22">
        <f t="shared" si="11"/>
        <v>50.733226804004062</v>
      </c>
      <c r="R109" s="22">
        <f t="shared" si="12"/>
        <v>-19409.318313521773</v>
      </c>
      <c r="S109" s="22">
        <f t="shared" si="13"/>
        <v>-728778.38240144576</v>
      </c>
      <c r="T109" s="22">
        <f t="shared" si="15"/>
        <v>59207.734265142848</v>
      </c>
    </row>
    <row r="110" spans="1:20" x14ac:dyDescent="0.25">
      <c r="A110" s="21">
        <v>109</v>
      </c>
      <c r="B110" s="22">
        <f>CARGAS!$C$40*Equilibrio!A110^2+CARGAS!$D$40*Equilibrio!A110+CARGAS!$E$40</f>
        <v>117.75239118367341</v>
      </c>
      <c r="C110" s="22">
        <f>CARGAS!$C$53*Equilibrio!A110^2+CARGAS!$D$53*Equilibrio!A110+CARGAS!$E$53</f>
        <v>19.625398530612237</v>
      </c>
      <c r="D110">
        <f>IF(posisup=1,IF(A110&lt;=CARGAS!$E$68,sup,0),IF(posisup=2,IF(AND(A110&lt;=CARGAS!$E$69,A110&gt;=CARGAS!$D$69),sup,0),IF(posisup=3,IF(AND(A110&lt;=CARGAS!$E$70,A110&gt;=CARGAS!$D$70),sup,0),0)))</f>
        <v>0</v>
      </c>
      <c r="E110">
        <f>IF(A110&lt;=CARGAS!$H$25,CARGAS!$I$20,0)</f>
        <v>0</v>
      </c>
      <c r="F110" s="22">
        <f>IF(AND(A110&gt;CARGAS!$O$29,A110&lt;=CARGAS!$O$30),tanque1,0)</f>
        <v>0</v>
      </c>
      <c r="G110" s="22">
        <f>IF(AND(A110&gt;CARGAS!$R$29,A110&lt;=CARGAS!$R$30),tanque2,0)</f>
        <v>0</v>
      </c>
      <c r="H110" s="22">
        <f>IF(AND(A110&gt;CARGAS!$U$29,A110&lt;=CARGAS!$U$30),tanque3,0)</f>
        <v>411.26400000000001</v>
      </c>
      <c r="I110" s="22">
        <f>IF(AND(A110&gt;CARGAS!$X$29,A110&lt;=CARGAS!$X$30),tanque4,0)</f>
        <v>0</v>
      </c>
      <c r="J110" s="22">
        <f>IF(AND(A110&gt;CARGAS!$AA$29,A110&lt;=CARGAS!$AA$30),tanque5,0)</f>
        <v>0</v>
      </c>
      <c r="K110" s="22">
        <f>IF(AND($A110&gt;CARGAS!$AD$29,$A110&lt;=CARGAS!$AD$30),tanque6,0)</f>
        <v>0</v>
      </c>
      <c r="L110" s="22">
        <f>IF(AND($A110&gt;CARGAS!$AG$29,$A110&lt;=CARGAS!$AG$30),tanque7,0)</f>
        <v>0</v>
      </c>
      <c r="M110" s="22">
        <f>IF(AND($A110&gt;CARGAS!$AJ$29,$A110&lt;=CARGAS!$AJ$30),tanque8,0)</f>
        <v>0</v>
      </c>
      <c r="N110" s="22">
        <f t="shared" si="10"/>
        <v>548.64178971428566</v>
      </c>
      <c r="O110" s="22">
        <f t="shared" si="14"/>
        <v>16.039835381567759</v>
      </c>
      <c r="P110" s="22">
        <f>O110*Equilibrio!Y$39*Equilibrio!Y$38*DADOS!C$4</f>
        <v>493.22493798320852</v>
      </c>
      <c r="Q110" s="22">
        <f t="shared" si="11"/>
        <v>55.416851731077145</v>
      </c>
      <c r="R110" s="22">
        <f t="shared" si="12"/>
        <v>-19353.901461790698</v>
      </c>
      <c r="S110" s="22">
        <f t="shared" si="13"/>
        <v>-748132.28386323643</v>
      </c>
      <c r="T110" s="22">
        <f t="shared" si="15"/>
        <v>59801.955078857136</v>
      </c>
    </row>
    <row r="111" spans="1:20" x14ac:dyDescent="0.25">
      <c r="A111" s="21">
        <v>110</v>
      </c>
      <c r="B111" s="22">
        <f>CARGAS!$C$40*Equilibrio!A111^2+CARGAS!$D$40*Equilibrio!A111+CARGAS!$E$40</f>
        <v>118.10868979591831</v>
      </c>
      <c r="C111" s="22">
        <f>CARGAS!$C$53*Equilibrio!A111^2+CARGAS!$D$53*Equilibrio!A111+CARGAS!$E$53</f>
        <v>19.684781632653056</v>
      </c>
      <c r="D111">
        <f>IF(posisup=1,IF(A111&lt;=CARGAS!$E$68,sup,0),IF(posisup=2,IF(AND(A111&lt;=CARGAS!$E$69,A111&gt;=CARGAS!$D$69),sup,0),IF(posisup=3,IF(AND(A111&lt;=CARGAS!$E$70,A111&gt;=CARGAS!$D$70),sup,0),0)))</f>
        <v>0</v>
      </c>
      <c r="E111">
        <f>IF(A111&lt;=CARGAS!$H$25,CARGAS!$I$20,0)</f>
        <v>0</v>
      </c>
      <c r="F111" s="22">
        <f>IF(AND(A111&gt;CARGAS!$O$29,A111&lt;=CARGAS!$O$30),tanque1,0)</f>
        <v>0</v>
      </c>
      <c r="G111" s="22">
        <f>IF(AND(A111&gt;CARGAS!$R$29,A111&lt;=CARGAS!$R$30),tanque2,0)</f>
        <v>0</v>
      </c>
      <c r="H111" s="22">
        <f>IF(AND(A111&gt;CARGAS!$U$29,A111&lt;=CARGAS!$U$30),tanque3,0)</f>
        <v>411.26400000000001</v>
      </c>
      <c r="I111" s="22">
        <f>IF(AND(A111&gt;CARGAS!$X$29,A111&lt;=CARGAS!$X$30),tanque4,0)</f>
        <v>0</v>
      </c>
      <c r="J111" s="22">
        <f>IF(AND(A111&gt;CARGAS!$AA$29,A111&lt;=CARGAS!$AA$30),tanque5,0)</f>
        <v>0</v>
      </c>
      <c r="K111" s="22">
        <f>IF(AND($A111&gt;CARGAS!$AD$29,$A111&lt;=CARGAS!$AD$30),tanque6,0)</f>
        <v>0</v>
      </c>
      <c r="L111" s="22">
        <f>IF(AND($A111&gt;CARGAS!$AG$29,$A111&lt;=CARGAS!$AG$30),tanque7,0)</f>
        <v>0</v>
      </c>
      <c r="M111" s="22">
        <f>IF(AND($A111&gt;CARGAS!$AJ$29,$A111&lt;=CARGAS!$AJ$30),tanque8,0)</f>
        <v>0</v>
      </c>
      <c r="N111" s="22">
        <f t="shared" si="10"/>
        <v>549.05747142857138</v>
      </c>
      <c r="O111" s="22">
        <f t="shared" si="14"/>
        <v>15.902308396403384</v>
      </c>
      <c r="P111" s="22">
        <f>O111*Equilibrio!Y$39*Equilibrio!Y$38*DADOS!C$4</f>
        <v>488.995983189404</v>
      </c>
      <c r="Q111" s="22">
        <f t="shared" si="11"/>
        <v>60.061488239167375</v>
      </c>
      <c r="R111" s="22">
        <f t="shared" si="12"/>
        <v>-19293.83997355153</v>
      </c>
      <c r="S111" s="22">
        <f t="shared" si="13"/>
        <v>-767426.123836788</v>
      </c>
      <c r="T111" s="22">
        <f t="shared" si="15"/>
        <v>60396.321857142852</v>
      </c>
    </row>
    <row r="112" spans="1:20" x14ac:dyDescent="0.25">
      <c r="A112" s="21">
        <v>111</v>
      </c>
      <c r="B112" s="22">
        <f>CARGAS!$C$40*Equilibrio!A112^2+CARGAS!$D$40*Equilibrio!A112+CARGAS!$E$40</f>
        <v>118.45954873469381</v>
      </c>
      <c r="C112" s="22">
        <f>CARGAS!$C$53*Equilibrio!A112^2+CARGAS!$D$53*Equilibrio!A112+CARGAS!$E$53</f>
        <v>19.743258122448974</v>
      </c>
      <c r="D112">
        <f>IF(posisup=1,IF(A112&lt;=CARGAS!$E$68,sup,0),IF(posisup=2,IF(AND(A112&lt;=CARGAS!$E$69,A112&gt;=CARGAS!$D$69),sup,0),IF(posisup=3,IF(AND(A112&lt;=CARGAS!$E$70,A112&gt;=CARGAS!$D$70),sup,0),0)))</f>
        <v>0</v>
      </c>
      <c r="E112">
        <f>IF(A112&lt;=CARGAS!$H$25,CARGAS!$I$20,0)</f>
        <v>0</v>
      </c>
      <c r="F112" s="22">
        <f>IF(AND(A112&gt;CARGAS!$O$29,A112&lt;=CARGAS!$O$30),tanque1,0)</f>
        <v>0</v>
      </c>
      <c r="G112" s="22">
        <f>IF(AND(A112&gt;CARGAS!$R$29,A112&lt;=CARGAS!$R$30),tanque2,0)</f>
        <v>0</v>
      </c>
      <c r="H112" s="22">
        <f>IF(AND(A112&gt;CARGAS!$U$29,A112&lt;=CARGAS!$U$30),tanque3,0)</f>
        <v>411.26400000000001</v>
      </c>
      <c r="I112" s="22">
        <f>IF(AND(A112&gt;CARGAS!$X$29,A112&lt;=CARGAS!$X$30),tanque4,0)</f>
        <v>0</v>
      </c>
      <c r="J112" s="22">
        <f>IF(AND(A112&gt;CARGAS!$AA$29,A112&lt;=CARGAS!$AA$30),tanque5,0)</f>
        <v>0</v>
      </c>
      <c r="K112" s="22">
        <f>IF(AND($A112&gt;CARGAS!$AD$29,$A112&lt;=CARGAS!$AD$30),tanque6,0)</f>
        <v>0</v>
      </c>
      <c r="L112" s="22">
        <f>IF(AND($A112&gt;CARGAS!$AG$29,$A112&lt;=CARGAS!$AG$30),tanque7,0)</f>
        <v>0</v>
      </c>
      <c r="M112" s="22">
        <f>IF(AND($A112&gt;CARGAS!$AJ$29,$A112&lt;=CARGAS!$AJ$30),tanque8,0)</f>
        <v>0</v>
      </c>
      <c r="N112" s="22">
        <f t="shared" si="10"/>
        <v>549.46680685714273</v>
      </c>
      <c r="O112" s="22">
        <f t="shared" si="14"/>
        <v>15.765889667641451</v>
      </c>
      <c r="P112" s="22">
        <f>O112*Equilibrio!Y$39*Equilibrio!Y$38*DADOS!C$4</f>
        <v>484.80110727997459</v>
      </c>
      <c r="Q112" s="22">
        <f t="shared" si="11"/>
        <v>64.665699577168141</v>
      </c>
      <c r="R112" s="22">
        <f t="shared" si="12"/>
        <v>-19229.174273974364</v>
      </c>
      <c r="S112" s="22">
        <f t="shared" si="13"/>
        <v>-786655.29811076238</v>
      </c>
      <c r="T112" s="22">
        <f t="shared" si="15"/>
        <v>60990.815561142845</v>
      </c>
    </row>
    <row r="113" spans="1:20" x14ac:dyDescent="0.25">
      <c r="A113" s="21">
        <v>112</v>
      </c>
      <c r="B113" s="22">
        <f>CARGAS!$C$40*Equilibrio!A113^2+CARGAS!$D$40*Equilibrio!A113+CARGAS!$E$40</f>
        <v>118.80496799999995</v>
      </c>
      <c r="C113" s="22">
        <f>CARGAS!$C$53*Equilibrio!A113^2+CARGAS!$D$53*Equilibrio!A113+CARGAS!$E$53</f>
        <v>19.800827999999996</v>
      </c>
      <c r="D113">
        <f>IF(posisup=1,IF(A113&lt;=CARGAS!$E$68,sup,0),IF(posisup=2,IF(AND(A113&lt;=CARGAS!$E$69,A113&gt;=CARGAS!$D$69),sup,0),IF(posisup=3,IF(AND(A113&lt;=CARGAS!$E$70,A113&gt;=CARGAS!$D$70),sup,0),0)))</f>
        <v>0</v>
      </c>
      <c r="E113">
        <f>IF(A113&lt;=CARGAS!$H$25,CARGAS!$I$20,0)</f>
        <v>0</v>
      </c>
      <c r="F113" s="22">
        <f>IF(AND(A113&gt;CARGAS!$O$29,A113&lt;=CARGAS!$O$30),tanque1,0)</f>
        <v>0</v>
      </c>
      <c r="G113" s="22">
        <f>IF(AND(A113&gt;CARGAS!$R$29,A113&lt;=CARGAS!$R$30),tanque2,0)</f>
        <v>0</v>
      </c>
      <c r="H113" s="22">
        <f>IF(AND(A113&gt;CARGAS!$U$29,A113&lt;=CARGAS!$U$30),tanque3,0)</f>
        <v>411.26400000000001</v>
      </c>
      <c r="I113" s="22">
        <f>IF(AND(A113&gt;CARGAS!$X$29,A113&lt;=CARGAS!$X$30),tanque4,0)</f>
        <v>0</v>
      </c>
      <c r="J113" s="22">
        <f>IF(AND(A113&gt;CARGAS!$AA$29,A113&lt;=CARGAS!$AA$30),tanque5,0)</f>
        <v>0</v>
      </c>
      <c r="K113" s="22">
        <f>IF(AND($A113&gt;CARGAS!$AD$29,$A113&lt;=CARGAS!$AD$30),tanque6,0)</f>
        <v>0</v>
      </c>
      <c r="L113" s="22">
        <f>IF(AND($A113&gt;CARGAS!$AG$29,$A113&lt;=CARGAS!$AG$30),tanque7,0)</f>
        <v>0</v>
      </c>
      <c r="M113" s="22">
        <f>IF(AND($A113&gt;CARGAS!$AJ$29,$A113&lt;=CARGAS!$AJ$30),tanque8,0)</f>
        <v>0</v>
      </c>
      <c r="N113" s="22">
        <f t="shared" si="10"/>
        <v>549.86979599999995</v>
      </c>
      <c r="O113" s="22">
        <f t="shared" si="14"/>
        <v>15.630625561743885</v>
      </c>
      <c r="P113" s="22">
        <f>O113*Equilibrio!Y$39*Equilibrio!Y$38*DADOS!C$4</f>
        <v>480.64173602362439</v>
      </c>
      <c r="Q113" s="22">
        <f t="shared" si="11"/>
        <v>69.228059976375562</v>
      </c>
      <c r="R113" s="22">
        <f t="shared" si="12"/>
        <v>-19159.946213997988</v>
      </c>
      <c r="S113" s="22">
        <f t="shared" si="13"/>
        <v>-805815.2443247604</v>
      </c>
      <c r="T113" s="22">
        <f t="shared" si="15"/>
        <v>61585.417151999995</v>
      </c>
    </row>
    <row r="114" spans="1:20" x14ac:dyDescent="0.25">
      <c r="A114" s="21">
        <v>113</v>
      </c>
      <c r="B114" s="22">
        <f>CARGAS!$C$40*Equilibrio!A114^2+CARGAS!$D$40*Equilibrio!A114+CARGAS!$E$40</f>
        <v>119.14494759183667</v>
      </c>
      <c r="C114" s="22">
        <f>CARGAS!$C$53*Equilibrio!A114^2+CARGAS!$D$53*Equilibrio!A114+CARGAS!$E$53</f>
        <v>19.857491265306116</v>
      </c>
      <c r="D114">
        <f>IF(posisup=1,IF(A114&lt;=CARGAS!$E$68,sup,0),IF(posisup=2,IF(AND(A114&lt;=CARGAS!$E$69,A114&gt;=CARGAS!$D$69),sup,0),IF(posisup=3,IF(AND(A114&lt;=CARGAS!$E$70,A114&gt;=CARGAS!$D$70),sup,0),0)))</f>
        <v>0</v>
      </c>
      <c r="E114">
        <f>IF(A114&lt;=CARGAS!$H$25,CARGAS!$I$20,0)</f>
        <v>0</v>
      </c>
      <c r="F114" s="22">
        <f>IF(AND(A114&gt;CARGAS!$O$29,A114&lt;=CARGAS!$O$30),tanque1,0)</f>
        <v>0</v>
      </c>
      <c r="G114" s="22">
        <f>IF(AND(A114&gt;CARGAS!$R$29,A114&lt;=CARGAS!$R$30),tanque2,0)</f>
        <v>0</v>
      </c>
      <c r="H114" s="22">
        <f>IF(AND(A114&gt;CARGAS!$U$29,A114&lt;=CARGAS!$U$30),tanque3,0)</f>
        <v>411.26400000000001</v>
      </c>
      <c r="I114" s="22">
        <f>IF(AND(A114&gt;CARGAS!$X$29,A114&lt;=CARGAS!$X$30),tanque4,0)</f>
        <v>0</v>
      </c>
      <c r="J114" s="22">
        <f>IF(AND(A114&gt;CARGAS!$AA$29,A114&lt;=CARGAS!$AA$30),tanque5,0)</f>
        <v>0</v>
      </c>
      <c r="K114" s="22">
        <f>IF(AND($A114&gt;CARGAS!$AD$29,$A114&lt;=CARGAS!$AD$30),tanque6,0)</f>
        <v>0</v>
      </c>
      <c r="L114" s="22">
        <f>IF(AND($A114&gt;CARGAS!$AG$29,$A114&lt;=CARGAS!$AG$30),tanque7,0)</f>
        <v>0</v>
      </c>
      <c r="M114" s="22">
        <f>IF(AND($A114&gt;CARGAS!$AJ$29,$A114&lt;=CARGAS!$AJ$30),tanque8,0)</f>
        <v>0</v>
      </c>
      <c r="N114" s="22">
        <f t="shared" si="10"/>
        <v>550.26643885714282</v>
      </c>
      <c r="O114" s="22">
        <f t="shared" si="14"/>
        <v>15.496562073079069</v>
      </c>
      <c r="P114" s="22">
        <f>O114*Equilibrio!Y$39*Equilibrio!Y$38*DADOS!C$4</f>
        <v>476.51928374718136</v>
      </c>
      <c r="Q114" s="22">
        <f t="shared" si="11"/>
        <v>73.747155109961454</v>
      </c>
      <c r="R114" s="22">
        <f t="shared" si="12"/>
        <v>-19086.199058888025</v>
      </c>
      <c r="S114" s="22">
        <f t="shared" si="13"/>
        <v>-824901.44338364841</v>
      </c>
      <c r="T114" s="22">
        <f t="shared" si="15"/>
        <v>62180.107590857137</v>
      </c>
    </row>
    <row r="115" spans="1:20" x14ac:dyDescent="0.25">
      <c r="A115" s="21">
        <v>114</v>
      </c>
      <c r="B115" s="22">
        <f>CARGAS!$C$40*Equilibrio!A115^2+CARGAS!$D$40*Equilibrio!A115+CARGAS!$E$40</f>
        <v>119.47948751020402</v>
      </c>
      <c r="C115" s="22">
        <f>CARGAS!$C$53*Equilibrio!A115^2+CARGAS!$D$53*Equilibrio!A115+CARGAS!$E$53</f>
        <v>19.913247918367343</v>
      </c>
      <c r="D115">
        <f>IF(posisup=1,IF(A115&lt;=CARGAS!$E$68,sup,0),IF(posisup=2,IF(AND(A115&lt;=CARGAS!$E$69,A115&gt;=CARGAS!$D$69),sup,0),IF(posisup=3,IF(AND(A115&lt;=CARGAS!$E$70,A115&gt;=CARGAS!$D$70),sup,0),0)))</f>
        <v>0</v>
      </c>
      <c r="E115">
        <f>IF(A115&lt;=CARGAS!$H$25,CARGAS!$I$20,0)</f>
        <v>0</v>
      </c>
      <c r="F115" s="22">
        <f>IF(AND(A115&gt;CARGAS!$O$29,A115&lt;=CARGAS!$O$30),tanque1,0)</f>
        <v>0</v>
      </c>
      <c r="G115" s="22">
        <f>IF(AND(A115&gt;CARGAS!$R$29,A115&lt;=CARGAS!$R$30),tanque2,0)</f>
        <v>0</v>
      </c>
      <c r="H115" s="22">
        <f>IF(AND(A115&gt;CARGAS!$U$29,A115&lt;=CARGAS!$U$30),tanque3,0)</f>
        <v>411.26400000000001</v>
      </c>
      <c r="I115" s="22">
        <f>IF(AND(A115&gt;CARGAS!$X$29,A115&lt;=CARGAS!$X$30),tanque4,0)</f>
        <v>0</v>
      </c>
      <c r="J115" s="22">
        <f>IF(AND(A115&gt;CARGAS!$AA$29,A115&lt;=CARGAS!$AA$30),tanque5,0)</f>
        <v>0</v>
      </c>
      <c r="K115" s="22">
        <f>IF(AND($A115&gt;CARGAS!$AD$29,$A115&lt;=CARGAS!$AD$30),tanque6,0)</f>
        <v>0</v>
      </c>
      <c r="L115" s="22">
        <f>IF(AND($A115&gt;CARGAS!$AG$29,$A115&lt;=CARGAS!$AG$30),tanque7,0)</f>
        <v>0</v>
      </c>
      <c r="M115" s="22">
        <f>IF(AND($A115&gt;CARGAS!$AJ$29,$A115&lt;=CARGAS!$AJ$30),tanque8,0)</f>
        <v>0</v>
      </c>
      <c r="N115" s="22">
        <f t="shared" si="10"/>
        <v>550.65673542857144</v>
      </c>
      <c r="O115" s="22">
        <f t="shared" si="14"/>
        <v>15.36374480909949</v>
      </c>
      <c r="P115" s="22">
        <f>O115*Equilibrio!Y$39*Equilibrio!Y$38*DADOS!C$4</f>
        <v>472.43515287980927</v>
      </c>
      <c r="Q115" s="22">
        <f t="shared" si="11"/>
        <v>78.221582548762171</v>
      </c>
      <c r="R115" s="22">
        <f t="shared" si="12"/>
        <v>-19007.977476339263</v>
      </c>
      <c r="S115" s="22">
        <f t="shared" si="13"/>
        <v>-843909.42085998761</v>
      </c>
      <c r="T115" s="22">
        <f t="shared" si="15"/>
        <v>62774.867838857142</v>
      </c>
    </row>
    <row r="116" spans="1:20" x14ac:dyDescent="0.25">
      <c r="A116" s="21">
        <v>115</v>
      </c>
      <c r="B116" s="22">
        <f>CARGAS!$C$40*Equilibrio!A116^2+CARGAS!$D$40*Equilibrio!A116+CARGAS!$E$40</f>
        <v>119.80858775510198</v>
      </c>
      <c r="C116" s="22">
        <f>CARGAS!$C$53*Equilibrio!A116^2+CARGAS!$D$53*Equilibrio!A116+CARGAS!$E$53</f>
        <v>19.968097959183666</v>
      </c>
      <c r="D116">
        <f>IF(posisup=1,IF(A116&lt;=CARGAS!$E$68,sup,0),IF(posisup=2,IF(AND(A116&lt;=CARGAS!$E$69,A116&gt;=CARGAS!$D$69),sup,0),IF(posisup=3,IF(AND(A116&lt;=CARGAS!$E$70,A116&gt;=CARGAS!$D$70),sup,0),0)))</f>
        <v>0</v>
      </c>
      <c r="E116">
        <f>IF(A116&lt;=CARGAS!$H$25,CARGAS!$I$20,0)</f>
        <v>0</v>
      </c>
      <c r="F116" s="22">
        <f>IF(AND(A116&gt;CARGAS!$O$29,A116&lt;=CARGAS!$O$30),tanque1,0)</f>
        <v>0</v>
      </c>
      <c r="G116" s="22">
        <f>IF(AND(A116&gt;CARGAS!$R$29,A116&lt;=CARGAS!$R$30),tanque2,0)</f>
        <v>0</v>
      </c>
      <c r="H116" s="22">
        <f>IF(AND(A116&gt;CARGAS!$U$29,A116&lt;=CARGAS!$U$30),tanque3,0)</f>
        <v>411.26400000000001</v>
      </c>
      <c r="I116" s="22">
        <f>IF(AND(A116&gt;CARGAS!$X$29,A116&lt;=CARGAS!$X$30),tanque4,0)</f>
        <v>0</v>
      </c>
      <c r="J116" s="22">
        <f>IF(AND(A116&gt;CARGAS!$AA$29,A116&lt;=CARGAS!$AA$30),tanque5,0)</f>
        <v>0</v>
      </c>
      <c r="K116" s="22">
        <f>IF(AND($A116&gt;CARGAS!$AD$29,$A116&lt;=CARGAS!$AD$30),tanque6,0)</f>
        <v>0</v>
      </c>
      <c r="L116" s="22">
        <f>IF(AND($A116&gt;CARGAS!$AG$29,$A116&lt;=CARGAS!$AG$30),tanque7,0)</f>
        <v>0</v>
      </c>
      <c r="M116" s="22">
        <f>IF(AND($A116&gt;CARGAS!$AJ$29,$A116&lt;=CARGAS!$AJ$30),tanque8,0)</f>
        <v>0</v>
      </c>
      <c r="N116" s="22">
        <f t="shared" si="10"/>
        <v>551.0406857142857</v>
      </c>
      <c r="O116" s="22">
        <f t="shared" si="14"/>
        <v>15.23221897564412</v>
      </c>
      <c r="P116" s="22">
        <f>O116*Equilibrio!Y$39*Equilibrio!Y$38*DADOS!C$4</f>
        <v>468.39073350105662</v>
      </c>
      <c r="Q116" s="22">
        <f t="shared" si="11"/>
        <v>82.649952213229085</v>
      </c>
      <c r="R116" s="22">
        <f t="shared" si="12"/>
        <v>-18925.327524126034</v>
      </c>
      <c r="S116" s="22">
        <f t="shared" si="13"/>
        <v>-862834.74838411366</v>
      </c>
      <c r="T116" s="22">
        <f t="shared" si="15"/>
        <v>63369.678857142855</v>
      </c>
    </row>
    <row r="117" spans="1:20" x14ac:dyDescent="0.25">
      <c r="A117" s="21">
        <v>116</v>
      </c>
      <c r="B117" s="22">
        <f>CARGAS!$C$40*Equilibrio!A117^2+CARGAS!$D$40*Equilibrio!A117+CARGAS!$E$40</f>
        <v>120.13224832653054</v>
      </c>
      <c r="C117" s="22">
        <f>CARGAS!$C$53*Equilibrio!A117^2+CARGAS!$D$53*Equilibrio!A117+CARGAS!$E$53</f>
        <v>20.022041387755099</v>
      </c>
      <c r="D117">
        <f>IF(posisup=1,IF(A117&lt;=CARGAS!$E$68,sup,0),IF(posisup=2,IF(AND(A117&lt;=CARGAS!$E$69,A117&gt;=CARGAS!$D$69),sup,0),IF(posisup=3,IF(AND(A117&lt;=CARGAS!$E$70,A117&gt;=CARGAS!$D$70),sup,0),0)))</f>
        <v>0</v>
      </c>
      <c r="E117">
        <f>IF(A117&lt;=CARGAS!$H$25,CARGAS!$I$20,0)</f>
        <v>0</v>
      </c>
      <c r="F117" s="22">
        <f>IF(AND(A117&gt;CARGAS!$O$29,A117&lt;=CARGAS!$O$30),tanque1,0)</f>
        <v>0</v>
      </c>
      <c r="G117" s="22">
        <f>IF(AND(A117&gt;CARGAS!$R$29,A117&lt;=CARGAS!$R$30),tanque2,0)</f>
        <v>0</v>
      </c>
      <c r="H117" s="22">
        <f>IF(AND(A117&gt;CARGAS!$U$29,A117&lt;=CARGAS!$U$30),tanque3,0)</f>
        <v>411.26400000000001</v>
      </c>
      <c r="I117" s="22">
        <f>IF(AND(A117&gt;CARGAS!$X$29,A117&lt;=CARGAS!$X$30),tanque4,0)</f>
        <v>0</v>
      </c>
      <c r="J117" s="22">
        <f>IF(AND(A117&gt;CARGAS!$AA$29,A117&lt;=CARGAS!$AA$30),tanque5,0)</f>
        <v>0</v>
      </c>
      <c r="K117" s="22">
        <f>IF(AND($A117&gt;CARGAS!$AD$29,$A117&lt;=CARGAS!$AD$30),tanque6,0)</f>
        <v>0</v>
      </c>
      <c r="L117" s="22">
        <f>IF(AND($A117&gt;CARGAS!$AG$29,$A117&lt;=CARGAS!$AG$30),tanque7,0)</f>
        <v>0</v>
      </c>
      <c r="M117" s="22">
        <f>IF(AND($A117&gt;CARGAS!$AJ$29,$A117&lt;=CARGAS!$AJ$30),tanque8,0)</f>
        <v>0</v>
      </c>
      <c r="N117" s="22">
        <f t="shared" si="10"/>
        <v>551.41828971428572</v>
      </c>
      <c r="O117" s="22">
        <f t="shared" si="14"/>
        <v>15.102029362370176</v>
      </c>
      <c r="P117" s="22">
        <f>O117*Equilibrio!Y$39*Equilibrio!Y$38*DADOS!C$4</f>
        <v>464.3874028928829</v>
      </c>
      <c r="Q117" s="22">
        <f t="shared" si="11"/>
        <v>87.030886821402817</v>
      </c>
      <c r="R117" s="22">
        <f t="shared" si="12"/>
        <v>-18838.296637304633</v>
      </c>
      <c r="S117" s="22">
        <f t="shared" si="13"/>
        <v>-881673.04502141825</v>
      </c>
      <c r="T117" s="22">
        <f t="shared" si="15"/>
        <v>63964.521606857146</v>
      </c>
    </row>
    <row r="118" spans="1:20" x14ac:dyDescent="0.25">
      <c r="A118" s="21">
        <v>117</v>
      </c>
      <c r="B118" s="22">
        <f>CARGAS!$C$40*Equilibrio!A118^2+CARGAS!$D$40*Equilibrio!A118+CARGAS!$E$40</f>
        <v>120.45046922448972</v>
      </c>
      <c r="C118" s="22">
        <f>CARGAS!$C$53*Equilibrio!A118^2+CARGAS!$D$53*Equilibrio!A118+CARGAS!$E$53</f>
        <v>20.075078204081628</v>
      </c>
      <c r="D118">
        <f>IF(posisup=1,IF(A118&lt;=CARGAS!$E$68,sup,0),IF(posisup=2,IF(AND(A118&lt;=CARGAS!$E$69,A118&gt;=CARGAS!$D$69),sup,0),IF(posisup=3,IF(AND(A118&lt;=CARGAS!$E$70,A118&gt;=CARGAS!$D$70),sup,0),0)))</f>
        <v>0</v>
      </c>
      <c r="E118">
        <f>IF(A118&lt;=CARGAS!$H$25,CARGAS!$I$20,0)</f>
        <v>0</v>
      </c>
      <c r="F118" s="22">
        <f>IF(AND(A118&gt;CARGAS!$O$29,A118&lt;=CARGAS!$O$30),tanque1,0)</f>
        <v>0</v>
      </c>
      <c r="G118" s="22">
        <f>IF(AND(A118&gt;CARGAS!$R$29,A118&lt;=CARGAS!$R$30),tanque2,0)</f>
        <v>0</v>
      </c>
      <c r="H118" s="22">
        <f>IF(AND(A118&gt;CARGAS!$U$29,A118&lt;=CARGAS!$U$30),tanque3,0)</f>
        <v>411.26400000000001</v>
      </c>
      <c r="I118" s="22">
        <f>IF(AND(A118&gt;CARGAS!$X$29,A118&lt;=CARGAS!$X$30),tanque4,0)</f>
        <v>0</v>
      </c>
      <c r="J118" s="22">
        <f>IF(AND(A118&gt;CARGAS!$AA$29,A118&lt;=CARGAS!$AA$30),tanque5,0)</f>
        <v>0</v>
      </c>
      <c r="K118" s="22">
        <f>IF(AND($A118&gt;CARGAS!$AD$29,$A118&lt;=CARGAS!$AD$30),tanque6,0)</f>
        <v>0</v>
      </c>
      <c r="L118" s="22">
        <f>IF(AND($A118&gt;CARGAS!$AG$29,$A118&lt;=CARGAS!$AG$30),tanque7,0)</f>
        <v>0</v>
      </c>
      <c r="M118" s="22">
        <f>IF(AND($A118&gt;CARGAS!$AJ$29,$A118&lt;=CARGAS!$AJ$30),tanque8,0)</f>
        <v>0</v>
      </c>
      <c r="N118" s="22">
        <f t="shared" si="10"/>
        <v>551.78954742857138</v>
      </c>
      <c r="O118" s="22">
        <f t="shared" si="14"/>
        <v>14.973220328319028</v>
      </c>
      <c r="P118" s="22">
        <f>O118*Equilibrio!Y$39*Equilibrio!Y$38*DADOS!C$4</f>
        <v>460.42652509581006</v>
      </c>
      <c r="Q118" s="22">
        <f t="shared" si="11"/>
        <v>91.363022332761318</v>
      </c>
      <c r="R118" s="22">
        <f t="shared" si="12"/>
        <v>-18746.933614971873</v>
      </c>
      <c r="S118" s="22">
        <f t="shared" si="13"/>
        <v>-900419.97863639006</v>
      </c>
      <c r="T118" s="22">
        <f t="shared" si="15"/>
        <v>64559.377049142851</v>
      </c>
    </row>
    <row r="119" spans="1:20" x14ac:dyDescent="0.25">
      <c r="A119" s="21">
        <v>118</v>
      </c>
      <c r="B119" s="22">
        <f>CARGAS!$C$40*Equilibrio!A119^2+CARGAS!$D$40*Equilibrio!A119+CARGAS!$E$40</f>
        <v>120.76325044897953</v>
      </c>
      <c r="C119" s="22">
        <f>CARGAS!$C$53*Equilibrio!A119^2+CARGAS!$D$53*Equilibrio!A119+CARGAS!$E$53</f>
        <v>20.127208408163263</v>
      </c>
      <c r="D119">
        <f>IF(posisup=1,IF(A119&lt;=CARGAS!$E$68,sup,0),IF(posisup=2,IF(AND(A119&lt;=CARGAS!$E$69,A119&gt;=CARGAS!$D$69),sup,0),IF(posisup=3,IF(AND(A119&lt;=CARGAS!$E$70,A119&gt;=CARGAS!$D$70),sup,0),0)))</f>
        <v>0</v>
      </c>
      <c r="E119">
        <f>IF(A119&lt;=CARGAS!$H$25,CARGAS!$I$20,0)</f>
        <v>0</v>
      </c>
      <c r="F119" s="22">
        <f>IF(AND(A119&gt;CARGAS!$O$29,A119&lt;=CARGAS!$O$30),tanque1,0)</f>
        <v>0</v>
      </c>
      <c r="G119" s="22">
        <f>IF(AND(A119&gt;CARGAS!$R$29,A119&lt;=CARGAS!$R$30),tanque2,0)</f>
        <v>0</v>
      </c>
      <c r="H119" s="22">
        <f>IF(AND(A119&gt;CARGAS!$U$29,A119&lt;=CARGAS!$U$30),tanque3,0)</f>
        <v>411.26400000000001</v>
      </c>
      <c r="I119" s="22">
        <f>IF(AND(A119&gt;CARGAS!$X$29,A119&lt;=CARGAS!$X$30),tanque4,0)</f>
        <v>0</v>
      </c>
      <c r="J119" s="22">
        <f>IF(AND(A119&gt;CARGAS!$AA$29,A119&lt;=CARGAS!$AA$30),tanque5,0)</f>
        <v>0</v>
      </c>
      <c r="K119" s="22">
        <f>IF(AND($A119&gt;CARGAS!$AD$29,$A119&lt;=CARGAS!$AD$30),tanque6,0)</f>
        <v>0</v>
      </c>
      <c r="L119" s="22">
        <f>IF(AND($A119&gt;CARGAS!$AG$29,$A119&lt;=CARGAS!$AG$30),tanque7,0)</f>
        <v>0</v>
      </c>
      <c r="M119" s="22">
        <f>IF(AND($A119&gt;CARGAS!$AJ$29,$A119&lt;=CARGAS!$AJ$30),tanque8,0)</f>
        <v>0</v>
      </c>
      <c r="N119" s="22">
        <f t="shared" si="10"/>
        <v>552.1544588571428</v>
      </c>
      <c r="O119" s="22">
        <f t="shared" si="14"/>
        <v>14.845835787620869</v>
      </c>
      <c r="P119" s="22">
        <f>O119*Equilibrio!Y$39*Equilibrio!Y$38*DADOS!C$4</f>
        <v>456.50945046934169</v>
      </c>
      <c r="Q119" s="22">
        <f t="shared" si="11"/>
        <v>95.645008387801113</v>
      </c>
      <c r="R119" s="22">
        <f t="shared" si="12"/>
        <v>-18651.288606584072</v>
      </c>
      <c r="S119" s="22">
        <f t="shared" si="13"/>
        <v>-919071.26724297414</v>
      </c>
      <c r="T119" s="22">
        <f t="shared" si="15"/>
        <v>65154.226145142849</v>
      </c>
    </row>
    <row r="120" spans="1:20" x14ac:dyDescent="0.25">
      <c r="A120" s="21">
        <v>119</v>
      </c>
      <c r="B120" s="22">
        <f>CARGAS!$C$40*Equilibrio!A120^2+CARGAS!$D$40*Equilibrio!A120+CARGAS!$E$40</f>
        <v>121.07059199999995</v>
      </c>
      <c r="C120" s="22">
        <f>CARGAS!$C$53*Equilibrio!A120^2+CARGAS!$D$53*Equilibrio!A120+CARGAS!$E$53</f>
        <v>20.178431999999994</v>
      </c>
      <c r="D120">
        <f>IF(posisup=1,IF(A120&lt;=CARGAS!$E$68,sup,0),IF(posisup=2,IF(AND(A120&lt;=CARGAS!$E$69,A120&gt;=CARGAS!$D$69),sup,0),IF(posisup=3,IF(AND(A120&lt;=CARGAS!$E$70,A120&gt;=CARGAS!$D$70),sup,0),0)))</f>
        <v>0</v>
      </c>
      <c r="E120">
        <f>IF(A120&lt;=CARGAS!$H$25,CARGAS!$I$20,0)</f>
        <v>0</v>
      </c>
      <c r="F120" s="22">
        <f>IF(AND(A120&gt;CARGAS!$O$29,A120&lt;=CARGAS!$O$30),tanque1,0)</f>
        <v>0</v>
      </c>
      <c r="G120" s="22">
        <f>IF(AND(A120&gt;CARGAS!$R$29,A120&lt;=CARGAS!$R$30),tanque2,0)</f>
        <v>0</v>
      </c>
      <c r="H120" s="22">
        <f>IF(AND(A120&gt;CARGAS!$U$29,A120&lt;=CARGAS!$U$30),tanque3,0)</f>
        <v>411.26400000000001</v>
      </c>
      <c r="I120" s="22">
        <f>IF(AND(A120&gt;CARGAS!$X$29,A120&lt;=CARGAS!$X$30),tanque4,0)</f>
        <v>0</v>
      </c>
      <c r="J120" s="22">
        <f>IF(AND(A120&gt;CARGAS!$AA$29,A120&lt;=CARGAS!$AA$30),tanque5,0)</f>
        <v>0</v>
      </c>
      <c r="K120" s="22">
        <f>IF(AND($A120&gt;CARGAS!$AD$29,$A120&lt;=CARGAS!$AD$30),tanque6,0)</f>
        <v>0</v>
      </c>
      <c r="L120" s="22">
        <f>IF(AND($A120&gt;CARGAS!$AG$29,$A120&lt;=CARGAS!$AG$30),tanque7,0)</f>
        <v>0</v>
      </c>
      <c r="M120" s="22">
        <f>IF(AND($A120&gt;CARGAS!$AJ$29,$A120&lt;=CARGAS!$AJ$30),tanque8,0)</f>
        <v>0</v>
      </c>
      <c r="N120" s="22">
        <f t="shared" si="10"/>
        <v>552.51302399999997</v>
      </c>
      <c r="O120" s="22">
        <f t="shared" si="14"/>
        <v>14.719919195342751</v>
      </c>
      <c r="P120" s="22">
        <f>O120*Equilibrio!Y$39*Equilibrio!Y$38*DADOS!C$4</f>
        <v>452.63751525678953</v>
      </c>
      <c r="Q120" s="22">
        <f t="shared" si="11"/>
        <v>99.875508743210446</v>
      </c>
      <c r="R120" s="22">
        <f t="shared" si="12"/>
        <v>-18551.413097840861</v>
      </c>
      <c r="S120" s="22">
        <f t="shared" si="13"/>
        <v>-937622.68034081499</v>
      </c>
      <c r="T120" s="22">
        <f t="shared" si="15"/>
        <v>65749.049855999998</v>
      </c>
    </row>
    <row r="121" spans="1:20" x14ac:dyDescent="0.25">
      <c r="A121" s="21">
        <v>120</v>
      </c>
      <c r="B121" s="22">
        <f>CARGAS!$C$40*Equilibrio!A121^2+CARGAS!$D$40*Equilibrio!A121+CARGAS!$E$40</f>
        <v>121.37249387755097</v>
      </c>
      <c r="C121" s="22">
        <f>CARGAS!$C$53*Equilibrio!A121^2+CARGAS!$D$53*Equilibrio!A121+CARGAS!$E$53</f>
        <v>20.228748979591831</v>
      </c>
      <c r="D121">
        <f>IF(posisup=1,IF(A121&lt;=CARGAS!$E$68,sup,0),IF(posisup=2,IF(AND(A121&lt;=CARGAS!$E$69,A121&gt;=CARGAS!$D$69),sup,0),IF(posisup=3,IF(AND(A121&lt;=CARGAS!$E$70,A121&gt;=CARGAS!$D$70),sup,0),0)))</f>
        <v>0</v>
      </c>
      <c r="E121">
        <f>IF(A121&lt;=CARGAS!$H$25,CARGAS!$I$20,0)</f>
        <v>0</v>
      </c>
      <c r="F121" s="22">
        <f>IF(AND(A121&gt;CARGAS!$O$29,A121&lt;=CARGAS!$O$30),tanque1,0)</f>
        <v>0</v>
      </c>
      <c r="G121" s="22">
        <f>IF(AND(A121&gt;CARGAS!$R$29,A121&lt;=CARGAS!$R$30),tanque2,0)</f>
        <v>0</v>
      </c>
      <c r="H121" s="22">
        <f>IF(AND(A121&gt;CARGAS!$U$29,A121&lt;=CARGAS!$U$30),tanque3,0)</f>
        <v>411.26400000000001</v>
      </c>
      <c r="I121" s="22">
        <f>IF(AND(A121&gt;CARGAS!$X$29,A121&lt;=CARGAS!$X$30),tanque4,0)</f>
        <v>0</v>
      </c>
      <c r="J121" s="22">
        <f>IF(AND(A121&gt;CARGAS!$AA$29,A121&lt;=CARGAS!$AA$30),tanque5,0)</f>
        <v>0</v>
      </c>
      <c r="K121" s="22">
        <f>IF(AND($A121&gt;CARGAS!$AD$29,$A121&lt;=CARGAS!$AD$30),tanque6,0)</f>
        <v>0</v>
      </c>
      <c r="L121" s="22">
        <f>IF(AND($A121&gt;CARGAS!$AG$29,$A121&lt;=CARGAS!$AG$30),tanque7,0)</f>
        <v>0</v>
      </c>
      <c r="M121" s="22">
        <f>IF(AND($A121&gt;CARGAS!$AJ$29,$A121&lt;=CARGAS!$AJ$30),tanque8,0)</f>
        <v>0</v>
      </c>
      <c r="N121" s="22">
        <f t="shared" si="10"/>
        <v>552.86524285714279</v>
      </c>
      <c r="O121" s="22">
        <f t="shared" si="14"/>
        <v>14.595513533484601</v>
      </c>
      <c r="P121" s="22">
        <f>O121*Equilibrio!Y$39*Equilibrio!Y$38*DADOS!C$4</f>
        <v>448.81204115465141</v>
      </c>
      <c r="Q121" s="22">
        <f t="shared" si="11"/>
        <v>104.05320170249138</v>
      </c>
      <c r="R121" s="22">
        <f t="shared" si="12"/>
        <v>-18447.359896138369</v>
      </c>
      <c r="S121" s="22">
        <f t="shared" si="13"/>
        <v>-956070.04023695341</v>
      </c>
      <c r="T121" s="22">
        <f t="shared" si="15"/>
        <v>66343.829142857139</v>
      </c>
    </row>
    <row r="122" spans="1:20" x14ac:dyDescent="0.25">
      <c r="A122" s="21">
        <v>121</v>
      </c>
      <c r="B122" s="22">
        <f>CARGAS!$C$40*Equilibrio!A122^2+CARGAS!$D$40*Equilibrio!A122+CARGAS!$E$40</f>
        <v>121.66895608163259</v>
      </c>
      <c r="C122" s="22">
        <f>CARGAS!$C$53*Equilibrio!A122^2+CARGAS!$D$53*Equilibrio!A122+CARGAS!$E$53</f>
        <v>20.278159346938772</v>
      </c>
      <c r="D122">
        <f>IF(posisup=1,IF(A122&lt;=CARGAS!$E$68,sup,0),IF(posisup=2,IF(AND(A122&lt;=CARGAS!$E$69,A122&gt;=CARGAS!$D$69),sup,0),IF(posisup=3,IF(AND(A122&lt;=CARGAS!$E$70,A122&gt;=CARGAS!$D$70),sup,0),0)))</f>
        <v>0</v>
      </c>
      <c r="E122">
        <f>IF(A122&lt;=CARGAS!$H$25,CARGAS!$I$20,0)</f>
        <v>0</v>
      </c>
      <c r="F122" s="22">
        <f>IF(AND(A122&gt;CARGAS!$O$29,A122&lt;=CARGAS!$O$30),tanque1,0)</f>
        <v>0</v>
      </c>
      <c r="G122" s="22">
        <f>IF(AND(A122&gt;CARGAS!$R$29,A122&lt;=CARGAS!$R$30),tanque2,0)</f>
        <v>0</v>
      </c>
      <c r="H122" s="22">
        <f>IF(AND(A122&gt;CARGAS!$U$29,A122&lt;=CARGAS!$U$30),tanque3,0)</f>
        <v>411.26400000000001</v>
      </c>
      <c r="I122" s="22">
        <f>IF(AND(A122&gt;CARGAS!$X$29,A122&lt;=CARGAS!$X$30),tanque4,0)</f>
        <v>0</v>
      </c>
      <c r="J122" s="22">
        <f>IF(AND(A122&gt;CARGAS!$AA$29,A122&lt;=CARGAS!$AA$30),tanque5,0)</f>
        <v>0</v>
      </c>
      <c r="K122" s="22">
        <f>IF(AND($A122&gt;CARGAS!$AD$29,$A122&lt;=CARGAS!$AD$30),tanque6,0)</f>
        <v>0</v>
      </c>
      <c r="L122" s="22">
        <f>IF(AND($A122&gt;CARGAS!$AG$29,$A122&lt;=CARGAS!$AG$30),tanque7,0)</f>
        <v>0</v>
      </c>
      <c r="M122" s="22">
        <f>IF(AND($A122&gt;CARGAS!$AJ$29,$A122&lt;=CARGAS!$AJ$30),tanque8,0)</f>
        <v>0</v>
      </c>
      <c r="N122" s="22">
        <f t="shared" si="10"/>
        <v>553.21111542857136</v>
      </c>
      <c r="O122" s="22">
        <f t="shared" si="14"/>
        <v>14.472661297127649</v>
      </c>
      <c r="P122" s="22">
        <f>O122*Equilibrio!Y$39*Equilibrio!Y$38*DADOS!C$4</f>
        <v>445.03433488667514</v>
      </c>
      <c r="Q122" s="22">
        <f t="shared" si="11"/>
        <v>108.17678054189622</v>
      </c>
      <c r="R122" s="22">
        <f t="shared" si="12"/>
        <v>-18339.183115596472</v>
      </c>
      <c r="S122" s="22">
        <f t="shared" si="13"/>
        <v>-974409.22335254983</v>
      </c>
      <c r="T122" s="22">
        <f t="shared" si="15"/>
        <v>66938.544966857138</v>
      </c>
    </row>
    <row r="123" spans="1:20" x14ac:dyDescent="0.25">
      <c r="A123" s="21">
        <v>122</v>
      </c>
      <c r="B123" s="22">
        <f>CARGAS!$C$40*Equilibrio!A123^2+CARGAS!$D$40*Equilibrio!A123+CARGAS!$E$40</f>
        <v>121.95997861224484</v>
      </c>
      <c r="C123" s="22">
        <f>CARGAS!$C$53*Equilibrio!A123^2+CARGAS!$D$53*Equilibrio!A123+CARGAS!$E$53</f>
        <v>20.326663102040811</v>
      </c>
      <c r="D123">
        <f>IF(posisup=1,IF(A123&lt;=CARGAS!$E$68,sup,0),IF(posisup=2,IF(AND(A123&lt;=CARGAS!$E$69,A123&gt;=CARGAS!$D$69),sup,0),IF(posisup=3,IF(AND(A123&lt;=CARGAS!$E$70,A123&gt;=CARGAS!$D$70),sup,0),0)))</f>
        <v>0</v>
      </c>
      <c r="E123">
        <f>IF(A123&lt;=CARGAS!$H$25,CARGAS!$I$20,0)</f>
        <v>0</v>
      </c>
      <c r="F123" s="22">
        <f>IF(AND(A123&gt;CARGAS!$O$29,A123&lt;=CARGAS!$O$30),tanque1,0)</f>
        <v>0</v>
      </c>
      <c r="G123" s="22">
        <f>IF(AND(A123&gt;CARGAS!$R$29,A123&lt;=CARGAS!$R$30),tanque2,0)</f>
        <v>0</v>
      </c>
      <c r="H123" s="22">
        <f>IF(AND(A123&gt;CARGAS!$U$29,A123&lt;=CARGAS!$U$30),tanque3,0)</f>
        <v>411.26400000000001</v>
      </c>
      <c r="I123" s="22">
        <f>IF(AND(A123&gt;CARGAS!$X$29,A123&lt;=CARGAS!$X$30),tanque4,0)</f>
        <v>0</v>
      </c>
      <c r="J123" s="22">
        <f>IF(AND(A123&gt;CARGAS!$AA$29,A123&lt;=CARGAS!$AA$30),tanque5,0)</f>
        <v>0</v>
      </c>
      <c r="K123" s="22">
        <f>IF(AND($A123&gt;CARGAS!$AD$29,$A123&lt;=CARGAS!$AD$30),tanque6,0)</f>
        <v>0</v>
      </c>
      <c r="L123" s="22">
        <f>IF(AND($A123&gt;CARGAS!$AG$29,$A123&lt;=CARGAS!$AG$30),tanque7,0)</f>
        <v>0</v>
      </c>
      <c r="M123" s="22">
        <f>IF(AND($A123&gt;CARGAS!$AJ$29,$A123&lt;=CARGAS!$AJ$30),tanque8,0)</f>
        <v>0</v>
      </c>
      <c r="N123" s="22">
        <f t="shared" si="10"/>
        <v>553.55064171428569</v>
      </c>
      <c r="O123" s="22">
        <f t="shared" si="14"/>
        <v>14.351404480739784</v>
      </c>
      <c r="P123" s="22">
        <f>O123*Equilibrio!Y$39*Equilibrio!Y$38*DADOS!C$4</f>
        <v>441.30568778274835</v>
      </c>
      <c r="Q123" s="22">
        <f t="shared" si="11"/>
        <v>112.24495393153734</v>
      </c>
      <c r="R123" s="22">
        <f t="shared" si="12"/>
        <v>-18226.938161664933</v>
      </c>
      <c r="S123" s="22">
        <f t="shared" si="13"/>
        <v>-992636.16151421471</v>
      </c>
      <c r="T123" s="22">
        <f t="shared" si="15"/>
        <v>67533.178289142859</v>
      </c>
    </row>
    <row r="124" spans="1:20" x14ac:dyDescent="0.25">
      <c r="A124" s="21">
        <v>123</v>
      </c>
      <c r="B124" s="22">
        <f>CARGAS!$C$40*Equilibrio!A124^2+CARGAS!$D$40*Equilibrio!A124+CARGAS!$E$40</f>
        <v>122.2455614693877</v>
      </c>
      <c r="C124" s="22">
        <f>CARGAS!$C$53*Equilibrio!A124^2+CARGAS!$D$53*Equilibrio!A124+CARGAS!$E$53</f>
        <v>20.374260244897954</v>
      </c>
      <c r="D124">
        <f>IF(posisup=1,IF(A124&lt;=CARGAS!$E$68,sup,0),IF(posisup=2,IF(AND(A124&lt;=CARGAS!$E$69,A124&gt;=CARGAS!$D$69),sup,0),IF(posisup=3,IF(AND(A124&lt;=CARGAS!$E$70,A124&gt;=CARGAS!$D$70),sup,0),0)))</f>
        <v>0</v>
      </c>
      <c r="E124">
        <f>IF(A124&lt;=CARGAS!$H$25,CARGAS!$I$20,0)</f>
        <v>0</v>
      </c>
      <c r="F124" s="22">
        <f>IF(AND(A124&gt;CARGAS!$O$29,A124&lt;=CARGAS!$O$30),tanque1,0)</f>
        <v>0</v>
      </c>
      <c r="G124" s="22">
        <f>IF(AND(A124&gt;CARGAS!$R$29,A124&lt;=CARGAS!$R$30),tanque2,0)</f>
        <v>0</v>
      </c>
      <c r="H124" s="22">
        <f>IF(AND(A124&gt;CARGAS!$U$29,A124&lt;=CARGAS!$U$30),tanque3,0)</f>
        <v>411.26400000000001</v>
      </c>
      <c r="I124" s="22">
        <f>IF(AND(A124&gt;CARGAS!$X$29,A124&lt;=CARGAS!$X$30),tanque4,0)</f>
        <v>0</v>
      </c>
      <c r="J124" s="22">
        <f>IF(AND(A124&gt;CARGAS!$AA$29,A124&lt;=CARGAS!$AA$30),tanque5,0)</f>
        <v>0</v>
      </c>
      <c r="K124" s="22">
        <f>IF(AND($A124&gt;CARGAS!$AD$29,$A124&lt;=CARGAS!$AD$30),tanque6,0)</f>
        <v>0</v>
      </c>
      <c r="L124" s="22">
        <f>IF(AND($A124&gt;CARGAS!$AG$29,$A124&lt;=CARGAS!$AG$30),tanque7,0)</f>
        <v>0</v>
      </c>
      <c r="M124" s="22">
        <f>IF(AND($A124&gt;CARGAS!$AJ$29,$A124&lt;=CARGAS!$AJ$30),tanque8,0)</f>
        <v>0</v>
      </c>
      <c r="N124" s="22">
        <f t="shared" si="10"/>
        <v>553.88382171428566</v>
      </c>
      <c r="O124" s="22">
        <f t="shared" si="14"/>
        <v>14.231784564642259</v>
      </c>
      <c r="P124" s="22">
        <f>O124*Equilibrio!Y$39*Equilibrio!Y$38*DADOS!C$4</f>
        <v>437.62737536274943</v>
      </c>
      <c r="Q124" s="22">
        <f t="shared" si="11"/>
        <v>116.25644635153623</v>
      </c>
      <c r="R124" s="22">
        <f t="shared" si="12"/>
        <v>-18110.681715313396</v>
      </c>
      <c r="S124" s="22">
        <f t="shared" si="13"/>
        <v>-1010746.8432295281</v>
      </c>
      <c r="T124" s="22">
        <f t="shared" si="15"/>
        <v>68127.710070857138</v>
      </c>
    </row>
    <row r="125" spans="1:20" x14ac:dyDescent="0.25">
      <c r="A125" s="21">
        <v>124</v>
      </c>
      <c r="B125" s="22">
        <f>CARGAS!$C$40*Equilibrio!A125^2+CARGAS!$D$40*Equilibrio!A125+CARGAS!$E$40</f>
        <v>122.52570465306117</v>
      </c>
      <c r="C125" s="22">
        <f>CARGAS!$C$53*Equilibrio!A125^2+CARGAS!$D$53*Equilibrio!A125+CARGAS!$E$53</f>
        <v>20.4209507755102</v>
      </c>
      <c r="D125">
        <f>IF(posisup=1,IF(A125&lt;=CARGAS!$E$68,sup,0),IF(posisup=2,IF(AND(A125&lt;=CARGAS!$E$69,A125&gt;=CARGAS!$D$69),sup,0),IF(posisup=3,IF(AND(A125&lt;=CARGAS!$E$70,A125&gt;=CARGAS!$D$70),sup,0),0)))</f>
        <v>0</v>
      </c>
      <c r="E125">
        <f>IF(A125&lt;=CARGAS!$H$25,CARGAS!$I$20,0)</f>
        <v>0</v>
      </c>
      <c r="F125" s="22">
        <f>IF(AND(A125&gt;CARGAS!$O$29,A125&lt;=CARGAS!$O$30),tanque1,0)</f>
        <v>0</v>
      </c>
      <c r="G125" s="22">
        <f>IF(AND(A125&gt;CARGAS!$R$29,A125&lt;=CARGAS!$R$30),tanque2,0)</f>
        <v>0</v>
      </c>
      <c r="H125" s="22">
        <f>IF(AND(A125&gt;CARGAS!$U$29,A125&lt;=CARGAS!$U$30),tanque3,0)</f>
        <v>411.26400000000001</v>
      </c>
      <c r="I125" s="22">
        <f>IF(AND(A125&gt;CARGAS!$X$29,A125&lt;=CARGAS!$X$30),tanque4,0)</f>
        <v>0</v>
      </c>
      <c r="J125" s="22">
        <f>IF(AND(A125&gt;CARGAS!$AA$29,A125&lt;=CARGAS!$AA$30),tanque5,0)</f>
        <v>0</v>
      </c>
      <c r="K125" s="22">
        <f>IF(AND($A125&gt;CARGAS!$AD$29,$A125&lt;=CARGAS!$AD$30),tanque6,0)</f>
        <v>0</v>
      </c>
      <c r="L125" s="22">
        <f>IF(AND($A125&gt;CARGAS!$AG$29,$A125&lt;=CARGAS!$AG$30),tanque7,0)</f>
        <v>0</v>
      </c>
      <c r="M125" s="22">
        <f>IF(AND($A125&gt;CARGAS!$AJ$29,$A125&lt;=CARGAS!$AJ$30),tanque8,0)</f>
        <v>0</v>
      </c>
      <c r="N125" s="22">
        <f t="shared" si="10"/>
        <v>554.21065542857139</v>
      </c>
      <c r="O125" s="22">
        <f t="shared" si="14"/>
        <v>14.11384250164204</v>
      </c>
      <c r="P125" s="22">
        <f>O125*Equilibrio!Y$39*Equilibrio!Y$38*DADOS!C$4</f>
        <v>434.00065692549265</v>
      </c>
      <c r="Q125" s="22">
        <f t="shared" si="11"/>
        <v>120.20999850307874</v>
      </c>
      <c r="R125" s="22">
        <f t="shared" si="12"/>
        <v>-17990.471716810316</v>
      </c>
      <c r="S125" s="22">
        <f t="shared" si="13"/>
        <v>-1028737.3149463384</v>
      </c>
      <c r="T125" s="22">
        <f t="shared" si="15"/>
        <v>68722.121273142853</v>
      </c>
    </row>
    <row r="126" spans="1:20" x14ac:dyDescent="0.25">
      <c r="A126" s="21">
        <v>125</v>
      </c>
      <c r="B126" s="22">
        <f>CARGAS!$C$40*Equilibrio!A126^2+CARGAS!$D$40*Equilibrio!A126+CARGAS!$E$40</f>
        <v>122.80040816326525</v>
      </c>
      <c r="C126" s="22">
        <f>CARGAS!$C$53*Equilibrio!A126^2+CARGAS!$D$53*Equilibrio!A126+CARGAS!$E$53</f>
        <v>20.466734693877545</v>
      </c>
      <c r="D126">
        <f>IF(posisup=1,IF(A126&lt;=CARGAS!$E$68,sup,0),IF(posisup=2,IF(AND(A126&lt;=CARGAS!$E$69,A126&gt;=CARGAS!$D$69),sup,0),IF(posisup=3,IF(AND(A126&lt;=CARGAS!$E$70,A126&gt;=CARGAS!$D$70),sup,0),0)))</f>
        <v>0</v>
      </c>
      <c r="E126">
        <f>IF(A126&lt;=CARGAS!$H$25,CARGAS!$I$20,0)</f>
        <v>0</v>
      </c>
      <c r="F126" s="22">
        <f>IF(AND(A126&gt;CARGAS!$O$29,A126&lt;=CARGAS!$O$30),tanque1,0)</f>
        <v>0</v>
      </c>
      <c r="G126" s="22">
        <f>IF(AND(A126&gt;CARGAS!$R$29,A126&lt;=CARGAS!$R$30),tanque2,0)</f>
        <v>0</v>
      </c>
      <c r="H126" s="22">
        <f>IF(AND(A126&gt;CARGAS!$U$29,A126&lt;=CARGAS!$U$30),tanque3,0)</f>
        <v>411.26400000000001</v>
      </c>
      <c r="I126" s="22">
        <f>IF(AND(A126&gt;CARGAS!$X$29,A126&lt;=CARGAS!$X$30),tanque4,0)</f>
        <v>0</v>
      </c>
      <c r="J126" s="22">
        <f>IF(AND(A126&gt;CARGAS!$AA$29,A126&lt;=CARGAS!$AA$30),tanque5,0)</f>
        <v>0</v>
      </c>
      <c r="K126" s="22">
        <f>IF(AND($A126&gt;CARGAS!$AD$29,$A126&lt;=CARGAS!$AD$30),tanque6,0)</f>
        <v>0</v>
      </c>
      <c r="L126" s="22">
        <f>IF(AND($A126&gt;CARGAS!$AG$29,$A126&lt;=CARGAS!$AG$30),tanque7,0)</f>
        <v>0</v>
      </c>
      <c r="M126" s="22">
        <f>IF(AND($A126&gt;CARGAS!$AJ$29,$A126&lt;=CARGAS!$AJ$30),tanque8,0)</f>
        <v>0</v>
      </c>
      <c r="N126" s="22">
        <f t="shared" si="10"/>
        <v>554.53114285714287</v>
      </c>
      <c r="O126" s="22">
        <f t="shared" si="14"/>
        <v>13.99761870383422</v>
      </c>
      <c r="P126" s="22">
        <f>O126*Equilibrio!Y$39*Equilibrio!Y$38*DADOS!C$4</f>
        <v>430.42677514290222</v>
      </c>
      <c r="Q126" s="22">
        <f t="shared" si="11"/>
        <v>124.10436771424065</v>
      </c>
      <c r="R126" s="22">
        <f t="shared" si="12"/>
        <v>-17866.367349096075</v>
      </c>
      <c r="S126" s="22">
        <f t="shared" si="13"/>
        <v>-1046603.6822954345</v>
      </c>
      <c r="T126" s="22">
        <f t="shared" si="15"/>
        <v>69316.392857142855</v>
      </c>
    </row>
    <row r="127" spans="1:20" x14ac:dyDescent="0.25">
      <c r="A127" s="21">
        <v>126</v>
      </c>
      <c r="B127" s="22">
        <f>CARGAS!$C$40*Equilibrio!A127^2+CARGAS!$D$40*Equilibrio!A127+CARGAS!$E$40</f>
        <v>123.06967199999994</v>
      </c>
      <c r="C127" s="22">
        <f>CARGAS!$C$53*Equilibrio!A127^2+CARGAS!$D$53*Equilibrio!A127+CARGAS!$E$53</f>
        <v>20.511611999999996</v>
      </c>
      <c r="D127">
        <f>IF(posisup=1,IF(A127&lt;=CARGAS!$E$68,sup,0),IF(posisup=2,IF(AND(A127&lt;=CARGAS!$E$69,A127&gt;=CARGAS!$D$69),sup,0),IF(posisup=3,IF(AND(A127&lt;=CARGAS!$E$70,A127&gt;=CARGAS!$D$70),sup,0),0)))</f>
        <v>0</v>
      </c>
      <c r="E127">
        <f>IF(A127&lt;=CARGAS!$H$25,CARGAS!$I$20,0)</f>
        <v>0</v>
      </c>
      <c r="F127" s="22">
        <f>IF(AND(A127&gt;CARGAS!$O$29,A127&lt;=CARGAS!$O$30),tanque1,0)</f>
        <v>0</v>
      </c>
      <c r="G127" s="22">
        <f>IF(AND(A127&gt;CARGAS!$R$29,A127&lt;=CARGAS!$R$30),tanque2,0)</f>
        <v>0</v>
      </c>
      <c r="H127" s="22">
        <f>IF(AND(A127&gt;CARGAS!$U$29,A127&lt;=CARGAS!$U$30),tanque3,0)</f>
        <v>411.26400000000001</v>
      </c>
      <c r="I127" s="22">
        <f>IF(AND(A127&gt;CARGAS!$X$29,A127&lt;=CARGAS!$X$30),tanque4,0)</f>
        <v>0</v>
      </c>
      <c r="J127" s="22">
        <f>IF(AND(A127&gt;CARGAS!$AA$29,A127&lt;=CARGAS!$AA$30),tanque5,0)</f>
        <v>0</v>
      </c>
      <c r="K127" s="22">
        <f>IF(AND($A127&gt;CARGAS!$AD$29,$A127&lt;=CARGAS!$AD$30),tanque6,0)</f>
        <v>0</v>
      </c>
      <c r="L127" s="22">
        <f>IF(AND($A127&gt;CARGAS!$AG$29,$A127&lt;=CARGAS!$AG$30),tanque7,0)</f>
        <v>0</v>
      </c>
      <c r="M127" s="22">
        <f>IF(AND($A127&gt;CARGAS!$AJ$29,$A127&lt;=CARGAS!$AJ$30),tanque8,0)</f>
        <v>0</v>
      </c>
      <c r="N127" s="22">
        <f t="shared" si="10"/>
        <v>554.84528399999999</v>
      </c>
      <c r="O127" s="22">
        <f t="shared" si="14"/>
        <v>13.883153029578631</v>
      </c>
      <c r="P127" s="22">
        <f>O127*Equilibrio!Y$39*Equilibrio!Y$38*DADOS!C$4</f>
        <v>426.90695565954286</v>
      </c>
      <c r="Q127" s="22">
        <f t="shared" si="11"/>
        <v>127.93832834045713</v>
      </c>
      <c r="R127" s="22">
        <f t="shared" si="12"/>
        <v>-17738.429020755619</v>
      </c>
      <c r="S127" s="22">
        <f t="shared" si="13"/>
        <v>-1064342.1113161901</v>
      </c>
      <c r="T127" s="22">
        <f t="shared" si="15"/>
        <v>69910.505783999994</v>
      </c>
    </row>
    <row r="128" spans="1:20" x14ac:dyDescent="0.25">
      <c r="A128" s="21">
        <v>127</v>
      </c>
      <c r="B128" s="22">
        <f>CARGAS!$C$40*Equilibrio!A128^2+CARGAS!$D$40*Equilibrio!A128+CARGAS!$E$40</f>
        <v>123.33349616326525</v>
      </c>
      <c r="C128" s="22">
        <f>CARGAS!$C$53*Equilibrio!A128^2+CARGAS!$D$53*Equilibrio!A128+CARGAS!$E$53</f>
        <v>20.555582693877547</v>
      </c>
      <c r="D128">
        <f>IF(posisup=1,IF(A128&lt;=CARGAS!$E$68,sup,0),IF(posisup=2,IF(AND(A128&lt;=CARGAS!$E$69,A128&gt;=CARGAS!$D$69),sup,0),IF(posisup=3,IF(AND(A128&lt;=CARGAS!$E$70,A128&gt;=CARGAS!$D$70),sup,0),0)))</f>
        <v>0</v>
      </c>
      <c r="E128">
        <f>IF(A128&lt;=CARGAS!$H$25,CARGAS!$I$20,0)</f>
        <v>0</v>
      </c>
      <c r="F128" s="22">
        <f>IF(AND(A128&gt;CARGAS!$O$29,A128&lt;=CARGAS!$O$30),tanque1,0)</f>
        <v>0</v>
      </c>
      <c r="G128" s="22">
        <f>IF(AND(A128&gt;CARGAS!$R$29,A128&lt;=CARGAS!$R$30),tanque2,0)</f>
        <v>0</v>
      </c>
      <c r="H128" s="22">
        <f>IF(AND(A128&gt;CARGAS!$U$29,A128&lt;=CARGAS!$U$30),tanque3,0)</f>
        <v>411.26400000000001</v>
      </c>
      <c r="I128" s="22">
        <f>IF(AND(A128&gt;CARGAS!$X$29,A128&lt;=CARGAS!$X$30),tanque4,0)</f>
        <v>0</v>
      </c>
      <c r="J128" s="22">
        <f>IF(AND(A128&gt;CARGAS!$AA$29,A128&lt;=CARGAS!$AA$30),tanque5,0)</f>
        <v>0</v>
      </c>
      <c r="K128" s="22">
        <f>IF(AND($A128&gt;CARGAS!$AD$29,$A128&lt;=CARGAS!$AD$30),tanque6,0)</f>
        <v>0</v>
      </c>
      <c r="L128" s="22">
        <f>IF(AND($A128&gt;CARGAS!$AG$29,$A128&lt;=CARGAS!$AG$30),tanque7,0)</f>
        <v>0</v>
      </c>
      <c r="M128" s="22">
        <f>IF(AND($A128&gt;CARGAS!$AJ$29,$A128&lt;=CARGAS!$AJ$30),tanque8,0)</f>
        <v>0</v>
      </c>
      <c r="N128" s="22">
        <f t="shared" si="10"/>
        <v>555.15307885714287</v>
      </c>
      <c r="O128" s="22">
        <f t="shared" si="14"/>
        <v>13.770484770654926</v>
      </c>
      <c r="P128" s="22">
        <f>O128*Equilibrio!Y$39*Equilibrio!Y$38*DADOS!C$4</f>
        <v>423.44240669763894</v>
      </c>
      <c r="Q128" s="22">
        <f t="shared" si="11"/>
        <v>131.71067215950393</v>
      </c>
      <c r="R128" s="22">
        <f t="shared" si="12"/>
        <v>-17606.718348596114</v>
      </c>
      <c r="S128" s="22">
        <f t="shared" si="13"/>
        <v>-1081948.8296647861</v>
      </c>
      <c r="T128" s="22">
        <f t="shared" si="15"/>
        <v>70504.441014857148</v>
      </c>
    </row>
    <row r="129" spans="1:20" x14ac:dyDescent="0.25">
      <c r="A129" s="21">
        <v>128</v>
      </c>
      <c r="B129" s="22">
        <f>CARGAS!$C$40*Equilibrio!A129^2+CARGAS!$D$40*Equilibrio!A129+CARGAS!$E$40</f>
        <v>123.59188065306117</v>
      </c>
      <c r="C129" s="22">
        <f>CARGAS!$C$53*Equilibrio!A129^2+CARGAS!$D$53*Equilibrio!A129+CARGAS!$E$53</f>
        <v>20.598646775510201</v>
      </c>
      <c r="D129">
        <f>IF(posisup=1,IF(A129&lt;=CARGAS!$E$68,sup,0),IF(posisup=2,IF(AND(A129&lt;=CARGAS!$E$69,A129&gt;=CARGAS!$D$69),sup,0),IF(posisup=3,IF(AND(A129&lt;=CARGAS!$E$70,A129&gt;=CARGAS!$D$70),sup,0),0)))</f>
        <v>0</v>
      </c>
      <c r="E129">
        <f>IF(A129&lt;=CARGAS!$H$25,CARGAS!$I$20,0)</f>
        <v>0</v>
      </c>
      <c r="F129" s="22">
        <f>IF(AND(A129&gt;CARGAS!$O$29,A129&lt;=CARGAS!$O$30),tanque1,0)</f>
        <v>0</v>
      </c>
      <c r="G129" s="22">
        <f>IF(AND(A129&gt;CARGAS!$R$29,A129&lt;=CARGAS!$R$30),tanque2,0)</f>
        <v>0</v>
      </c>
      <c r="H129" s="22">
        <f>IF(AND(A129&gt;CARGAS!$U$29,A129&lt;=CARGAS!$U$30),tanque3,0)</f>
        <v>411.26400000000001</v>
      </c>
      <c r="I129" s="22">
        <f>IF(AND(A129&gt;CARGAS!$X$29,A129&lt;=CARGAS!$X$30),tanque4,0)</f>
        <v>0</v>
      </c>
      <c r="J129" s="22">
        <f>IF(AND(A129&gt;CARGAS!$AA$29,A129&lt;=CARGAS!$AA$30),tanque5,0)</f>
        <v>0</v>
      </c>
      <c r="K129" s="22">
        <f>IF(AND($A129&gt;CARGAS!$AD$29,$A129&lt;=CARGAS!$AD$30),tanque6,0)</f>
        <v>0</v>
      </c>
      <c r="L129" s="22">
        <f>IF(AND($A129&gt;CARGAS!$AG$29,$A129&lt;=CARGAS!$AG$30),tanque7,0)</f>
        <v>0</v>
      </c>
      <c r="M129" s="22">
        <f>IF(AND($A129&gt;CARGAS!$AJ$29,$A129&lt;=CARGAS!$AJ$30),tanque8,0)</f>
        <v>0</v>
      </c>
      <c r="N129" s="22">
        <f t="shared" si="10"/>
        <v>555.4545274285714</v>
      </c>
      <c r="O129" s="22">
        <f t="shared" si="14"/>
        <v>13.659652639600251</v>
      </c>
      <c r="P129" s="22">
        <f>O129*Equilibrio!Y$39*Equilibrio!Y$38*DADOS!C$4</f>
        <v>420.03431866770768</v>
      </c>
      <c r="Q129" s="22">
        <f t="shared" si="11"/>
        <v>135.42020876086372</v>
      </c>
      <c r="R129" s="22">
        <f t="shared" si="12"/>
        <v>-17471.298139835249</v>
      </c>
      <c r="S129" s="22">
        <f t="shared" si="13"/>
        <v>-1099420.1278046214</v>
      </c>
      <c r="T129" s="22">
        <f t="shared" si="15"/>
        <v>71098.179510857139</v>
      </c>
    </row>
    <row r="130" spans="1:20" x14ac:dyDescent="0.25">
      <c r="A130" s="21">
        <v>129</v>
      </c>
      <c r="B130" s="22">
        <f>CARGAS!$C$40*Equilibrio!A130^2+CARGAS!$D$40*Equilibrio!A130+CARGAS!$E$40</f>
        <v>123.8448254693877</v>
      </c>
      <c r="C130" s="22">
        <f>CARGAS!$C$53*Equilibrio!A130^2+CARGAS!$D$53*Equilibrio!A130+CARGAS!$E$53</f>
        <v>20.640804244897957</v>
      </c>
      <c r="D130">
        <f>IF(posisup=1,IF(A130&lt;=CARGAS!$E$68,sup,0),IF(posisup=2,IF(AND(A130&lt;=CARGAS!$E$69,A130&gt;=CARGAS!$D$69),sup,0),IF(posisup=3,IF(AND(A130&lt;=CARGAS!$E$70,A130&gt;=CARGAS!$D$70),sup,0),0)))</f>
        <v>0</v>
      </c>
      <c r="E130">
        <f>IF(A130&lt;=CARGAS!$H$25,CARGAS!$I$20,0)</f>
        <v>0</v>
      </c>
      <c r="F130" s="22">
        <f>IF(AND(A130&gt;CARGAS!$O$29,A130&lt;=CARGAS!$O$30),tanque1,0)</f>
        <v>0</v>
      </c>
      <c r="G130" s="22">
        <f>IF(AND(A130&gt;CARGAS!$R$29,A130&lt;=CARGAS!$R$30),tanque2,0)</f>
        <v>0</v>
      </c>
      <c r="H130" s="22">
        <f>IF(AND(A130&gt;CARGAS!$U$29,A130&lt;=CARGAS!$U$30),tanque3,0)</f>
        <v>411.26400000000001</v>
      </c>
      <c r="I130" s="22">
        <f>IF(AND(A130&gt;CARGAS!$X$29,A130&lt;=CARGAS!$X$30),tanque4,0)</f>
        <v>0</v>
      </c>
      <c r="J130" s="22">
        <f>IF(AND(A130&gt;CARGAS!$AA$29,A130&lt;=CARGAS!$AA$30),tanque5,0)</f>
        <v>0</v>
      </c>
      <c r="K130" s="22">
        <f>IF(AND($A130&gt;CARGAS!$AD$29,$A130&lt;=CARGAS!$AD$30),tanque6,0)</f>
        <v>0</v>
      </c>
      <c r="L130" s="22">
        <f>IF(AND($A130&gt;CARGAS!$AG$29,$A130&lt;=CARGAS!$AG$30),tanque7,0)</f>
        <v>0</v>
      </c>
      <c r="M130" s="22">
        <f>IF(AND($A130&gt;CARGAS!$AJ$29,$A130&lt;=CARGAS!$AJ$30),tanque8,0)</f>
        <v>0</v>
      </c>
      <c r="N130" s="22">
        <f t="shared" si="10"/>
        <v>555.74962971428567</v>
      </c>
      <c r="O130" s="22">
        <f t="shared" ref="O130:O161" si="16">IF($X$4=1,tmedio+((loa/2)-A130)*TAN(trimrad),IF($X$4=2,tmedio+$Z$3*COS(2*PI()*A130/$Z$2)+((loa/2)-A130)*TAN(trimrad),IF($X$4=3,tmedio-$Z$3*COS(2*PI()*A130/$Z$2)+((loa/2)-A130)*TAN(trimrad),tmedio+((loa/2)-A130)*TAN(trimrad))))</f>
        <v>13.550694757233568</v>
      </c>
      <c r="P130" s="22">
        <f>O130*Equilibrio!Y$39*Equilibrio!Y$38*DADOS!C$4</f>
        <v>416.68386378493221</v>
      </c>
      <c r="Q130" s="22">
        <f t="shared" si="11"/>
        <v>139.06576592935346</v>
      </c>
      <c r="R130" s="22">
        <f t="shared" si="12"/>
        <v>-17332.232373905896</v>
      </c>
      <c r="S130" s="22">
        <f t="shared" si="13"/>
        <v>-1116752.3601785272</v>
      </c>
      <c r="T130" s="22">
        <f t="shared" ref="T130:T161" si="17">N130*A130</f>
        <v>71691.702233142845</v>
      </c>
    </row>
    <row r="131" spans="1:20" x14ac:dyDescent="0.25">
      <c r="A131" s="21">
        <v>130</v>
      </c>
      <c r="B131" s="22">
        <f>CARGAS!$C$40*Equilibrio!A131^2+CARGAS!$D$40*Equilibrio!A131+CARGAS!$E$40</f>
        <v>124.09233061224484</v>
      </c>
      <c r="C131" s="22">
        <f>CARGAS!$C$53*Equilibrio!A131^2+CARGAS!$D$53*Equilibrio!A131+CARGAS!$E$53</f>
        <v>20.682055102040813</v>
      </c>
      <c r="D131">
        <f>IF(posisup=1,IF(A131&lt;=CARGAS!$E$68,sup,0),IF(posisup=2,IF(AND(A131&lt;=CARGAS!$E$69,A131&gt;=CARGAS!$D$69),sup,0),IF(posisup=3,IF(AND(A131&lt;=CARGAS!$E$70,A131&gt;=CARGAS!$D$70),sup,0),0)))</f>
        <v>0</v>
      </c>
      <c r="E131">
        <f>IF(A131&lt;=CARGAS!$H$25,CARGAS!$I$20,0)</f>
        <v>0</v>
      </c>
      <c r="F131" s="22">
        <f>IF(AND(A131&gt;CARGAS!$O$29,A131&lt;=CARGAS!$O$30),tanque1,0)</f>
        <v>0</v>
      </c>
      <c r="G131" s="22">
        <f>IF(AND(A131&gt;CARGAS!$R$29,A131&lt;=CARGAS!$R$30),tanque2,0)</f>
        <v>0</v>
      </c>
      <c r="H131" s="22">
        <f>IF(AND(A131&gt;CARGAS!$U$29,A131&lt;=CARGAS!$U$30),tanque3,0)</f>
        <v>411.26400000000001</v>
      </c>
      <c r="I131" s="22">
        <f>IF(AND(A131&gt;CARGAS!$X$29,A131&lt;=CARGAS!$X$30),tanque4,0)</f>
        <v>0</v>
      </c>
      <c r="J131" s="22">
        <f>IF(AND(A131&gt;CARGAS!$AA$29,A131&lt;=CARGAS!$AA$30),tanque5,0)</f>
        <v>0</v>
      </c>
      <c r="K131" s="22">
        <f>IF(AND($A131&gt;CARGAS!$AD$29,$A131&lt;=CARGAS!$AD$30),tanque6,0)</f>
        <v>0</v>
      </c>
      <c r="L131" s="22">
        <f>IF(AND($A131&gt;CARGAS!$AG$29,$A131&lt;=CARGAS!$AG$30),tanque7,0)</f>
        <v>0</v>
      </c>
      <c r="M131" s="22">
        <f>IF(AND($A131&gt;CARGAS!$AJ$29,$A131&lt;=CARGAS!$AJ$30),tanque8,0)</f>
        <v>0</v>
      </c>
      <c r="N131" s="22">
        <f t="shared" ref="N131:N191" si="18">B131+C131+D131+F131+E131+G131+H131+I131+J131+K131+L131+M131</f>
        <v>556.0383857142856</v>
      </c>
      <c r="O131" s="22">
        <f t="shared" si="16"/>
        <v>13.443648640370714</v>
      </c>
      <c r="P131" s="22">
        <f>O131*Equilibrio!Y$39*Equilibrio!Y$38*DADOS!C$4</f>
        <v>413.39219569139942</v>
      </c>
      <c r="Q131" s="22">
        <f t="shared" ref="Q131:Q191" si="19">N131-P131</f>
        <v>142.64619002288617</v>
      </c>
      <c r="R131" s="22">
        <f t="shared" si="12"/>
        <v>-17189.58618388301</v>
      </c>
      <c r="S131" s="22">
        <f t="shared" si="13"/>
        <v>-1133941.9463624102</v>
      </c>
      <c r="T131" s="22">
        <f t="shared" si="17"/>
        <v>72284.990142857132</v>
      </c>
    </row>
    <row r="132" spans="1:20" x14ac:dyDescent="0.25">
      <c r="A132" s="21">
        <v>131</v>
      </c>
      <c r="B132" s="22">
        <f>CARGAS!$C$40*Equilibrio!A132^2+CARGAS!$D$40*Equilibrio!A132+CARGAS!$E$40</f>
        <v>124.3343960816326</v>
      </c>
      <c r="C132" s="22">
        <f>CARGAS!$C$53*Equilibrio!A132^2+CARGAS!$D$53*Equilibrio!A132+CARGAS!$E$53</f>
        <v>20.722399346938772</v>
      </c>
      <c r="D132">
        <f>IF(posisup=1,IF(A132&lt;=CARGAS!$E$68,sup,0),IF(posisup=2,IF(AND(A132&lt;=CARGAS!$E$69,A132&gt;=CARGAS!$D$69),sup,0),IF(posisup=3,IF(AND(A132&lt;=CARGAS!$E$70,A132&gt;=CARGAS!$D$70),sup,0),0)))</f>
        <v>0</v>
      </c>
      <c r="E132">
        <f>IF(A132&lt;=CARGAS!$H$25,CARGAS!$I$20,0)</f>
        <v>0</v>
      </c>
      <c r="F132" s="22">
        <f>IF(AND(A132&gt;CARGAS!$O$29,A132&lt;=CARGAS!$O$30),tanque1,0)</f>
        <v>0</v>
      </c>
      <c r="G132" s="22">
        <f>IF(AND(A132&gt;CARGAS!$R$29,A132&lt;=CARGAS!$R$30),tanque2,0)</f>
        <v>0</v>
      </c>
      <c r="H132" s="22">
        <f>IF(AND(A132&gt;CARGAS!$U$29,A132&lt;=CARGAS!$U$30),tanque3,0)</f>
        <v>411.26400000000001</v>
      </c>
      <c r="I132" s="22">
        <f>IF(AND(A132&gt;CARGAS!$X$29,A132&lt;=CARGAS!$X$30),tanque4,0)</f>
        <v>0</v>
      </c>
      <c r="J132" s="22">
        <f>IF(AND(A132&gt;CARGAS!$AA$29,A132&lt;=CARGAS!$AA$30),tanque5,0)</f>
        <v>0</v>
      </c>
      <c r="K132" s="22">
        <f>IF(AND($A132&gt;CARGAS!$AD$29,$A132&lt;=CARGAS!$AD$30),tanque6,0)</f>
        <v>0</v>
      </c>
      <c r="L132" s="22">
        <f>IF(AND($A132&gt;CARGAS!$AG$29,$A132&lt;=CARGAS!$AG$30),tanque7,0)</f>
        <v>0</v>
      </c>
      <c r="M132" s="22">
        <f>IF(AND($A132&gt;CARGAS!$AJ$29,$A132&lt;=CARGAS!$AJ$30),tanque8,0)</f>
        <v>0</v>
      </c>
      <c r="N132" s="22">
        <f t="shared" si="18"/>
        <v>556.32079542857139</v>
      </c>
      <c r="O132" s="22">
        <f t="shared" si="16"/>
        <v>13.338551189734039</v>
      </c>
      <c r="P132" s="22">
        <f>O132*Equilibrio!Y$39*Equilibrio!Y$38*DADOS!C$4</f>
        <v>410.16044908432161</v>
      </c>
      <c r="Q132" s="22">
        <f t="shared" si="19"/>
        <v>146.16034634424977</v>
      </c>
      <c r="R132" s="22">
        <f t="shared" si="12"/>
        <v>-17043.425837538758</v>
      </c>
      <c r="S132" s="22">
        <f t="shared" si="13"/>
        <v>-1150985.3721999489</v>
      </c>
      <c r="T132" s="22">
        <f t="shared" si="17"/>
        <v>72878.024201142849</v>
      </c>
    </row>
    <row r="133" spans="1:20" x14ac:dyDescent="0.25">
      <c r="A133" s="21">
        <v>132</v>
      </c>
      <c r="B133" s="22">
        <f>CARGAS!$C$40*Equilibrio!A133^2+CARGAS!$D$40*Equilibrio!A133+CARGAS!$E$40</f>
        <v>124.57102187755096</v>
      </c>
      <c r="C133" s="22">
        <f>CARGAS!$C$53*Equilibrio!A133^2+CARGAS!$D$53*Equilibrio!A133+CARGAS!$E$53</f>
        <v>20.761836979591834</v>
      </c>
      <c r="D133">
        <f>IF(posisup=1,IF(A133&lt;=CARGAS!$E$68,sup,0),IF(posisup=2,IF(AND(A133&lt;=CARGAS!$E$69,A133&gt;=CARGAS!$D$69),sup,0),IF(posisup=3,IF(AND(A133&lt;=CARGAS!$E$70,A133&gt;=CARGAS!$D$70),sup,0),0)))</f>
        <v>0</v>
      </c>
      <c r="E133">
        <f>IF(A133&lt;=CARGAS!$H$25,CARGAS!$I$20,0)</f>
        <v>0</v>
      </c>
      <c r="F133" s="22">
        <f>IF(AND(A133&gt;CARGAS!$O$29,A133&lt;=CARGAS!$O$30),tanque1,0)</f>
        <v>0</v>
      </c>
      <c r="G133" s="22">
        <f>IF(AND(A133&gt;CARGAS!$R$29,A133&lt;=CARGAS!$R$30),tanque2,0)</f>
        <v>0</v>
      </c>
      <c r="H133" s="22">
        <f>IF(AND(A133&gt;CARGAS!$U$29,A133&lt;=CARGAS!$U$30),tanque3,0)</f>
        <v>411.26400000000001</v>
      </c>
      <c r="I133" s="22">
        <f>IF(AND(A133&gt;CARGAS!$X$29,A133&lt;=CARGAS!$X$30),tanque4,0)</f>
        <v>0</v>
      </c>
      <c r="J133" s="22">
        <f>IF(AND(A133&gt;CARGAS!$AA$29,A133&lt;=CARGAS!$AA$30),tanque5,0)</f>
        <v>0</v>
      </c>
      <c r="K133" s="22">
        <f>IF(AND($A133&gt;CARGAS!$AD$29,$A133&lt;=CARGAS!$AD$30),tanque6,0)</f>
        <v>0</v>
      </c>
      <c r="L133" s="22">
        <f>IF(AND($A133&gt;CARGAS!$AG$29,$A133&lt;=CARGAS!$AG$30),tanque7,0)</f>
        <v>0</v>
      </c>
      <c r="M133" s="22">
        <f>IF(AND($A133&gt;CARGAS!$AJ$29,$A133&lt;=CARGAS!$AJ$30),tanque8,0)</f>
        <v>0</v>
      </c>
      <c r="N133" s="22">
        <f t="shared" si="18"/>
        <v>556.59685885714282</v>
      </c>
      <c r="O133" s="22">
        <f t="shared" si="16"/>
        <v>13.235438678060651</v>
      </c>
      <c r="P133" s="22">
        <f>O133*Equilibrio!Y$39*Equilibrio!Y$38*DADOS!C$4</f>
        <v>406.98973935036497</v>
      </c>
      <c r="Q133" s="22">
        <f t="shared" si="19"/>
        <v>149.60711950677785</v>
      </c>
      <c r="R133" s="22">
        <f t="shared" ref="R133:R191" si="20">R132+Q133</f>
        <v>-16893.81871803198</v>
      </c>
      <c r="S133" s="22">
        <f t="shared" ref="S133:S191" si="21">S132+R133</f>
        <v>-1167879.1909179809</v>
      </c>
      <c r="T133" s="22">
        <f t="shared" si="17"/>
        <v>73470.785369142846</v>
      </c>
    </row>
    <row r="134" spans="1:20" x14ac:dyDescent="0.25">
      <c r="A134" s="21">
        <v>133</v>
      </c>
      <c r="B134" s="22">
        <f>CARGAS!$C$40*Equilibrio!A134^2+CARGAS!$D$40*Equilibrio!A134+CARGAS!$E$40</f>
        <v>124.80220799999995</v>
      </c>
      <c r="C134" s="22">
        <f>CARGAS!$C$53*Equilibrio!A134^2+CARGAS!$D$53*Equilibrio!A134+CARGAS!$E$53</f>
        <v>20.800367999999999</v>
      </c>
      <c r="D134">
        <f>IF(posisup=1,IF(A134&lt;=CARGAS!$E$68,sup,0),IF(posisup=2,IF(AND(A134&lt;=CARGAS!$E$69,A134&gt;=CARGAS!$D$69),sup,0),IF(posisup=3,IF(AND(A134&lt;=CARGAS!$E$70,A134&gt;=CARGAS!$D$70),sup,0),0)))</f>
        <v>0</v>
      </c>
      <c r="E134">
        <f>IF(A134&lt;=CARGAS!$H$25,CARGAS!$I$20,0)</f>
        <v>0</v>
      </c>
      <c r="F134" s="22">
        <f>IF(AND(A134&gt;CARGAS!$O$29,A134&lt;=CARGAS!$O$30),tanque1,0)</f>
        <v>0</v>
      </c>
      <c r="G134" s="22">
        <f>IF(AND(A134&gt;CARGAS!$R$29,A134&lt;=CARGAS!$R$30),tanque2,0)</f>
        <v>0</v>
      </c>
      <c r="H134" s="22">
        <f>IF(AND(A134&gt;CARGAS!$U$29,A134&lt;=CARGAS!$U$30),tanque3,0)</f>
        <v>411.26400000000001</v>
      </c>
      <c r="I134" s="22">
        <f>IF(AND(A134&gt;CARGAS!$X$29,A134&lt;=CARGAS!$X$30),tanque4,0)</f>
        <v>0</v>
      </c>
      <c r="J134" s="22">
        <f>IF(AND(A134&gt;CARGAS!$AA$29,A134&lt;=CARGAS!$AA$30),tanque5,0)</f>
        <v>0</v>
      </c>
      <c r="K134" s="22">
        <f>IF(AND($A134&gt;CARGAS!$AD$29,$A134&lt;=CARGAS!$AD$30),tanque6,0)</f>
        <v>0</v>
      </c>
      <c r="L134" s="22">
        <f>IF(AND($A134&gt;CARGAS!$AG$29,$A134&lt;=CARGAS!$AG$30),tanque7,0)</f>
        <v>0</v>
      </c>
      <c r="M134" s="22">
        <f>IF(AND($A134&gt;CARGAS!$AJ$29,$A134&lt;=CARGAS!$AJ$30),tanque8,0)</f>
        <v>0</v>
      </c>
      <c r="N134" s="22">
        <f t="shared" si="18"/>
        <v>556.8665759999999</v>
      </c>
      <c r="O134" s="22">
        <f t="shared" si="16"/>
        <v>13.134346738413013</v>
      </c>
      <c r="P134" s="22">
        <f>O134*Equilibrio!Y$39*Equilibrio!Y$38*DADOS!C$4</f>
        <v>403.88116220620014</v>
      </c>
      <c r="Q134" s="22">
        <f t="shared" si="19"/>
        <v>152.98541379379975</v>
      </c>
      <c r="R134" s="22">
        <f t="shared" si="20"/>
        <v>-16740.833304238182</v>
      </c>
      <c r="S134" s="22">
        <f t="shared" si="21"/>
        <v>-1184620.0242222191</v>
      </c>
      <c r="T134" s="22">
        <f t="shared" si="17"/>
        <v>74063.254607999988</v>
      </c>
    </row>
    <row r="135" spans="1:20" x14ac:dyDescent="0.25">
      <c r="A135" s="21">
        <v>134</v>
      </c>
      <c r="B135" s="22">
        <f>CARGAS!$C$40*Equilibrio!A135^2+CARGAS!$D$40*Equilibrio!A135+CARGAS!$E$40</f>
        <v>125.02795444897953</v>
      </c>
      <c r="C135" s="22">
        <f>CARGAS!$C$53*Equilibrio!A135^2+CARGAS!$D$53*Equilibrio!A135+CARGAS!$E$53</f>
        <v>20.837992408163259</v>
      </c>
      <c r="D135">
        <f>IF(posisup=1,IF(A135&lt;=CARGAS!$E$68,sup,0),IF(posisup=2,IF(AND(A135&lt;=CARGAS!$E$69,A135&gt;=CARGAS!$D$69),sup,0),IF(posisup=3,IF(AND(A135&lt;=CARGAS!$E$70,A135&gt;=CARGAS!$D$70),sup,0),0)))</f>
        <v>0</v>
      </c>
      <c r="E135">
        <f>IF(A135&lt;=CARGAS!$H$25,CARGAS!$I$20,0)</f>
        <v>0</v>
      </c>
      <c r="F135" s="22">
        <f>IF(AND(A135&gt;CARGAS!$O$29,A135&lt;=CARGAS!$O$30),tanque1,0)</f>
        <v>0</v>
      </c>
      <c r="G135" s="22">
        <f>IF(AND(A135&gt;CARGAS!$R$29,A135&lt;=CARGAS!$R$30),tanque2,0)</f>
        <v>0</v>
      </c>
      <c r="H135" s="22">
        <f>IF(AND(A135&gt;CARGAS!$U$29,A135&lt;=CARGAS!$U$30),tanque3,0)</f>
        <v>411.26400000000001</v>
      </c>
      <c r="I135" s="22">
        <f>IF(AND(A135&gt;CARGAS!$X$29,A135&lt;=CARGAS!$X$30),tanque4,0)</f>
        <v>0</v>
      </c>
      <c r="J135" s="22">
        <f>IF(AND(A135&gt;CARGAS!$AA$29,A135&lt;=CARGAS!$AA$30),tanque5,0)</f>
        <v>0</v>
      </c>
      <c r="K135" s="22">
        <f>IF(AND($A135&gt;CARGAS!$AD$29,$A135&lt;=CARGAS!$AD$30),tanque6,0)</f>
        <v>0</v>
      </c>
      <c r="L135" s="22">
        <f>IF(AND($A135&gt;CARGAS!$AG$29,$A135&lt;=CARGAS!$AG$30),tanque7,0)</f>
        <v>0</v>
      </c>
      <c r="M135" s="22">
        <f>IF(AND($A135&gt;CARGAS!$AJ$29,$A135&lt;=CARGAS!$AJ$30),tanque8,0)</f>
        <v>0</v>
      </c>
      <c r="N135" s="22">
        <f t="shared" si="18"/>
        <v>557.12994685714284</v>
      </c>
      <c r="O135" s="22">
        <f t="shared" si="16"/>
        <v>13.035310352695664</v>
      </c>
      <c r="P135" s="22">
        <f>O135*Equilibrio!Y$39*Equilibrio!Y$38*DADOS!C$4</f>
        <v>400.83579334539166</v>
      </c>
      <c r="Q135" s="22">
        <f t="shared" si="19"/>
        <v>156.29415351175118</v>
      </c>
      <c r="R135" s="22">
        <f t="shared" si="20"/>
        <v>-16584.539150726432</v>
      </c>
      <c r="S135" s="22">
        <f t="shared" si="21"/>
        <v>-1201204.5633729456</v>
      </c>
      <c r="T135" s="22">
        <f t="shared" si="17"/>
        <v>74655.41287885714</v>
      </c>
    </row>
    <row r="136" spans="1:20" x14ac:dyDescent="0.25">
      <c r="A136" s="21">
        <v>135</v>
      </c>
      <c r="B136" s="22">
        <f>CARGAS!$C$40*Equilibrio!A136^2+CARGAS!$D$40*Equilibrio!A136+CARGAS!$E$40</f>
        <v>125.24826122448974</v>
      </c>
      <c r="C136" s="22">
        <f>CARGAS!$C$53*Equilibrio!A136^2+CARGAS!$D$53*Equilibrio!A136+CARGAS!$E$53</f>
        <v>20.87471020408163</v>
      </c>
      <c r="D136">
        <f>IF(posisup=1,IF(A136&lt;=CARGAS!$E$68,sup,0),IF(posisup=2,IF(AND(A136&lt;=CARGAS!$E$69,A136&gt;=CARGAS!$D$69),sup,0),IF(posisup=3,IF(AND(A136&lt;=CARGAS!$E$70,A136&gt;=CARGAS!$D$70),sup,0),0)))</f>
        <v>0</v>
      </c>
      <c r="E136">
        <f>IF(A136&lt;=CARGAS!$H$25,CARGAS!$I$20,0)</f>
        <v>0</v>
      </c>
      <c r="F136" s="22">
        <f>IF(AND(A136&gt;CARGAS!$O$29,A136&lt;=CARGAS!$O$30),tanque1,0)</f>
        <v>0</v>
      </c>
      <c r="G136" s="22">
        <f>IF(AND(A136&gt;CARGAS!$R$29,A136&lt;=CARGAS!$R$30),tanque2,0)</f>
        <v>0</v>
      </c>
      <c r="H136" s="22">
        <f>IF(AND(A136&gt;CARGAS!$U$29,A136&lt;=CARGAS!$U$30),tanque3,0)</f>
        <v>411.26400000000001</v>
      </c>
      <c r="I136" s="22">
        <f>IF(AND(A136&gt;CARGAS!$X$29,A136&lt;=CARGAS!$X$30),tanque4,0)</f>
        <v>0</v>
      </c>
      <c r="J136" s="22">
        <f>IF(AND(A136&gt;CARGAS!$AA$29,A136&lt;=CARGAS!$AA$30),tanque5,0)</f>
        <v>0</v>
      </c>
      <c r="K136" s="22">
        <f>IF(AND($A136&gt;CARGAS!$AD$29,$A136&lt;=CARGAS!$AD$30),tanque6,0)</f>
        <v>0</v>
      </c>
      <c r="L136" s="22">
        <f>IF(AND($A136&gt;CARGAS!$AG$29,$A136&lt;=CARGAS!$AG$30),tanque7,0)</f>
        <v>0</v>
      </c>
      <c r="M136" s="22">
        <f>IF(AND($A136&gt;CARGAS!$AJ$29,$A136&lt;=CARGAS!$AJ$30),tanque8,0)</f>
        <v>0</v>
      </c>
      <c r="N136" s="22">
        <f t="shared" si="18"/>
        <v>557.38697142857131</v>
      </c>
      <c r="O136" s="22">
        <f t="shared" si="16"/>
        <v>12.938363840381824</v>
      </c>
      <c r="P136" s="22">
        <f>O136*Equilibrio!Y$39*Equilibrio!Y$38*DADOS!C$4</f>
        <v>397.85468809174108</v>
      </c>
      <c r="Q136" s="22">
        <f t="shared" si="19"/>
        <v>159.53228333683023</v>
      </c>
      <c r="R136" s="22">
        <f t="shared" si="20"/>
        <v>-16425.006867389602</v>
      </c>
      <c r="S136" s="22">
        <f t="shared" si="21"/>
        <v>-1217629.5702403353</v>
      </c>
      <c r="T136" s="22">
        <f t="shared" si="17"/>
        <v>75247.241142857121</v>
      </c>
    </row>
    <row r="137" spans="1:20" x14ac:dyDescent="0.25">
      <c r="A137" s="21">
        <v>136</v>
      </c>
      <c r="B137" s="22">
        <f>CARGAS!$C$40*Equilibrio!A137^2+CARGAS!$D$40*Equilibrio!A137+CARGAS!$E$40</f>
        <v>125.46312832653055</v>
      </c>
      <c r="C137" s="22">
        <f>CARGAS!$C$53*Equilibrio!A137^2+CARGAS!$D$53*Equilibrio!A137+CARGAS!$E$53</f>
        <v>20.910521387755097</v>
      </c>
      <c r="D137">
        <f>IF(posisup=1,IF(A137&lt;=CARGAS!$E$68,sup,0),IF(posisup=2,IF(AND(A137&lt;=CARGAS!$E$69,A137&gt;=CARGAS!$D$69),sup,0),IF(posisup=3,IF(AND(A137&lt;=CARGAS!$E$70,A137&gt;=CARGAS!$D$70),sup,0),0)))</f>
        <v>0</v>
      </c>
      <c r="E137">
        <f>IF(A137&lt;=CARGAS!$H$25,CARGAS!$I$20,0)</f>
        <v>0</v>
      </c>
      <c r="F137" s="22">
        <f>IF(AND(A137&gt;CARGAS!$O$29,A137&lt;=CARGAS!$O$30),tanque1,0)</f>
        <v>0</v>
      </c>
      <c r="G137" s="22">
        <f>IF(AND(A137&gt;CARGAS!$R$29,A137&lt;=CARGAS!$R$30),tanque2,0)</f>
        <v>0</v>
      </c>
      <c r="H137" s="22">
        <f>IF(AND(A137&gt;CARGAS!$U$29,A137&lt;=CARGAS!$U$30),tanque3,0)</f>
        <v>411.26400000000001</v>
      </c>
      <c r="I137" s="22">
        <f>IF(AND(A137&gt;CARGAS!$X$29,A137&lt;=CARGAS!$X$30),tanque4,0)</f>
        <v>0</v>
      </c>
      <c r="J137" s="22">
        <f>IF(AND(A137&gt;CARGAS!$AA$29,A137&lt;=CARGAS!$AA$30),tanque5,0)</f>
        <v>0</v>
      </c>
      <c r="K137" s="22">
        <f>IF(AND($A137&gt;CARGAS!$AD$29,$A137&lt;=CARGAS!$AD$30),tanque6,0)</f>
        <v>0</v>
      </c>
      <c r="L137" s="22">
        <f>IF(AND($A137&gt;CARGAS!$AG$29,$A137&lt;=CARGAS!$AG$30),tanque7,0)</f>
        <v>0</v>
      </c>
      <c r="M137" s="22">
        <f>IF(AND($A137&gt;CARGAS!$AJ$29,$A137&lt;=CARGAS!$AJ$30),tanque8,0)</f>
        <v>0</v>
      </c>
      <c r="N137" s="22">
        <f t="shared" si="18"/>
        <v>557.63764971428566</v>
      </c>
      <c r="O137" s="22">
        <f t="shared" si="16"/>
        <v>12.843540847453463</v>
      </c>
      <c r="P137" s="22">
        <f>O137*Equilibrio!Y$39*Equilibrio!Y$38*DADOS!C$4</f>
        <v>394.93888105919393</v>
      </c>
      <c r="Q137" s="22">
        <f t="shared" si="19"/>
        <v>162.69876865509173</v>
      </c>
      <c r="R137" s="22">
        <f t="shared" si="20"/>
        <v>-16262.308098734511</v>
      </c>
      <c r="S137" s="22">
        <f t="shared" si="21"/>
        <v>-1233891.8783390699</v>
      </c>
      <c r="T137" s="22">
        <f t="shared" si="17"/>
        <v>75838.720361142856</v>
      </c>
    </row>
    <row r="138" spans="1:20" x14ac:dyDescent="0.25">
      <c r="A138" s="21">
        <v>137</v>
      </c>
      <c r="B138" s="22">
        <f>CARGAS!$C$40*Equilibrio!A138^2+CARGAS!$D$40*Equilibrio!A138+CARGAS!$E$40</f>
        <v>125.672555755102</v>
      </c>
      <c r="C138" s="22">
        <f>CARGAS!$C$53*Equilibrio!A138^2+CARGAS!$D$53*Equilibrio!A138+CARGAS!$E$53</f>
        <v>20.945425959183673</v>
      </c>
      <c r="D138">
        <f>IF(posisup=1,IF(A138&lt;=CARGAS!$E$68,sup,0),IF(posisup=2,IF(AND(A138&lt;=CARGAS!$E$69,A138&gt;=CARGAS!$D$69),sup,0),IF(posisup=3,IF(AND(A138&lt;=CARGAS!$E$70,A138&gt;=CARGAS!$D$70),sup,0),0)))</f>
        <v>0</v>
      </c>
      <c r="E138">
        <f>IF(A138&lt;=CARGAS!$H$25,CARGAS!$I$20,0)</f>
        <v>0</v>
      </c>
      <c r="F138" s="22">
        <f>IF(AND(A138&gt;CARGAS!$O$29,A138&lt;=CARGAS!$O$30),tanque1,0)</f>
        <v>0</v>
      </c>
      <c r="G138" s="22">
        <f>IF(AND(A138&gt;CARGAS!$R$29,A138&lt;=CARGAS!$R$30),tanque2,0)</f>
        <v>0</v>
      </c>
      <c r="H138" s="22">
        <f>IF(AND(A138&gt;CARGAS!$U$29,A138&lt;=CARGAS!$U$30),tanque3,0)</f>
        <v>411.26400000000001</v>
      </c>
      <c r="I138" s="22">
        <f>IF(AND(A138&gt;CARGAS!$X$29,A138&lt;=CARGAS!$X$30),tanque4,0)</f>
        <v>0</v>
      </c>
      <c r="J138" s="22">
        <f>IF(AND(A138&gt;CARGAS!$AA$29,A138&lt;=CARGAS!$AA$30),tanque5,0)</f>
        <v>0</v>
      </c>
      <c r="K138" s="22">
        <f>IF(AND($A138&gt;CARGAS!$AD$29,$A138&lt;=CARGAS!$AD$30),tanque6,0)</f>
        <v>0</v>
      </c>
      <c r="L138" s="22">
        <f>IF(AND($A138&gt;CARGAS!$AG$29,$A138&lt;=CARGAS!$AG$30),tanque7,0)</f>
        <v>0</v>
      </c>
      <c r="M138" s="22">
        <f>IF(AND($A138&gt;CARGAS!$AJ$29,$A138&lt;=CARGAS!$AJ$30),tanque8,0)</f>
        <v>0</v>
      </c>
      <c r="N138" s="22">
        <f t="shared" si="18"/>
        <v>557.88198171428564</v>
      </c>
      <c r="O138" s="22">
        <f t="shared" si="16"/>
        <v>12.750874335558386</v>
      </c>
      <c r="P138" s="22">
        <f>O138*Equilibrio!Y$39*Equilibrio!Y$38*DADOS!C$4</f>
        <v>392.08938581842034</v>
      </c>
      <c r="Q138" s="22">
        <f t="shared" si="19"/>
        <v>165.7925958958653</v>
      </c>
      <c r="R138" s="22">
        <f t="shared" si="20"/>
        <v>-16096.515502838645</v>
      </c>
      <c r="S138" s="22">
        <f t="shared" si="21"/>
        <v>-1249988.3938419085</v>
      </c>
      <c r="T138" s="22">
        <f t="shared" si="17"/>
        <v>76429.831494857135</v>
      </c>
    </row>
    <row r="139" spans="1:20" x14ac:dyDescent="0.25">
      <c r="A139" s="21">
        <v>138</v>
      </c>
      <c r="B139" s="22">
        <f>CARGAS!$C$40*Equilibrio!A139^2+CARGAS!$D$40*Equilibrio!A139+CARGAS!$E$40</f>
        <v>125.87654351020404</v>
      </c>
      <c r="C139" s="22">
        <f>CARGAS!$C$53*Equilibrio!A139^2+CARGAS!$D$53*Equilibrio!A139+CARGAS!$E$53</f>
        <v>20.979423918367342</v>
      </c>
      <c r="D139">
        <f>IF(posisup=1,IF(A139&lt;=CARGAS!$E$68,sup,0),IF(posisup=2,IF(AND(A139&lt;=CARGAS!$E$69,A139&gt;=CARGAS!$D$69),sup,0),IF(posisup=3,IF(AND(A139&lt;=CARGAS!$E$70,A139&gt;=CARGAS!$D$70),sup,0),0)))</f>
        <v>0</v>
      </c>
      <c r="E139">
        <f>IF(A139&lt;=CARGAS!$H$25,CARGAS!$I$20,0)</f>
        <v>0</v>
      </c>
      <c r="F139" s="22">
        <f>IF(AND(A139&gt;CARGAS!$O$29,A139&lt;=CARGAS!$O$30),tanque1,0)</f>
        <v>0</v>
      </c>
      <c r="G139" s="22">
        <f>IF(AND(A139&gt;CARGAS!$R$29,A139&lt;=CARGAS!$R$30),tanque2,0)</f>
        <v>0</v>
      </c>
      <c r="H139" s="22">
        <f>IF(AND(A139&gt;CARGAS!$U$29,A139&lt;=CARGAS!$U$30),tanque3,0)</f>
        <v>411.26400000000001</v>
      </c>
      <c r="I139" s="22">
        <f>IF(AND(A139&gt;CARGAS!$X$29,A139&lt;=CARGAS!$X$30),tanque4,0)</f>
        <v>0</v>
      </c>
      <c r="J139" s="22">
        <f>IF(AND(A139&gt;CARGAS!$AA$29,A139&lt;=CARGAS!$AA$30),tanque5,0)</f>
        <v>0</v>
      </c>
      <c r="K139" s="22">
        <f>IF(AND($A139&gt;CARGAS!$AD$29,$A139&lt;=CARGAS!$AD$30),tanque6,0)</f>
        <v>0</v>
      </c>
      <c r="L139" s="22">
        <f>IF(AND($A139&gt;CARGAS!$AG$29,$A139&lt;=CARGAS!$AG$30),tanque7,0)</f>
        <v>0</v>
      </c>
      <c r="M139" s="22">
        <f>IF(AND($A139&gt;CARGAS!$AJ$29,$A139&lt;=CARGAS!$AJ$30),tanque8,0)</f>
        <v>0</v>
      </c>
      <c r="N139" s="22">
        <f t="shared" si="18"/>
        <v>558.11996742857139</v>
      </c>
      <c r="O139" s="22">
        <f t="shared" si="16"/>
        <v>12.660396571387901</v>
      </c>
      <c r="P139" s="22">
        <f>O139*Equilibrio!Y$39*Equilibrio!Y$38*DADOS!C$4</f>
        <v>389.3071945701779</v>
      </c>
      <c r="Q139" s="22">
        <f t="shared" si="19"/>
        <v>168.81277285839349</v>
      </c>
      <c r="R139" s="22">
        <f t="shared" si="20"/>
        <v>-15927.702729980252</v>
      </c>
      <c r="S139" s="22">
        <f t="shared" si="21"/>
        <v>-1265916.0965718888</v>
      </c>
      <c r="T139" s="22">
        <f t="shared" si="17"/>
        <v>77020.555505142853</v>
      </c>
    </row>
    <row r="140" spans="1:20" x14ac:dyDescent="0.25">
      <c r="A140" s="21">
        <v>139</v>
      </c>
      <c r="B140" s="22">
        <f>CARGAS!$C$40*Equilibrio!A140^2+CARGAS!$D$40*Equilibrio!A140+CARGAS!$E$40</f>
        <v>126.07509159183668</v>
      </c>
      <c r="C140" s="22">
        <f>CARGAS!$C$53*Equilibrio!A140^2+CARGAS!$D$53*Equilibrio!A140+CARGAS!$E$53</f>
        <v>21.012515265306121</v>
      </c>
      <c r="D140">
        <f>IF(posisup=1,IF(A140&lt;=CARGAS!$E$68,sup,0),IF(posisup=2,IF(AND(A140&lt;=CARGAS!$E$69,A140&gt;=CARGAS!$D$69),sup,0),IF(posisup=3,IF(AND(A140&lt;=CARGAS!$E$70,A140&gt;=CARGAS!$D$70),sup,0),0)))</f>
        <v>0</v>
      </c>
      <c r="E140">
        <f>IF(A140&lt;=CARGAS!$H$25,CARGAS!$I$20,0)</f>
        <v>0</v>
      </c>
      <c r="F140" s="22">
        <f>IF(AND(A140&gt;CARGAS!$O$29,A140&lt;=CARGAS!$O$30),tanque1,0)</f>
        <v>0</v>
      </c>
      <c r="G140" s="22">
        <f>IF(AND(A140&gt;CARGAS!$R$29,A140&lt;=CARGAS!$R$30),tanque2,0)</f>
        <v>0</v>
      </c>
      <c r="H140" s="22">
        <f>IF(AND(A140&gt;CARGAS!$U$29,A140&lt;=CARGAS!$U$30),tanque3,0)</f>
        <v>411.26400000000001</v>
      </c>
      <c r="I140" s="22">
        <f>IF(AND(A140&gt;CARGAS!$X$29,A140&lt;=CARGAS!$X$30),tanque4,0)</f>
        <v>0</v>
      </c>
      <c r="J140" s="22">
        <f>IF(AND(A140&gt;CARGAS!$AA$29,A140&lt;=CARGAS!$AA$30),tanque5,0)</f>
        <v>0</v>
      </c>
      <c r="K140" s="22">
        <f>IF(AND($A140&gt;CARGAS!$AD$29,$A140&lt;=CARGAS!$AD$30),tanque6,0)</f>
        <v>0</v>
      </c>
      <c r="L140" s="22">
        <f>IF(AND($A140&gt;CARGAS!$AG$29,$A140&lt;=CARGAS!$AG$30),tanque7,0)</f>
        <v>0</v>
      </c>
      <c r="M140" s="22">
        <f>IF(AND($A140&gt;CARGAS!$AJ$29,$A140&lt;=CARGAS!$AJ$30),tanque8,0)</f>
        <v>0</v>
      </c>
      <c r="N140" s="22">
        <f t="shared" si="18"/>
        <v>558.35160685714277</v>
      </c>
      <c r="O140" s="22">
        <f t="shared" si="16"/>
        <v>12.572139116278397</v>
      </c>
      <c r="P140" s="22">
        <f>O140*Equilibrio!Y$39*Equilibrio!Y$38*DADOS!C$4</f>
        <v>386.59327782556068</v>
      </c>
      <c r="Q140" s="22">
        <f t="shared" si="19"/>
        <v>171.75832903158209</v>
      </c>
      <c r="R140" s="22">
        <f t="shared" si="20"/>
        <v>-15755.944400948671</v>
      </c>
      <c r="S140" s="22">
        <f t="shared" si="21"/>
        <v>-1281672.0409728375</v>
      </c>
      <c r="T140" s="22">
        <f t="shared" si="17"/>
        <v>77610.873353142844</v>
      </c>
    </row>
    <row r="141" spans="1:20" x14ac:dyDescent="0.25">
      <c r="A141" s="21">
        <v>140</v>
      </c>
      <c r="B141" s="22">
        <f>CARGAS!$C$40*Equilibrio!A141^2+CARGAS!$D$40*Equilibrio!A141+CARGAS!$E$40</f>
        <v>126.26819999999995</v>
      </c>
      <c r="C141" s="22">
        <f>CARGAS!$C$53*Equilibrio!A141^2+CARGAS!$D$53*Equilibrio!A141+CARGAS!$E$53</f>
        <v>21.044699999999995</v>
      </c>
      <c r="D141">
        <f>IF(posisup=1,IF(A141&lt;=CARGAS!$E$68,sup,0),IF(posisup=2,IF(AND(A141&lt;=CARGAS!$E$69,A141&gt;=CARGAS!$D$69),sup,0),IF(posisup=3,IF(AND(A141&lt;=CARGAS!$E$70,A141&gt;=CARGAS!$D$70),sup,0),0)))</f>
        <v>0</v>
      </c>
      <c r="E141">
        <f>IF(A141&lt;=CARGAS!$H$25,CARGAS!$I$20,0)</f>
        <v>0</v>
      </c>
      <c r="F141" s="22">
        <f>IF(AND(A141&gt;CARGAS!$O$29,A141&lt;=CARGAS!$O$30),tanque1,0)</f>
        <v>0</v>
      </c>
      <c r="G141" s="22">
        <f>IF(AND(A141&gt;CARGAS!$R$29,A141&lt;=CARGAS!$R$30),tanque2,0)</f>
        <v>0</v>
      </c>
      <c r="H141" s="22">
        <f>IF(AND(A141&gt;CARGAS!$U$29,A141&lt;=CARGAS!$U$30),tanque3,0)</f>
        <v>411.26400000000001</v>
      </c>
      <c r="I141" s="22">
        <f>IF(AND(A141&gt;CARGAS!$X$29,A141&lt;=CARGAS!$X$30),tanque4,0)</f>
        <v>0</v>
      </c>
      <c r="J141" s="22">
        <f>IF(AND(A141&gt;CARGAS!$AA$29,A141&lt;=CARGAS!$AA$30),tanque5,0)</f>
        <v>0</v>
      </c>
      <c r="K141" s="22">
        <f>IF(AND($A141&gt;CARGAS!$AD$29,$A141&lt;=CARGAS!$AD$30),tanque6,0)</f>
        <v>0</v>
      </c>
      <c r="L141" s="22">
        <f>IF(AND($A141&gt;CARGAS!$AG$29,$A141&lt;=CARGAS!$AG$30),tanque7,0)</f>
        <v>0</v>
      </c>
      <c r="M141" s="22">
        <f>IF(AND($A141&gt;CARGAS!$AJ$29,$A141&lt;=CARGAS!$AJ$30),tanque8,0)</f>
        <v>0</v>
      </c>
      <c r="N141" s="22">
        <f t="shared" si="18"/>
        <v>558.57690000000002</v>
      </c>
      <c r="O141" s="22">
        <f t="shared" si="16"/>
        <v>12.48613281604027</v>
      </c>
      <c r="P141" s="22">
        <f>O141*Equilibrio!Y$39*Equilibrio!Y$38*DADOS!C$4</f>
        <v>383.94858409323825</v>
      </c>
      <c r="Q141" s="22">
        <f t="shared" si="19"/>
        <v>174.62831590676177</v>
      </c>
      <c r="R141" s="22">
        <f t="shared" si="20"/>
        <v>-15581.316085041908</v>
      </c>
      <c r="S141" s="22">
        <f t="shared" si="21"/>
        <v>-1297253.3570578794</v>
      </c>
      <c r="T141" s="22">
        <f t="shared" si="17"/>
        <v>78200.766000000003</v>
      </c>
    </row>
    <row r="142" spans="1:20" x14ac:dyDescent="0.25">
      <c r="A142" s="21">
        <v>141</v>
      </c>
      <c r="B142" s="22">
        <f>CARGAS!$C$40*Equilibrio!A142^2+CARGAS!$D$40*Equilibrio!A142+CARGAS!$E$40</f>
        <v>126.45586873469382</v>
      </c>
      <c r="C142" s="22">
        <f>CARGAS!$C$53*Equilibrio!A142^2+CARGAS!$D$53*Equilibrio!A142+CARGAS!$E$53</f>
        <v>21.075978122448976</v>
      </c>
      <c r="D142">
        <f>IF(posisup=1,IF(A142&lt;=CARGAS!$E$68,sup,0),IF(posisup=2,IF(AND(A142&lt;=CARGAS!$E$69,A142&gt;=CARGAS!$D$69),sup,0),IF(posisup=3,IF(AND(A142&lt;=CARGAS!$E$70,A142&gt;=CARGAS!$D$70),sup,0),0)))</f>
        <v>0</v>
      </c>
      <c r="E142">
        <f>IF(A142&lt;=CARGAS!$H$25,CARGAS!$I$20,0)</f>
        <v>0</v>
      </c>
      <c r="F142" s="22">
        <f>IF(AND(A142&gt;CARGAS!$O$29,A142&lt;=CARGAS!$O$30),tanque1,0)</f>
        <v>0</v>
      </c>
      <c r="G142" s="22">
        <f>IF(AND(A142&gt;CARGAS!$R$29,A142&lt;=CARGAS!$R$30),tanque2,0)</f>
        <v>0</v>
      </c>
      <c r="H142" s="22">
        <f>IF(AND(A142&gt;CARGAS!$U$29,A142&lt;=CARGAS!$U$30),tanque3,0)</f>
        <v>411.26400000000001</v>
      </c>
      <c r="I142" s="22">
        <f>IF(AND(A142&gt;CARGAS!$X$29,A142&lt;=CARGAS!$X$30),tanque4,0)</f>
        <v>0</v>
      </c>
      <c r="J142" s="22">
        <f>IF(AND(A142&gt;CARGAS!$AA$29,A142&lt;=CARGAS!$AA$30),tanque5,0)</f>
        <v>0</v>
      </c>
      <c r="K142" s="22">
        <f>IF(AND($A142&gt;CARGAS!$AD$29,$A142&lt;=CARGAS!$AD$30),tanque6,0)</f>
        <v>0</v>
      </c>
      <c r="L142" s="22">
        <f>IF(AND($A142&gt;CARGAS!$AG$29,$A142&lt;=CARGAS!$AG$30),tanque7,0)</f>
        <v>0</v>
      </c>
      <c r="M142" s="22">
        <f>IF(AND($A142&gt;CARGAS!$AJ$29,$A142&lt;=CARGAS!$AJ$30),tanque8,0)</f>
        <v>0</v>
      </c>
      <c r="N142" s="22">
        <f t="shared" si="18"/>
        <v>558.79584685714281</v>
      </c>
      <c r="O142" s="22">
        <f t="shared" si="16"/>
        <v>12.402407791017437</v>
      </c>
      <c r="P142" s="22">
        <f>O142*Equilibrio!Y$39*Equilibrio!Y$38*DADOS!C$4</f>
        <v>381.37403957378615</v>
      </c>
      <c r="Q142" s="22">
        <f t="shared" si="19"/>
        <v>177.42180728335666</v>
      </c>
      <c r="R142" s="22">
        <f t="shared" si="20"/>
        <v>-15403.894277758551</v>
      </c>
      <c r="S142" s="22">
        <f t="shared" si="21"/>
        <v>-1312657.2513356381</v>
      </c>
      <c r="T142" s="22">
        <f t="shared" si="17"/>
        <v>78790.214406857136</v>
      </c>
    </row>
    <row r="143" spans="1:20" x14ac:dyDescent="0.25">
      <c r="A143" s="21">
        <v>142</v>
      </c>
      <c r="B143" s="22">
        <f>CARGAS!$C$40*Equilibrio!A143^2+CARGAS!$D$40*Equilibrio!A143+CARGAS!$E$40</f>
        <v>126.6380977959183</v>
      </c>
      <c r="C143" s="22">
        <f>CARGAS!$C$53*Equilibrio!A143^2+CARGAS!$D$53*Equilibrio!A143+CARGAS!$E$53</f>
        <v>21.106349632653057</v>
      </c>
      <c r="D143">
        <f>IF(posisup=1,IF(A143&lt;=CARGAS!$E$68,sup,0),IF(posisup=2,IF(AND(A143&lt;=CARGAS!$E$69,A143&gt;=CARGAS!$D$69),sup,0),IF(posisup=3,IF(AND(A143&lt;=CARGAS!$E$70,A143&gt;=CARGAS!$D$70),sup,0),0)))</f>
        <v>0</v>
      </c>
      <c r="E143">
        <f>IF(A143&lt;=CARGAS!$H$25,CARGAS!$I$20,0)</f>
        <v>0</v>
      </c>
      <c r="F143" s="22">
        <f>IF(AND(A143&gt;CARGAS!$O$29,A143&lt;=CARGAS!$O$30),tanque1,0)</f>
        <v>0</v>
      </c>
      <c r="G143" s="22">
        <f>IF(AND(A143&gt;CARGAS!$R$29,A143&lt;=CARGAS!$R$30),tanque2,0)</f>
        <v>0</v>
      </c>
      <c r="H143" s="22">
        <f>IF(AND(A143&gt;CARGAS!$U$29,A143&lt;=CARGAS!$U$30),tanque3,0)</f>
        <v>411.26400000000001</v>
      </c>
      <c r="I143" s="22">
        <f>IF(AND(A143&gt;CARGAS!$X$29,A143&lt;=CARGAS!$X$30),tanque4,0)</f>
        <v>0</v>
      </c>
      <c r="J143" s="22">
        <f>IF(AND(A143&gt;CARGAS!$AA$29,A143&lt;=CARGAS!$AA$30),tanque5,0)</f>
        <v>0</v>
      </c>
      <c r="K143" s="22">
        <f>IF(AND($A143&gt;CARGAS!$AD$29,$A143&lt;=CARGAS!$AD$30),tanque6,0)</f>
        <v>0</v>
      </c>
      <c r="L143" s="22">
        <f>IF(AND($A143&gt;CARGAS!$AG$29,$A143&lt;=CARGAS!$AG$30),tanque7,0)</f>
        <v>0</v>
      </c>
      <c r="M143" s="22">
        <f>IF(AND($A143&gt;CARGAS!$AJ$29,$A143&lt;=CARGAS!$AJ$30),tanque8,0)</f>
        <v>0</v>
      </c>
      <c r="N143" s="22">
        <f t="shared" si="18"/>
        <v>559.00844742857134</v>
      </c>
      <c r="O143" s="22">
        <f t="shared" si="16"/>
        <v>12.320993426380593</v>
      </c>
      <c r="P143" s="22">
        <f>O143*Equilibrio!Y$39*Equilibrio!Y$38*DADOS!C$4</f>
        <v>378.87054786120319</v>
      </c>
      <c r="Q143" s="22">
        <f t="shared" si="19"/>
        <v>180.13789956736815</v>
      </c>
      <c r="R143" s="22">
        <f t="shared" si="20"/>
        <v>-15223.756378191183</v>
      </c>
      <c r="S143" s="22">
        <f t="shared" si="21"/>
        <v>-1327881.0077138294</v>
      </c>
      <c r="T143" s="22">
        <f t="shared" si="17"/>
        <v>79379.199534857136</v>
      </c>
    </row>
    <row r="144" spans="1:20" x14ac:dyDescent="0.25">
      <c r="A144" s="21">
        <v>143</v>
      </c>
      <c r="B144" s="22">
        <f>CARGAS!$C$40*Equilibrio!A144^2+CARGAS!$D$40*Equilibrio!A144+CARGAS!$E$40</f>
        <v>126.81488718367341</v>
      </c>
      <c r="C144" s="22">
        <f>CARGAS!$C$53*Equilibrio!A144^2+CARGAS!$D$53*Equilibrio!A144+CARGAS!$E$53</f>
        <v>21.135814530612244</v>
      </c>
      <c r="D144">
        <f>IF(posisup=1,IF(A144&lt;=CARGAS!$E$68,sup,0),IF(posisup=2,IF(AND(A144&lt;=CARGAS!$E$69,A144&gt;=CARGAS!$D$69),sup,0),IF(posisup=3,IF(AND(A144&lt;=CARGAS!$E$70,A144&gt;=CARGAS!$D$70),sup,0),0)))</f>
        <v>0</v>
      </c>
      <c r="E144">
        <f>IF(A144&lt;=CARGAS!$H$25,CARGAS!$I$20,0)</f>
        <v>0</v>
      </c>
      <c r="F144" s="22">
        <f>IF(AND(A144&gt;CARGAS!$O$29,A144&lt;=CARGAS!$O$30),tanque1,0)</f>
        <v>0</v>
      </c>
      <c r="G144" s="22">
        <f>IF(AND(A144&gt;CARGAS!$R$29,A144&lt;=CARGAS!$R$30),tanque2,0)</f>
        <v>0</v>
      </c>
      <c r="H144" s="22">
        <f>IF(AND(A144&gt;CARGAS!$U$29,A144&lt;=CARGAS!$U$30),tanque3,0)</f>
        <v>411.26400000000001</v>
      </c>
      <c r="I144" s="22">
        <f>IF(AND(A144&gt;CARGAS!$X$29,A144&lt;=CARGAS!$X$30),tanque4,0)</f>
        <v>0</v>
      </c>
      <c r="J144" s="22">
        <f>IF(AND(A144&gt;CARGAS!$AA$29,A144&lt;=CARGAS!$AA$30),tanque5,0)</f>
        <v>0</v>
      </c>
      <c r="K144" s="22">
        <f>IF(AND($A144&gt;CARGAS!$AD$29,$A144&lt;=CARGAS!$AD$30),tanque6,0)</f>
        <v>0</v>
      </c>
      <c r="L144" s="22">
        <f>IF(AND($A144&gt;CARGAS!$AG$29,$A144&lt;=CARGAS!$AG$30),tanque7,0)</f>
        <v>0</v>
      </c>
      <c r="M144" s="22">
        <f>IF(AND($A144&gt;CARGAS!$AJ$29,$A144&lt;=CARGAS!$AJ$30),tanque8,0)</f>
        <v>0</v>
      </c>
      <c r="N144" s="22">
        <f t="shared" si="18"/>
        <v>559.21470171428564</v>
      </c>
      <c r="O144" s="22">
        <f t="shared" si="16"/>
        <v>12.241918362657469</v>
      </c>
      <c r="P144" s="22">
        <f>O144*Equilibrio!Y$39*Equilibrio!Y$38*DADOS!C$4</f>
        <v>376.43898965171718</v>
      </c>
      <c r="Q144" s="22">
        <f t="shared" si="19"/>
        <v>182.77571206256846</v>
      </c>
      <c r="R144" s="22">
        <f t="shared" si="20"/>
        <v>-15040.980666128615</v>
      </c>
      <c r="S144" s="22">
        <f t="shared" si="21"/>
        <v>-1342921.9883799581</v>
      </c>
      <c r="T144" s="22">
        <f t="shared" si="17"/>
        <v>79967.702345142839</v>
      </c>
    </row>
    <row r="145" spans="1:20" x14ac:dyDescent="0.25">
      <c r="A145" s="21">
        <v>144</v>
      </c>
      <c r="B145" s="22">
        <f>CARGAS!$C$40*Equilibrio!A145^2+CARGAS!$D$40*Equilibrio!A145+CARGAS!$E$40</f>
        <v>126.98623689795912</v>
      </c>
      <c r="C145" s="22">
        <f>CARGAS!$C$53*Equilibrio!A145^2+CARGAS!$D$53*Equilibrio!A145+CARGAS!$E$53</f>
        <v>21.164372816326527</v>
      </c>
      <c r="D145">
        <f>IF(posisup=1,IF(A145&lt;=CARGAS!$E$68,sup,0),IF(posisup=2,IF(AND(A145&lt;=CARGAS!$E$69,A145&gt;=CARGAS!$D$69),sup,0),IF(posisup=3,IF(AND(A145&lt;=CARGAS!$E$70,A145&gt;=CARGAS!$D$70),sup,0),0)))</f>
        <v>0</v>
      </c>
      <c r="E145">
        <f>IF(A145&lt;=CARGAS!$H$25,CARGAS!$I$20,0)</f>
        <v>0</v>
      </c>
      <c r="F145" s="22">
        <f>IF(AND(A145&gt;CARGAS!$O$29,A145&lt;=CARGAS!$O$30),tanque1,0)</f>
        <v>0</v>
      </c>
      <c r="G145" s="22">
        <f>IF(AND(A145&gt;CARGAS!$R$29,A145&lt;=CARGAS!$R$30),tanque2,0)</f>
        <v>0</v>
      </c>
      <c r="H145" s="22">
        <f>IF(AND(A145&gt;CARGAS!$U$29,A145&lt;=CARGAS!$U$30),tanque3,0)</f>
        <v>0</v>
      </c>
      <c r="I145" s="22">
        <f>IF(AND(A145&gt;CARGAS!$X$29,A145&lt;=CARGAS!$X$30),tanque4,0)</f>
        <v>571.20000000000005</v>
      </c>
      <c r="J145" s="22">
        <f>IF(AND(A145&gt;CARGAS!$AA$29,A145&lt;=CARGAS!$AA$30),tanque5,0)</f>
        <v>0</v>
      </c>
      <c r="K145" s="22">
        <f>IF(AND($A145&gt;CARGAS!$AD$29,$A145&lt;=CARGAS!$AD$30),tanque6,0)</f>
        <v>0</v>
      </c>
      <c r="L145" s="22">
        <f>IF(AND($A145&gt;CARGAS!$AG$29,$A145&lt;=CARGAS!$AG$30),tanque7,0)</f>
        <v>0</v>
      </c>
      <c r="M145" s="22">
        <f>IF(AND($A145&gt;CARGAS!$AJ$29,$A145&lt;=CARGAS!$AJ$30),tanque8,0)</f>
        <v>0</v>
      </c>
      <c r="N145" s="22">
        <f t="shared" si="18"/>
        <v>719.35060971428572</v>
      </c>
      <c r="O145" s="22">
        <f t="shared" si="16"/>
        <v>12.16521048650298</v>
      </c>
      <c r="P145" s="22">
        <f>O145*Equilibrio!Y$39*Equilibrio!Y$38*DADOS!C$4</f>
        <v>374.08022245996659</v>
      </c>
      <c r="Q145" s="22">
        <f t="shared" si="19"/>
        <v>345.27038725431913</v>
      </c>
      <c r="R145" s="22">
        <f t="shared" si="20"/>
        <v>-14695.710278874296</v>
      </c>
      <c r="S145" s="22">
        <f t="shared" si="21"/>
        <v>-1357617.6986588323</v>
      </c>
      <c r="T145" s="22">
        <f t="shared" si="17"/>
        <v>103586.48779885714</v>
      </c>
    </row>
    <row r="146" spans="1:20" x14ac:dyDescent="0.25">
      <c r="A146" s="21">
        <v>145</v>
      </c>
      <c r="B146" s="22">
        <f>CARGAS!$C$40*Equilibrio!A146^2+CARGAS!$D$40*Equilibrio!A146+CARGAS!$E$40</f>
        <v>127.15214693877547</v>
      </c>
      <c r="C146" s="22">
        <f>CARGAS!$C$53*Equilibrio!A146^2+CARGAS!$D$53*Equilibrio!A146+CARGAS!$E$53</f>
        <v>21.192024489795916</v>
      </c>
      <c r="D146">
        <f>IF(posisup=1,IF(A146&lt;=CARGAS!$E$68,sup,0),IF(posisup=2,IF(AND(A146&lt;=CARGAS!$E$69,A146&gt;=CARGAS!$D$69),sup,0),IF(posisup=3,IF(AND(A146&lt;=CARGAS!$E$70,A146&gt;=CARGAS!$D$70),sup,0),0)))</f>
        <v>0</v>
      </c>
      <c r="E146">
        <f>IF(A146&lt;=CARGAS!$H$25,CARGAS!$I$20,0)</f>
        <v>0</v>
      </c>
      <c r="F146" s="22">
        <f>IF(AND(A146&gt;CARGAS!$O$29,A146&lt;=CARGAS!$O$30),tanque1,0)</f>
        <v>0</v>
      </c>
      <c r="G146" s="22">
        <f>IF(AND(A146&gt;CARGAS!$R$29,A146&lt;=CARGAS!$R$30),tanque2,0)</f>
        <v>0</v>
      </c>
      <c r="H146" s="22">
        <f>IF(AND(A146&gt;CARGAS!$U$29,A146&lt;=CARGAS!$U$30),tanque3,0)</f>
        <v>0</v>
      </c>
      <c r="I146" s="22">
        <f>IF(AND(A146&gt;CARGAS!$X$29,A146&lt;=CARGAS!$X$30),tanque4,0)</f>
        <v>571.20000000000005</v>
      </c>
      <c r="J146" s="22">
        <f>IF(AND(A146&gt;CARGAS!$AA$29,A146&lt;=CARGAS!$AA$30),tanque5,0)</f>
        <v>0</v>
      </c>
      <c r="K146" s="22">
        <f>IF(AND($A146&gt;CARGAS!$AD$29,$A146&lt;=CARGAS!$AD$30),tanque6,0)</f>
        <v>0</v>
      </c>
      <c r="L146" s="22">
        <f>IF(AND($A146&gt;CARGAS!$AG$29,$A146&lt;=CARGAS!$AG$30),tanque7,0)</f>
        <v>0</v>
      </c>
      <c r="M146" s="22">
        <f>IF(AND($A146&gt;CARGAS!$AJ$29,$A146&lt;=CARGAS!$AJ$30),tanque8,0)</f>
        <v>0</v>
      </c>
      <c r="N146" s="22">
        <f t="shared" si="18"/>
        <v>719.54417142857142</v>
      </c>
      <c r="O146" s="22">
        <f t="shared" si="16"/>
        <v>12.090896921712373</v>
      </c>
      <c r="P146" s="22">
        <f>O146*Equilibrio!Y$39*Equilibrio!Y$38*DADOS!C$4</f>
        <v>371.79508034265541</v>
      </c>
      <c r="Q146" s="22">
        <f t="shared" si="19"/>
        <v>347.74909108591601</v>
      </c>
      <c r="R146" s="22">
        <f t="shared" si="20"/>
        <v>-14347.96118778838</v>
      </c>
      <c r="S146" s="22">
        <f t="shared" si="21"/>
        <v>-1371965.6598466206</v>
      </c>
      <c r="T146" s="22">
        <f t="shared" si="17"/>
        <v>104333.90485714286</v>
      </c>
    </row>
    <row r="147" spans="1:20" x14ac:dyDescent="0.25">
      <c r="A147" s="21">
        <v>146</v>
      </c>
      <c r="B147" s="22">
        <f>CARGAS!$C$40*Equilibrio!A147^2+CARGAS!$D$40*Equilibrio!A147+CARGAS!$E$40</f>
        <v>127.31261730612241</v>
      </c>
      <c r="C147" s="22">
        <f>CARGAS!$C$53*Equilibrio!A147^2+CARGAS!$D$53*Equilibrio!A147+CARGAS!$E$53</f>
        <v>21.218769551020404</v>
      </c>
      <c r="D147">
        <f>IF(posisup=1,IF(A147&lt;=CARGAS!$E$68,sup,0),IF(posisup=2,IF(AND(A147&lt;=CARGAS!$E$69,A147&gt;=CARGAS!$D$69),sup,0),IF(posisup=3,IF(AND(A147&lt;=CARGAS!$E$70,A147&gt;=CARGAS!$D$70),sup,0),0)))</f>
        <v>0</v>
      </c>
      <c r="E147">
        <f>IF(A147&lt;=CARGAS!$H$25,CARGAS!$I$20,0)</f>
        <v>0</v>
      </c>
      <c r="F147" s="22">
        <f>IF(AND(A147&gt;CARGAS!$O$29,A147&lt;=CARGAS!$O$30),tanque1,0)</f>
        <v>0</v>
      </c>
      <c r="G147" s="22">
        <f>IF(AND(A147&gt;CARGAS!$R$29,A147&lt;=CARGAS!$R$30),tanque2,0)</f>
        <v>0</v>
      </c>
      <c r="H147" s="22">
        <f>IF(AND(A147&gt;CARGAS!$U$29,A147&lt;=CARGAS!$U$30),tanque3,0)</f>
        <v>0</v>
      </c>
      <c r="I147" s="22">
        <f>IF(AND(A147&gt;CARGAS!$X$29,A147&lt;=CARGAS!$X$30),tanque4,0)</f>
        <v>571.20000000000005</v>
      </c>
      <c r="J147" s="22">
        <f>IF(AND(A147&gt;CARGAS!$AA$29,A147&lt;=CARGAS!$AA$30),tanque5,0)</f>
        <v>0</v>
      </c>
      <c r="K147" s="22">
        <f>IF(AND($A147&gt;CARGAS!$AD$29,$A147&lt;=CARGAS!$AD$30),tanque6,0)</f>
        <v>0</v>
      </c>
      <c r="L147" s="22">
        <f>IF(AND($A147&gt;CARGAS!$AG$29,$A147&lt;=CARGAS!$AG$30),tanque7,0)</f>
        <v>0</v>
      </c>
      <c r="M147" s="22">
        <f>IF(AND($A147&gt;CARGAS!$AJ$29,$A147&lt;=CARGAS!$AJ$30),tanque8,0)</f>
        <v>0</v>
      </c>
      <c r="N147" s="22">
        <f t="shared" si="18"/>
        <v>719.73138685714287</v>
      </c>
      <c r="O147" s="22">
        <f t="shared" si="16"/>
        <v>12.0190040204802</v>
      </c>
      <c r="P147" s="22">
        <f>O147*Equilibrio!Y$39*Equilibrio!Y$38*DADOS!C$4</f>
        <v>369.58437362976611</v>
      </c>
      <c r="Q147" s="22">
        <f t="shared" si="19"/>
        <v>350.14701322737676</v>
      </c>
      <c r="R147" s="22">
        <f t="shared" si="20"/>
        <v>-13997.814174561003</v>
      </c>
      <c r="S147" s="22">
        <f t="shared" si="21"/>
        <v>-1385963.4740211817</v>
      </c>
      <c r="T147" s="22">
        <f t="shared" si="17"/>
        <v>105080.78248114286</v>
      </c>
    </row>
    <row r="148" spans="1:20" x14ac:dyDescent="0.25">
      <c r="A148" s="21">
        <v>147</v>
      </c>
      <c r="B148" s="22">
        <f>CARGAS!$C$40*Equilibrio!A148^2+CARGAS!$D$40*Equilibrio!A148+CARGAS!$E$40</f>
        <v>127.46764799999995</v>
      </c>
      <c r="C148" s="22">
        <f>CARGAS!$C$53*Equilibrio!A148^2+CARGAS!$D$53*Equilibrio!A148+CARGAS!$E$53</f>
        <v>21.244607999999999</v>
      </c>
      <c r="D148">
        <f>IF(posisup=1,IF(A148&lt;=CARGAS!$E$68,sup,0),IF(posisup=2,IF(AND(A148&lt;=CARGAS!$E$69,A148&gt;=CARGAS!$D$69),sup,0),IF(posisup=3,IF(AND(A148&lt;=CARGAS!$E$70,A148&gt;=CARGAS!$D$70),sup,0),0)))</f>
        <v>0</v>
      </c>
      <c r="E148">
        <f>IF(A148&lt;=CARGAS!$H$25,CARGAS!$I$20,0)</f>
        <v>0</v>
      </c>
      <c r="F148" s="22">
        <f>IF(AND(A148&gt;CARGAS!$O$29,A148&lt;=CARGAS!$O$30),tanque1,0)</f>
        <v>0</v>
      </c>
      <c r="G148" s="22">
        <f>IF(AND(A148&gt;CARGAS!$R$29,A148&lt;=CARGAS!$R$30),tanque2,0)</f>
        <v>0</v>
      </c>
      <c r="H148" s="22">
        <f>IF(AND(A148&gt;CARGAS!$U$29,A148&lt;=CARGAS!$U$30),tanque3,0)</f>
        <v>0</v>
      </c>
      <c r="I148" s="22">
        <f>IF(AND(A148&gt;CARGAS!$X$29,A148&lt;=CARGAS!$X$30),tanque4,0)</f>
        <v>571.20000000000005</v>
      </c>
      <c r="J148" s="22">
        <f>IF(AND(A148&gt;CARGAS!$AA$29,A148&lt;=CARGAS!$AA$30),tanque5,0)</f>
        <v>0</v>
      </c>
      <c r="K148" s="22">
        <f>IF(AND($A148&gt;CARGAS!$AD$29,$A148&lt;=CARGAS!$AD$30),tanque6,0)</f>
        <v>0</v>
      </c>
      <c r="L148" s="22">
        <f>IF(AND($A148&gt;CARGAS!$AG$29,$A148&lt;=CARGAS!$AG$30),tanque7,0)</f>
        <v>0</v>
      </c>
      <c r="M148" s="22">
        <f>IF(AND($A148&gt;CARGAS!$AJ$29,$A148&lt;=CARGAS!$AJ$30),tanque8,0)</f>
        <v>0</v>
      </c>
      <c r="N148" s="22">
        <f t="shared" si="18"/>
        <v>719.91225600000007</v>
      </c>
      <c r="O148" s="22">
        <f t="shared" si="16"/>
        <v>11.949557354907952</v>
      </c>
      <c r="P148" s="22">
        <f>O148*Equilibrio!Y$39*Equilibrio!Y$38*DADOS!C$4</f>
        <v>367.44888866341955</v>
      </c>
      <c r="Q148" s="22">
        <f t="shared" si="19"/>
        <v>352.46336733658052</v>
      </c>
      <c r="R148" s="22">
        <f t="shared" si="20"/>
        <v>-13645.350807224422</v>
      </c>
      <c r="S148" s="22">
        <f t="shared" si="21"/>
        <v>-1399608.8248284061</v>
      </c>
      <c r="T148" s="22">
        <f t="shared" si="17"/>
        <v>105827.10163200001</v>
      </c>
    </row>
    <row r="149" spans="1:20" x14ac:dyDescent="0.25">
      <c r="A149" s="21">
        <v>148</v>
      </c>
      <c r="B149" s="22">
        <f>CARGAS!$C$40*Equilibrio!A149^2+CARGAS!$D$40*Equilibrio!A149+CARGAS!$E$40</f>
        <v>127.61723902040811</v>
      </c>
      <c r="C149" s="22">
        <f>CARGAS!$C$53*Equilibrio!A149^2+CARGAS!$D$53*Equilibrio!A149+CARGAS!$E$53</f>
        <v>21.269539836734687</v>
      </c>
      <c r="D149">
        <f>IF(posisup=1,IF(A149&lt;=CARGAS!$E$68,sup,0),IF(posisup=2,IF(AND(A149&lt;=CARGAS!$E$69,A149&gt;=CARGAS!$D$69),sup,0),IF(posisup=3,IF(AND(A149&lt;=CARGAS!$E$70,A149&gt;=CARGAS!$D$70),sup,0),0)))</f>
        <v>0</v>
      </c>
      <c r="E149">
        <f>IF(A149&lt;=CARGAS!$H$25,CARGAS!$I$20,0)</f>
        <v>0</v>
      </c>
      <c r="F149" s="22">
        <f>IF(AND(A149&gt;CARGAS!$O$29,A149&lt;=CARGAS!$O$30),tanque1,0)</f>
        <v>0</v>
      </c>
      <c r="G149" s="22">
        <f>IF(AND(A149&gt;CARGAS!$R$29,A149&lt;=CARGAS!$R$30),tanque2,0)</f>
        <v>0</v>
      </c>
      <c r="H149" s="22">
        <f>IF(AND(A149&gt;CARGAS!$U$29,A149&lt;=CARGAS!$U$30),tanque3,0)</f>
        <v>0</v>
      </c>
      <c r="I149" s="22">
        <f>IF(AND(A149&gt;CARGAS!$X$29,A149&lt;=CARGAS!$X$30),tanque4,0)</f>
        <v>571.20000000000005</v>
      </c>
      <c r="J149" s="22">
        <f>IF(AND(A149&gt;CARGAS!$AA$29,A149&lt;=CARGAS!$AA$30),tanque5,0)</f>
        <v>0</v>
      </c>
      <c r="K149" s="22">
        <f>IF(AND($A149&gt;CARGAS!$AD$29,$A149&lt;=CARGAS!$AD$30),tanque6,0)</f>
        <v>0</v>
      </c>
      <c r="L149" s="22">
        <f>IF(AND($A149&gt;CARGAS!$AG$29,$A149&lt;=CARGAS!$AG$30),tanque7,0)</f>
        <v>0</v>
      </c>
      <c r="M149" s="22">
        <f>IF(AND($A149&gt;CARGAS!$AJ$29,$A149&lt;=CARGAS!$AJ$30),tanque8,0)</f>
        <v>0</v>
      </c>
      <c r="N149" s="22">
        <f t="shared" si="18"/>
        <v>720.0867788571428</v>
      </c>
      <c r="O149" s="22">
        <f t="shared" si="16"/>
        <v>11.882581708763073</v>
      </c>
      <c r="P149" s="22">
        <f>O149*Equilibrio!Y$39*Equilibrio!Y$38*DADOS!C$4</f>
        <v>365.38938754446446</v>
      </c>
      <c r="Q149" s="22">
        <f t="shared" si="19"/>
        <v>354.69739131267835</v>
      </c>
      <c r="R149" s="22">
        <f t="shared" si="20"/>
        <v>-13290.653415911744</v>
      </c>
      <c r="S149" s="22">
        <f t="shared" si="21"/>
        <v>-1412899.4782443179</v>
      </c>
      <c r="T149" s="22">
        <f t="shared" si="17"/>
        <v>106572.84327085713</v>
      </c>
    </row>
    <row r="150" spans="1:20" x14ac:dyDescent="0.25">
      <c r="A150" s="21">
        <v>149</v>
      </c>
      <c r="B150" s="22">
        <f>CARGAS!$C$40*Equilibrio!A150^2+CARGAS!$D$40*Equilibrio!A150+CARGAS!$E$40</f>
        <v>127.76139036734688</v>
      </c>
      <c r="C150" s="22">
        <f>CARGAS!$C$53*Equilibrio!A150^2+CARGAS!$D$53*Equilibrio!A150+CARGAS!$E$53</f>
        <v>21.293565061224488</v>
      </c>
      <c r="D150">
        <f>IF(posisup=1,IF(A150&lt;=CARGAS!$E$68,sup,0),IF(posisup=2,IF(AND(A150&lt;=CARGAS!$E$69,A150&gt;=CARGAS!$D$69),sup,0),IF(posisup=3,IF(AND(A150&lt;=CARGAS!$E$70,A150&gt;=CARGAS!$D$70),sup,0),0)))</f>
        <v>0</v>
      </c>
      <c r="E150">
        <f>IF(A150&lt;=CARGAS!$H$25,CARGAS!$I$20,0)</f>
        <v>0</v>
      </c>
      <c r="F150" s="22">
        <f>IF(AND(A150&gt;CARGAS!$O$29,A150&lt;=CARGAS!$O$30),tanque1,0)</f>
        <v>0</v>
      </c>
      <c r="G150" s="22">
        <f>IF(AND(A150&gt;CARGAS!$R$29,A150&lt;=CARGAS!$R$30),tanque2,0)</f>
        <v>0</v>
      </c>
      <c r="H150" s="22">
        <f>IF(AND(A150&gt;CARGAS!$U$29,A150&lt;=CARGAS!$U$30),tanque3,0)</f>
        <v>0</v>
      </c>
      <c r="I150" s="22">
        <f>IF(AND(A150&gt;CARGAS!$X$29,A150&lt;=CARGAS!$X$30),tanque4,0)</f>
        <v>571.20000000000005</v>
      </c>
      <c r="J150" s="22">
        <f>IF(AND(A150&gt;CARGAS!$AA$29,A150&lt;=CARGAS!$AA$30),tanque5,0)</f>
        <v>0</v>
      </c>
      <c r="K150" s="22">
        <f>IF(AND($A150&gt;CARGAS!$AD$29,$A150&lt;=CARGAS!$AD$30),tanque6,0)</f>
        <v>0</v>
      </c>
      <c r="L150" s="22">
        <f>IF(AND($A150&gt;CARGAS!$AG$29,$A150&lt;=CARGAS!$AG$30),tanque7,0)</f>
        <v>0</v>
      </c>
      <c r="M150" s="22">
        <f>IF(AND($A150&gt;CARGAS!$AJ$29,$A150&lt;=CARGAS!$AJ$30),tanque8,0)</f>
        <v>0</v>
      </c>
      <c r="N150" s="22">
        <f t="shared" si="18"/>
        <v>720.25495542857141</v>
      </c>
      <c r="O150" s="22">
        <f t="shared" si="16"/>
        <v>11.818101069492068</v>
      </c>
      <c r="P150" s="22">
        <f>O150*Equilibrio!Y$39*Equilibrio!Y$38*DADOS!C$4</f>
        <v>363.40660788688103</v>
      </c>
      <c r="Q150" s="22">
        <f t="shared" si="19"/>
        <v>356.84834754169037</v>
      </c>
      <c r="R150" s="22">
        <f t="shared" si="20"/>
        <v>-12933.805068370053</v>
      </c>
      <c r="S150" s="22">
        <f t="shared" si="21"/>
        <v>-1425833.2833126879</v>
      </c>
      <c r="T150" s="22">
        <f t="shared" si="17"/>
        <v>107317.98835885714</v>
      </c>
    </row>
    <row r="151" spans="1:20" x14ac:dyDescent="0.25">
      <c r="A151" s="21">
        <v>150</v>
      </c>
      <c r="B151" s="22">
        <f>CARGAS!$C$40*Equilibrio!A151^2+CARGAS!$D$40*Equilibrio!A151+CARGAS!$E$40</f>
        <v>127.90010204081628</v>
      </c>
      <c r="C151" s="22">
        <f>CARGAS!$C$53*Equilibrio!A151^2+CARGAS!$D$53*Equilibrio!A151+CARGAS!$E$53</f>
        <v>21.316683673469385</v>
      </c>
      <c r="D151">
        <f>IF(posisup=1,IF(A151&lt;=CARGAS!$E$68,sup,0),IF(posisup=2,IF(AND(A151&lt;=CARGAS!$E$69,A151&gt;=CARGAS!$D$69),sup,0),IF(posisup=3,IF(AND(A151&lt;=CARGAS!$E$70,A151&gt;=CARGAS!$D$70),sup,0),0)))</f>
        <v>0</v>
      </c>
      <c r="E151">
        <f>IF(A151&lt;=CARGAS!$H$25,CARGAS!$I$20,0)</f>
        <v>0</v>
      </c>
      <c r="F151" s="22">
        <f>IF(AND(A151&gt;CARGAS!$O$29,A151&lt;=CARGAS!$O$30),tanque1,0)</f>
        <v>0</v>
      </c>
      <c r="G151" s="22">
        <f>IF(AND(A151&gt;CARGAS!$R$29,A151&lt;=CARGAS!$R$30),tanque2,0)</f>
        <v>0</v>
      </c>
      <c r="H151" s="22">
        <f>IF(AND(A151&gt;CARGAS!$U$29,A151&lt;=CARGAS!$U$30),tanque3,0)</f>
        <v>0</v>
      </c>
      <c r="I151" s="22">
        <f>IF(AND(A151&gt;CARGAS!$X$29,A151&lt;=CARGAS!$X$30),tanque4,0)</f>
        <v>571.20000000000005</v>
      </c>
      <c r="J151" s="22">
        <f>IF(AND(A151&gt;CARGAS!$AA$29,A151&lt;=CARGAS!$AA$30),tanque5,0)</f>
        <v>0</v>
      </c>
      <c r="K151" s="22">
        <f>IF(AND($A151&gt;CARGAS!$AD$29,$A151&lt;=CARGAS!$AD$30),tanque6,0)</f>
        <v>0</v>
      </c>
      <c r="L151" s="22">
        <f>IF(AND($A151&gt;CARGAS!$AG$29,$A151&lt;=CARGAS!$AG$30),tanque7,0)</f>
        <v>0</v>
      </c>
      <c r="M151" s="22">
        <f>IF(AND($A151&gt;CARGAS!$AJ$29,$A151&lt;=CARGAS!$AJ$30),tanque8,0)</f>
        <v>0</v>
      </c>
      <c r="N151" s="22">
        <f t="shared" si="18"/>
        <v>720.41678571428565</v>
      </c>
      <c r="O151" s="22">
        <f t="shared" si="16"/>
        <v>11.756138620490175</v>
      </c>
      <c r="P151" s="22">
        <f>O151*Equilibrio!Y$39*Equilibrio!Y$38*DADOS!C$4</f>
        <v>361.50126258007282</v>
      </c>
      <c r="Q151" s="22">
        <f t="shared" si="19"/>
        <v>358.91552313421283</v>
      </c>
      <c r="R151" s="22">
        <f t="shared" si="20"/>
        <v>-12574.889545235841</v>
      </c>
      <c r="S151" s="22">
        <f t="shared" si="21"/>
        <v>-1438408.1728579237</v>
      </c>
      <c r="T151" s="22">
        <f t="shared" si="17"/>
        <v>108062.51785714284</v>
      </c>
    </row>
    <row r="152" spans="1:20" x14ac:dyDescent="0.25">
      <c r="A152" s="21">
        <v>151</v>
      </c>
      <c r="B152" s="22">
        <f>CARGAS!$C$40*Equilibrio!A152^2+CARGAS!$D$40*Equilibrio!A152+CARGAS!$E$40</f>
        <v>128.03337404081628</v>
      </c>
      <c r="C152" s="22">
        <f>CARGAS!$C$53*Equilibrio!A152^2+CARGAS!$D$53*Equilibrio!A152+CARGAS!$E$53</f>
        <v>21.338895673469384</v>
      </c>
      <c r="D152">
        <f>IF(posisup=1,IF(A152&lt;=CARGAS!$E$68,sup,0),IF(posisup=2,IF(AND(A152&lt;=CARGAS!$E$69,A152&gt;=CARGAS!$D$69),sup,0),IF(posisup=3,IF(AND(A152&lt;=CARGAS!$E$70,A152&gt;=CARGAS!$D$70),sup,0),0)))</f>
        <v>0</v>
      </c>
      <c r="E152">
        <f>IF(A152&lt;=CARGAS!$H$25,CARGAS!$I$20,0)</f>
        <v>0</v>
      </c>
      <c r="F152" s="22">
        <f>IF(AND(A152&gt;CARGAS!$O$29,A152&lt;=CARGAS!$O$30),tanque1,0)</f>
        <v>0</v>
      </c>
      <c r="G152" s="22">
        <f>IF(AND(A152&gt;CARGAS!$R$29,A152&lt;=CARGAS!$R$30),tanque2,0)</f>
        <v>0</v>
      </c>
      <c r="H152" s="22">
        <f>IF(AND(A152&gt;CARGAS!$U$29,A152&lt;=CARGAS!$U$30),tanque3,0)</f>
        <v>0</v>
      </c>
      <c r="I152" s="22">
        <f>IF(AND(A152&gt;CARGAS!$X$29,A152&lt;=CARGAS!$X$30),tanque4,0)</f>
        <v>571.20000000000005</v>
      </c>
      <c r="J152" s="22">
        <f>IF(AND(A152&gt;CARGAS!$AA$29,A152&lt;=CARGAS!$AA$30),tanque5,0)</f>
        <v>0</v>
      </c>
      <c r="K152" s="22">
        <f>IF(AND($A152&gt;CARGAS!$AD$29,$A152&lt;=CARGAS!$AD$30),tanque6,0)</f>
        <v>0</v>
      </c>
      <c r="L152" s="22">
        <f>IF(AND($A152&gt;CARGAS!$AG$29,$A152&lt;=CARGAS!$AG$30),tanque7,0)</f>
        <v>0</v>
      </c>
      <c r="M152" s="22">
        <f>IF(AND($A152&gt;CARGAS!$AJ$29,$A152&lt;=CARGAS!$AJ$30),tanque8,0)</f>
        <v>0</v>
      </c>
      <c r="N152" s="22">
        <f t="shared" si="18"/>
        <v>720.57226971428577</v>
      </c>
      <c r="O152" s="22">
        <f t="shared" si="16"/>
        <v>11.696716733630218</v>
      </c>
      <c r="P152" s="22">
        <f>O152*Equilibrio!Y$39*Equilibrio!Y$38*DADOS!C$4</f>
        <v>359.6740395591292</v>
      </c>
      <c r="Q152" s="22">
        <f t="shared" si="19"/>
        <v>360.89823015515657</v>
      </c>
      <c r="R152" s="22">
        <f t="shared" si="20"/>
        <v>-12213.991315080684</v>
      </c>
      <c r="S152" s="22">
        <f t="shared" si="21"/>
        <v>-1450622.1641730045</v>
      </c>
      <c r="T152" s="22">
        <f t="shared" si="17"/>
        <v>108806.41272685715</v>
      </c>
    </row>
    <row r="153" spans="1:20" x14ac:dyDescent="0.25">
      <c r="A153" s="21">
        <v>152</v>
      </c>
      <c r="B153" s="22">
        <f>CARGAS!$C$40*Equilibrio!A153^2+CARGAS!$D$40*Equilibrio!A153+CARGAS!$E$40</f>
        <v>128.16120636734689</v>
      </c>
      <c r="C153" s="22">
        <f>CARGAS!$C$53*Equilibrio!A153^2+CARGAS!$D$53*Equilibrio!A153+CARGAS!$E$53</f>
        <v>21.360201061224487</v>
      </c>
      <c r="D153">
        <f>IF(posisup=1,IF(A153&lt;=CARGAS!$E$68,sup,0),IF(posisup=2,IF(AND(A153&lt;=CARGAS!$E$69,A153&gt;=CARGAS!$D$69),sup,0),IF(posisup=3,IF(AND(A153&lt;=CARGAS!$E$70,A153&gt;=CARGAS!$D$70),sup,0),0)))</f>
        <v>0</v>
      </c>
      <c r="E153">
        <f>IF(A153&lt;=CARGAS!$H$25,CARGAS!$I$20,0)</f>
        <v>0</v>
      </c>
      <c r="F153" s="22">
        <f>IF(AND(A153&gt;CARGAS!$O$29,A153&lt;=CARGAS!$O$30),tanque1,0)</f>
        <v>0</v>
      </c>
      <c r="G153" s="22">
        <f>IF(AND(A153&gt;CARGAS!$R$29,A153&lt;=CARGAS!$R$30),tanque2,0)</f>
        <v>0</v>
      </c>
      <c r="H153" s="22">
        <f>IF(AND(A153&gt;CARGAS!$U$29,A153&lt;=CARGAS!$U$30),tanque3,0)</f>
        <v>0</v>
      </c>
      <c r="I153" s="22">
        <f>IF(AND(A153&gt;CARGAS!$X$29,A153&lt;=CARGAS!$X$30),tanque4,0)</f>
        <v>571.20000000000005</v>
      </c>
      <c r="J153" s="22">
        <f>IF(AND(A153&gt;CARGAS!$AA$29,A153&lt;=CARGAS!$AA$30),tanque5,0)</f>
        <v>0</v>
      </c>
      <c r="K153" s="22">
        <f>IF(AND($A153&gt;CARGAS!$AD$29,$A153&lt;=CARGAS!$AD$30),tanque6,0)</f>
        <v>0</v>
      </c>
      <c r="L153" s="22">
        <f>IF(AND($A153&gt;CARGAS!$AG$29,$A153&lt;=CARGAS!$AG$30),tanque7,0)</f>
        <v>0</v>
      </c>
      <c r="M153" s="22">
        <f>IF(AND($A153&gt;CARGAS!$AJ$29,$A153&lt;=CARGAS!$AJ$30),tanque8,0)</f>
        <v>0</v>
      </c>
      <c r="N153" s="22">
        <f t="shared" si="18"/>
        <v>720.72140742857141</v>
      </c>
      <c r="O153" s="22">
        <f t="shared" si="16"/>
        <v>11.63985696205294</v>
      </c>
      <c r="P153" s="22">
        <f>O153*Equilibrio!Y$39*Equilibrio!Y$38*DADOS!C$4</f>
        <v>357.92560158312784</v>
      </c>
      <c r="Q153" s="22">
        <f t="shared" si="19"/>
        <v>362.79580584544357</v>
      </c>
      <c r="R153" s="22">
        <f t="shared" si="20"/>
        <v>-11851.19550923524</v>
      </c>
      <c r="S153" s="22">
        <f t="shared" si="21"/>
        <v>-1462473.3596822396</v>
      </c>
      <c r="T153" s="22">
        <f t="shared" si="17"/>
        <v>109549.65392914285</v>
      </c>
    </row>
    <row r="154" spans="1:20" x14ac:dyDescent="0.25">
      <c r="A154" s="21">
        <v>153</v>
      </c>
      <c r="B154" s="22">
        <f>CARGAS!$C$40*Equilibrio!A154^2+CARGAS!$D$40*Equilibrio!A154+CARGAS!$E$40</f>
        <v>128.28359902040813</v>
      </c>
      <c r="C154" s="22">
        <f>CARGAS!$C$53*Equilibrio!A154^2+CARGAS!$D$53*Equilibrio!A154+CARGAS!$E$53</f>
        <v>21.380599836734689</v>
      </c>
      <c r="D154">
        <f>IF(posisup=1,IF(A154&lt;=CARGAS!$E$68,sup,0),IF(posisup=2,IF(AND(A154&lt;=CARGAS!$E$69,A154&gt;=CARGAS!$D$69),sup,0),IF(posisup=3,IF(AND(A154&lt;=CARGAS!$E$70,A154&gt;=CARGAS!$D$70),sup,0),0)))</f>
        <v>0</v>
      </c>
      <c r="E154">
        <f>IF(A154&lt;=CARGAS!$H$25,CARGAS!$I$20,0)</f>
        <v>0</v>
      </c>
      <c r="F154" s="22">
        <f>IF(AND(A154&gt;CARGAS!$O$29,A154&lt;=CARGAS!$O$30),tanque1,0)</f>
        <v>0</v>
      </c>
      <c r="G154" s="22">
        <f>IF(AND(A154&gt;CARGAS!$R$29,A154&lt;=CARGAS!$R$30),tanque2,0)</f>
        <v>0</v>
      </c>
      <c r="H154" s="22">
        <f>IF(AND(A154&gt;CARGAS!$U$29,A154&lt;=CARGAS!$U$30),tanque3,0)</f>
        <v>0</v>
      </c>
      <c r="I154" s="22">
        <f>IF(AND(A154&gt;CARGAS!$X$29,A154&lt;=CARGAS!$X$30),tanque4,0)</f>
        <v>571.20000000000005</v>
      </c>
      <c r="J154" s="22">
        <f>IF(AND(A154&gt;CARGAS!$AA$29,A154&lt;=CARGAS!$AA$30),tanque5,0)</f>
        <v>0</v>
      </c>
      <c r="K154" s="22">
        <f>IF(AND($A154&gt;CARGAS!$AD$29,$A154&lt;=CARGAS!$AD$30),tanque6,0)</f>
        <v>0</v>
      </c>
      <c r="L154" s="22">
        <f>IF(AND($A154&gt;CARGAS!$AG$29,$A154&lt;=CARGAS!$AG$30),tanque7,0)</f>
        <v>0</v>
      </c>
      <c r="M154" s="22">
        <f>IF(AND($A154&gt;CARGAS!$AJ$29,$A154&lt;=CARGAS!$AJ$30),tanque8,0)</f>
        <v>0</v>
      </c>
      <c r="N154" s="22">
        <f t="shared" si="18"/>
        <v>720.86419885714281</v>
      </c>
      <c r="O154" s="22">
        <f t="shared" si="16"/>
        <v>11.5855800332212</v>
      </c>
      <c r="P154" s="22">
        <f>O154*Equilibrio!Y$39*Equilibrio!Y$38*DADOS!C$4</f>
        <v>356.25658602155187</v>
      </c>
      <c r="Q154" s="22">
        <f t="shared" si="19"/>
        <v>364.60761283559094</v>
      </c>
      <c r="R154" s="22">
        <f t="shared" si="20"/>
        <v>-11486.587896399649</v>
      </c>
      <c r="S154" s="22">
        <f t="shared" si="21"/>
        <v>-1473959.9475786393</v>
      </c>
      <c r="T154" s="22">
        <f t="shared" si="17"/>
        <v>110292.22242514286</v>
      </c>
    </row>
    <row r="155" spans="1:20" x14ac:dyDescent="0.25">
      <c r="A155" s="21">
        <v>154</v>
      </c>
      <c r="B155" s="22">
        <f>CARGAS!$C$40*Equilibrio!A155^2+CARGAS!$D$40*Equilibrio!A155+CARGAS!$E$40</f>
        <v>128.40055199999995</v>
      </c>
      <c r="C155" s="22">
        <f>CARGAS!$C$53*Equilibrio!A155^2+CARGAS!$D$53*Equilibrio!A155+CARGAS!$E$53</f>
        <v>21.400091999999994</v>
      </c>
      <c r="D155">
        <f>IF(posisup=1,IF(A155&lt;=CARGAS!$E$68,sup,0),IF(posisup=2,IF(AND(A155&lt;=CARGAS!$E$69,A155&gt;=CARGAS!$D$69),sup,0),IF(posisup=3,IF(AND(A155&lt;=CARGAS!$E$70,A155&gt;=CARGAS!$D$70),sup,0),0)))</f>
        <v>0</v>
      </c>
      <c r="E155">
        <f>IF(A155&lt;=CARGAS!$H$25,CARGAS!$I$20,0)</f>
        <v>0</v>
      </c>
      <c r="F155" s="22">
        <f>IF(AND(A155&gt;CARGAS!$O$29,A155&lt;=CARGAS!$O$30),tanque1,0)</f>
        <v>0</v>
      </c>
      <c r="G155" s="22">
        <f>IF(AND(A155&gt;CARGAS!$R$29,A155&lt;=CARGAS!$R$30),tanque2,0)</f>
        <v>0</v>
      </c>
      <c r="H155" s="22">
        <f>IF(AND(A155&gt;CARGAS!$U$29,A155&lt;=CARGAS!$U$30),tanque3,0)</f>
        <v>0</v>
      </c>
      <c r="I155" s="22">
        <f>IF(AND(A155&gt;CARGAS!$X$29,A155&lt;=CARGAS!$X$30),tanque4,0)</f>
        <v>571.20000000000005</v>
      </c>
      <c r="J155" s="22">
        <f>IF(AND(A155&gt;CARGAS!$AA$29,A155&lt;=CARGAS!$AA$30),tanque5,0)</f>
        <v>0</v>
      </c>
      <c r="K155" s="22">
        <f>IF(AND($A155&gt;CARGAS!$AD$29,$A155&lt;=CARGAS!$AD$30),tanque6,0)</f>
        <v>0</v>
      </c>
      <c r="L155" s="22">
        <f>IF(AND($A155&gt;CARGAS!$AG$29,$A155&lt;=CARGAS!$AG$30),tanque7,0)</f>
        <v>0</v>
      </c>
      <c r="M155" s="22">
        <f>IF(AND($A155&gt;CARGAS!$AJ$29,$A155&lt;=CARGAS!$AJ$30),tanque8,0)</f>
        <v>0</v>
      </c>
      <c r="N155" s="22">
        <f t="shared" si="18"/>
        <v>721.00064399999997</v>
      </c>
      <c r="O155" s="22">
        <f t="shared" si="16"/>
        <v>11.533905842240253</v>
      </c>
      <c r="P155" s="22">
        <f>O155*Equilibrio!Y$39*Equilibrio!Y$38*DADOS!C$4</f>
        <v>354.66760464888773</v>
      </c>
      <c r="Q155" s="22">
        <f t="shared" si="19"/>
        <v>366.33303935111223</v>
      </c>
      <c r="R155" s="22">
        <f t="shared" si="20"/>
        <v>-11120.254857048538</v>
      </c>
      <c r="S155" s="22">
        <f t="shared" si="21"/>
        <v>-1485080.2024356879</v>
      </c>
      <c r="T155" s="22">
        <f t="shared" si="17"/>
        <v>111034.09917599999</v>
      </c>
    </row>
    <row r="156" spans="1:20" x14ac:dyDescent="0.25">
      <c r="A156" s="21">
        <v>155</v>
      </c>
      <c r="B156" s="22">
        <f>CARGAS!$C$40*Equilibrio!A156^2+CARGAS!$D$40*Equilibrio!A156+CARGAS!$E$40</f>
        <v>128.51206530612239</v>
      </c>
      <c r="C156" s="22">
        <f>CARGAS!$C$53*Equilibrio!A156^2+CARGAS!$D$53*Equilibrio!A156+CARGAS!$E$53</f>
        <v>21.418677551020405</v>
      </c>
      <c r="D156">
        <f>IF(posisup=1,IF(A156&lt;=CARGAS!$E$68,sup,0),IF(posisup=2,IF(AND(A156&lt;=CARGAS!$E$69,A156&gt;=CARGAS!$D$69),sup,0),IF(posisup=3,IF(AND(A156&lt;=CARGAS!$E$70,A156&gt;=CARGAS!$D$70),sup,0),0)))</f>
        <v>0</v>
      </c>
      <c r="E156">
        <f>IF(A156&lt;=CARGAS!$H$25,CARGAS!$I$20,0)</f>
        <v>0</v>
      </c>
      <c r="F156" s="22">
        <f>IF(AND(A156&gt;CARGAS!$O$29,A156&lt;=CARGAS!$O$30),tanque1,0)</f>
        <v>0</v>
      </c>
      <c r="G156" s="22">
        <f>IF(AND(A156&gt;CARGAS!$R$29,A156&lt;=CARGAS!$R$30),tanque2,0)</f>
        <v>0</v>
      </c>
      <c r="H156" s="22">
        <f>IF(AND(A156&gt;CARGAS!$U$29,A156&lt;=CARGAS!$U$30),tanque3,0)</f>
        <v>0</v>
      </c>
      <c r="I156" s="22">
        <f>IF(AND(A156&gt;CARGAS!$X$29,A156&lt;=CARGAS!$X$30),tanque4,0)</f>
        <v>571.20000000000005</v>
      </c>
      <c r="J156" s="22">
        <f>IF(AND(A156&gt;CARGAS!$AA$29,A156&lt;=CARGAS!$AA$30),tanque5,0)</f>
        <v>0</v>
      </c>
      <c r="K156" s="22">
        <f>IF(AND($A156&gt;CARGAS!$AD$29,$A156&lt;=CARGAS!$AD$30),tanque6,0)</f>
        <v>0</v>
      </c>
      <c r="L156" s="22">
        <f>IF(AND($A156&gt;CARGAS!$AG$29,$A156&lt;=CARGAS!$AG$30),tanque7,0)</f>
        <v>0</v>
      </c>
      <c r="M156" s="22">
        <f>IF(AND($A156&gt;CARGAS!$AJ$29,$A156&lt;=CARGAS!$AJ$30),tanque8,0)</f>
        <v>0</v>
      </c>
      <c r="N156" s="22">
        <f t="shared" si="18"/>
        <v>721.13074285714288</v>
      </c>
      <c r="O156" s="22">
        <f t="shared" si="16"/>
        <v>11.484853445446282</v>
      </c>
      <c r="P156" s="22">
        <f>O156*Equilibrio!Y$39*Equilibrio!Y$38*DADOS!C$4</f>
        <v>353.15924344747316</v>
      </c>
      <c r="Q156" s="22">
        <f t="shared" si="19"/>
        <v>367.97149940966972</v>
      </c>
      <c r="R156" s="22">
        <f t="shared" si="20"/>
        <v>-10752.283357638868</v>
      </c>
      <c r="S156" s="22">
        <f t="shared" si="21"/>
        <v>-1495832.4857933267</v>
      </c>
      <c r="T156" s="22">
        <f t="shared" si="17"/>
        <v>111775.26514285714</v>
      </c>
    </row>
    <row r="157" spans="1:20" x14ac:dyDescent="0.25">
      <c r="A157" s="21">
        <v>156</v>
      </c>
      <c r="B157" s="22">
        <f>CARGAS!$C$40*Equilibrio!A157^2+CARGAS!$D$40*Equilibrio!A157+CARGAS!$E$40</f>
        <v>128.61813893877547</v>
      </c>
      <c r="C157" s="22">
        <f>CARGAS!$C$53*Equilibrio!A157^2+CARGAS!$D$53*Equilibrio!A157+CARGAS!$E$53</f>
        <v>21.436356489795912</v>
      </c>
      <c r="D157">
        <f>IF(posisup=1,IF(A157&lt;=CARGAS!$E$68,sup,0),IF(posisup=2,IF(AND(A157&lt;=CARGAS!$E$69,A157&gt;=CARGAS!$D$69),sup,0),IF(posisup=3,IF(AND(A157&lt;=CARGAS!$E$70,A157&gt;=CARGAS!$D$70),sup,0),0)))</f>
        <v>0</v>
      </c>
      <c r="E157">
        <f>IF(A157&lt;=CARGAS!$H$25,CARGAS!$I$20,0)</f>
        <v>0</v>
      </c>
      <c r="F157" s="22">
        <f>IF(AND(A157&gt;CARGAS!$O$29,A157&lt;=CARGAS!$O$30),tanque1,0)</f>
        <v>0</v>
      </c>
      <c r="G157" s="22">
        <f>IF(AND(A157&gt;CARGAS!$R$29,A157&lt;=CARGAS!$R$30),tanque2,0)</f>
        <v>0</v>
      </c>
      <c r="H157" s="22">
        <f>IF(AND(A157&gt;CARGAS!$U$29,A157&lt;=CARGAS!$U$30),tanque3,0)</f>
        <v>0</v>
      </c>
      <c r="I157" s="22">
        <f>IF(AND(A157&gt;CARGAS!$X$29,A157&lt;=CARGAS!$X$30),tanque4,0)</f>
        <v>571.20000000000005</v>
      </c>
      <c r="J157" s="22">
        <f>IF(AND(A157&gt;CARGAS!$AA$29,A157&lt;=CARGAS!$AA$30),tanque5,0)</f>
        <v>0</v>
      </c>
      <c r="K157" s="22">
        <f>IF(AND($A157&gt;CARGAS!$AD$29,$A157&lt;=CARGAS!$AD$30),tanque6,0)</f>
        <v>0</v>
      </c>
      <c r="L157" s="22">
        <f>IF(AND($A157&gt;CARGAS!$AG$29,$A157&lt;=CARGAS!$AG$30),tanque7,0)</f>
        <v>0</v>
      </c>
      <c r="M157" s="22">
        <f>IF(AND($A157&gt;CARGAS!$AJ$29,$A157&lt;=CARGAS!$AJ$30),tanque8,0)</f>
        <v>0</v>
      </c>
      <c r="N157" s="22">
        <f t="shared" si="18"/>
        <v>721.25449542857143</v>
      </c>
      <c r="O157" s="22">
        <f t="shared" si="16"/>
        <v>11.438441054265205</v>
      </c>
      <c r="P157" s="22">
        <f>O157*Equilibrio!Y$39*Equilibrio!Y$38*DADOS!C$4</f>
        <v>351.732062418655</v>
      </c>
      <c r="Q157" s="22">
        <f t="shared" si="19"/>
        <v>369.52243300991643</v>
      </c>
      <c r="R157" s="22">
        <f t="shared" si="20"/>
        <v>-10382.76092462895</v>
      </c>
      <c r="S157" s="22">
        <f t="shared" si="21"/>
        <v>-1506215.2467179557</v>
      </c>
      <c r="T157" s="22">
        <f t="shared" si="17"/>
        <v>112515.70128685715</v>
      </c>
    </row>
    <row r="158" spans="1:20" x14ac:dyDescent="0.25">
      <c r="A158" s="21">
        <v>157</v>
      </c>
      <c r="B158" s="22">
        <f>CARGAS!$C$40*Equilibrio!A158^2+CARGAS!$D$40*Equilibrio!A158+CARGAS!$E$40</f>
        <v>128.71877289795913</v>
      </c>
      <c r="C158" s="22">
        <f>CARGAS!$C$53*Equilibrio!A158^2+CARGAS!$D$53*Equilibrio!A158+CARGAS!$E$53</f>
        <v>21.453128816326526</v>
      </c>
      <c r="D158">
        <f>IF(posisup=1,IF(A158&lt;=CARGAS!$E$68,sup,0),IF(posisup=2,IF(AND(A158&lt;=CARGAS!$E$69,A158&gt;=CARGAS!$D$69),sup,0),IF(posisup=3,IF(AND(A158&lt;=CARGAS!$E$70,A158&gt;=CARGAS!$D$70),sup,0),0)))</f>
        <v>0</v>
      </c>
      <c r="E158">
        <f>IF(A158&lt;=CARGAS!$H$25,CARGAS!$I$20,0)</f>
        <v>0</v>
      </c>
      <c r="F158" s="22">
        <f>IF(AND(A158&gt;CARGAS!$O$29,A158&lt;=CARGAS!$O$30),tanque1,0)</f>
        <v>0</v>
      </c>
      <c r="G158" s="22">
        <f>IF(AND(A158&gt;CARGAS!$R$29,A158&lt;=CARGAS!$R$30),tanque2,0)</f>
        <v>0</v>
      </c>
      <c r="H158" s="22">
        <f>IF(AND(A158&gt;CARGAS!$U$29,A158&lt;=CARGAS!$U$30),tanque3,0)</f>
        <v>0</v>
      </c>
      <c r="I158" s="22">
        <f>IF(AND(A158&gt;CARGAS!$X$29,A158&lt;=CARGAS!$X$30),tanque4,0)</f>
        <v>571.20000000000005</v>
      </c>
      <c r="J158" s="22">
        <f>IF(AND(A158&gt;CARGAS!$AA$29,A158&lt;=CARGAS!$AA$30),tanque5,0)</f>
        <v>0</v>
      </c>
      <c r="K158" s="22">
        <f>IF(AND($A158&gt;CARGAS!$AD$29,$A158&lt;=CARGAS!$AD$30),tanque6,0)</f>
        <v>0</v>
      </c>
      <c r="L158" s="22">
        <f>IF(AND($A158&gt;CARGAS!$AG$29,$A158&lt;=CARGAS!$AG$30),tanque7,0)</f>
        <v>0</v>
      </c>
      <c r="M158" s="22">
        <f>IF(AND($A158&gt;CARGAS!$AJ$29,$A158&lt;=CARGAS!$AJ$30),tanque8,0)</f>
        <v>0</v>
      </c>
      <c r="N158" s="22">
        <f t="shared" si="18"/>
        <v>721.37190171428574</v>
      </c>
      <c r="O158" s="22">
        <f t="shared" si="16"/>
        <v>11.394686029343809</v>
      </c>
      <c r="P158" s="22">
        <f>O158*Equilibrio!Y$39*Equilibrio!Y$38*DADOS!C$4</f>
        <v>350.38659540232214</v>
      </c>
      <c r="Q158" s="22">
        <f t="shared" si="19"/>
        <v>370.9853063119636</v>
      </c>
      <c r="R158" s="22">
        <f t="shared" si="20"/>
        <v>-10011.775618316986</v>
      </c>
      <c r="S158" s="22">
        <f t="shared" si="21"/>
        <v>-1516227.0223362728</v>
      </c>
      <c r="T158" s="22">
        <f t="shared" si="17"/>
        <v>113255.38856914286</v>
      </c>
    </row>
    <row r="159" spans="1:20" x14ac:dyDescent="0.25">
      <c r="A159" s="21">
        <v>158</v>
      </c>
      <c r="B159" s="22">
        <f>CARGAS!$C$40*Equilibrio!A159^2+CARGAS!$D$40*Equilibrio!A159+CARGAS!$E$40</f>
        <v>128.81396718367341</v>
      </c>
      <c r="C159" s="22">
        <f>CARGAS!$C$53*Equilibrio!A159^2+CARGAS!$D$53*Equilibrio!A159+CARGAS!$E$53</f>
        <v>21.468994530612242</v>
      </c>
      <c r="D159">
        <f>IF(posisup=1,IF(A159&lt;=CARGAS!$E$68,sup,0),IF(posisup=2,IF(AND(A159&lt;=CARGAS!$E$69,A159&gt;=CARGAS!$D$69),sup,0),IF(posisup=3,IF(AND(A159&lt;=CARGAS!$E$70,A159&gt;=CARGAS!$D$70),sup,0),0)))</f>
        <v>0</v>
      </c>
      <c r="E159">
        <f>IF(A159&lt;=CARGAS!$H$25,CARGAS!$I$20,0)</f>
        <v>0</v>
      </c>
      <c r="F159" s="22">
        <f>IF(AND(A159&gt;CARGAS!$O$29,A159&lt;=CARGAS!$O$30),tanque1,0)</f>
        <v>0</v>
      </c>
      <c r="G159" s="22">
        <f>IF(AND(A159&gt;CARGAS!$R$29,A159&lt;=CARGAS!$R$30),tanque2,0)</f>
        <v>0</v>
      </c>
      <c r="H159" s="22">
        <f>IF(AND(A159&gt;CARGAS!$U$29,A159&lt;=CARGAS!$U$30),tanque3,0)</f>
        <v>0</v>
      </c>
      <c r="I159" s="22">
        <f>IF(AND(A159&gt;CARGAS!$X$29,A159&lt;=CARGAS!$X$30),tanque4,0)</f>
        <v>571.20000000000005</v>
      </c>
      <c r="J159" s="22">
        <f>IF(AND(A159&gt;CARGAS!$AA$29,A159&lt;=CARGAS!$AA$30),tanque5,0)</f>
        <v>0</v>
      </c>
      <c r="K159" s="22">
        <f>IF(AND($A159&gt;CARGAS!$AD$29,$A159&lt;=CARGAS!$AD$30),tanque6,0)</f>
        <v>0</v>
      </c>
      <c r="L159" s="22">
        <f>IF(AND($A159&gt;CARGAS!$AG$29,$A159&lt;=CARGAS!$AG$30),tanque7,0)</f>
        <v>0</v>
      </c>
      <c r="M159" s="22">
        <f>IF(AND($A159&gt;CARGAS!$AJ$29,$A159&lt;=CARGAS!$AJ$30),tanque8,0)</f>
        <v>0</v>
      </c>
      <c r="N159" s="22">
        <f t="shared" si="18"/>
        <v>721.48296171428569</v>
      </c>
      <c r="O159" s="22">
        <f t="shared" si="16"/>
        <v>11.35360487495501</v>
      </c>
      <c r="P159" s="22">
        <f>O159*Equilibrio!Y$39*Equilibrio!Y$38*DADOS!C$4</f>
        <v>349.12334990486653</v>
      </c>
      <c r="Q159" s="22">
        <f t="shared" si="19"/>
        <v>372.35961180941916</v>
      </c>
      <c r="R159" s="22">
        <f t="shared" si="20"/>
        <v>-9639.4160065075666</v>
      </c>
      <c r="S159" s="22">
        <f t="shared" si="21"/>
        <v>-1525866.4383427803</v>
      </c>
      <c r="T159" s="22">
        <f t="shared" si="17"/>
        <v>113994.30795085714</v>
      </c>
    </row>
    <row r="160" spans="1:20" x14ac:dyDescent="0.25">
      <c r="A160" s="21">
        <v>159</v>
      </c>
      <c r="B160" s="22">
        <f>CARGAS!$C$40*Equilibrio!A160^2+CARGAS!$D$40*Equilibrio!A160+CARGAS!$E$40</f>
        <v>128.90372179591833</v>
      </c>
      <c r="C160" s="22">
        <f>CARGAS!$C$53*Equilibrio!A160^2+CARGAS!$D$53*Equilibrio!A160+CARGAS!$E$53</f>
        <v>21.483953632653058</v>
      </c>
      <c r="D160">
        <f>IF(posisup=1,IF(A160&lt;=CARGAS!$E$68,sup,0),IF(posisup=2,IF(AND(A160&lt;=CARGAS!$E$69,A160&gt;=CARGAS!$D$69),sup,0),IF(posisup=3,IF(AND(A160&lt;=CARGAS!$E$70,A160&gt;=CARGAS!$D$70),sup,0),0)))</f>
        <v>0</v>
      </c>
      <c r="E160">
        <f>IF(A160&lt;=CARGAS!$H$25,CARGAS!$I$20,0)</f>
        <v>0</v>
      </c>
      <c r="F160" s="22">
        <f>IF(AND(A160&gt;CARGAS!$O$29,A160&lt;=CARGAS!$O$30),tanque1,0)</f>
        <v>0</v>
      </c>
      <c r="G160" s="22">
        <f>IF(AND(A160&gt;CARGAS!$R$29,A160&lt;=CARGAS!$R$30),tanque2,0)</f>
        <v>0</v>
      </c>
      <c r="H160" s="22">
        <f>IF(AND(A160&gt;CARGAS!$U$29,A160&lt;=CARGAS!$U$30),tanque3,0)</f>
        <v>0</v>
      </c>
      <c r="I160" s="22">
        <f>IF(AND(A160&gt;CARGAS!$X$29,A160&lt;=CARGAS!$X$30),tanque4,0)</f>
        <v>571.20000000000005</v>
      </c>
      <c r="J160" s="22">
        <f>IF(AND(A160&gt;CARGAS!$AA$29,A160&lt;=CARGAS!$AA$30),tanque5,0)</f>
        <v>0</v>
      </c>
      <c r="K160" s="22">
        <f>IF(AND($A160&gt;CARGAS!$AD$29,$A160&lt;=CARGAS!$AD$30),tanque6,0)</f>
        <v>0</v>
      </c>
      <c r="L160" s="22">
        <f>IF(AND($A160&gt;CARGAS!$AG$29,$A160&lt;=CARGAS!$AG$30),tanque7,0)</f>
        <v>0</v>
      </c>
      <c r="M160" s="22">
        <f>IF(AND($A160&gt;CARGAS!$AJ$29,$A160&lt;=CARGAS!$AJ$30),tanque8,0)</f>
        <v>0</v>
      </c>
      <c r="N160" s="22">
        <f t="shared" si="18"/>
        <v>721.5876754285714</v>
      </c>
      <c r="O160" s="22">
        <f t="shared" si="16"/>
        <v>11.315213233679145</v>
      </c>
      <c r="P160" s="22">
        <f>O160*Equilibrio!Y$39*Equilibrio!Y$38*DADOS!C$4</f>
        <v>347.94280693563371</v>
      </c>
      <c r="Q160" s="22">
        <f t="shared" si="19"/>
        <v>373.64486849293769</v>
      </c>
      <c r="R160" s="22">
        <f t="shared" si="20"/>
        <v>-9265.7711380146284</v>
      </c>
      <c r="S160" s="22">
        <f t="shared" si="21"/>
        <v>-1535132.2094807951</v>
      </c>
      <c r="T160" s="22">
        <f t="shared" si="17"/>
        <v>114732.44039314285</v>
      </c>
    </row>
    <row r="161" spans="1:20" x14ac:dyDescent="0.25">
      <c r="A161" s="21">
        <v>160</v>
      </c>
      <c r="B161" s="22">
        <f>CARGAS!$C$40*Equilibrio!A161^2+CARGAS!$D$40*Equilibrio!A161+CARGAS!$E$40</f>
        <v>128.98803673469382</v>
      </c>
      <c r="C161" s="22">
        <f>CARGAS!$C$53*Equilibrio!A161^2+CARGAS!$D$53*Equilibrio!A161+CARGAS!$E$53</f>
        <v>21.498006122448977</v>
      </c>
      <c r="D161">
        <f>IF(posisup=1,IF(A161&lt;=CARGAS!$E$68,sup,0),IF(posisup=2,IF(AND(A161&lt;=CARGAS!$E$69,A161&gt;=CARGAS!$D$69),sup,0),IF(posisup=3,IF(AND(A161&lt;=CARGAS!$E$70,A161&gt;=CARGAS!$D$70),sup,0),0)))</f>
        <v>0</v>
      </c>
      <c r="E161">
        <f>IF(A161&lt;=CARGAS!$H$25,CARGAS!$I$20,0)</f>
        <v>0</v>
      </c>
      <c r="F161" s="22">
        <f>IF(AND(A161&gt;CARGAS!$O$29,A161&lt;=CARGAS!$O$30),tanque1,0)</f>
        <v>0</v>
      </c>
      <c r="G161" s="22">
        <f>IF(AND(A161&gt;CARGAS!$R$29,A161&lt;=CARGAS!$R$30),tanque2,0)</f>
        <v>0</v>
      </c>
      <c r="H161" s="22">
        <f>IF(AND(A161&gt;CARGAS!$U$29,A161&lt;=CARGAS!$U$30),tanque3,0)</f>
        <v>0</v>
      </c>
      <c r="I161" s="22">
        <f>IF(AND(A161&gt;CARGAS!$X$29,A161&lt;=CARGAS!$X$30),tanque4,0)</f>
        <v>571.20000000000005</v>
      </c>
      <c r="J161" s="22">
        <f>IF(AND(A161&gt;CARGAS!$AA$29,A161&lt;=CARGAS!$AA$30),tanque5,0)</f>
        <v>0</v>
      </c>
      <c r="K161" s="22">
        <f>IF(AND($A161&gt;CARGAS!$AD$29,$A161&lt;=CARGAS!$AD$30),tanque6,0)</f>
        <v>0</v>
      </c>
      <c r="L161" s="22">
        <f>IF(AND($A161&gt;CARGAS!$AG$29,$A161&lt;=CARGAS!$AG$30),tanque7,0)</f>
        <v>0</v>
      </c>
      <c r="M161" s="22">
        <f>IF(AND($A161&gt;CARGAS!$AJ$29,$A161&lt;=CARGAS!$AJ$30),tanque8,0)</f>
        <v>0</v>
      </c>
      <c r="N161" s="22">
        <f t="shared" si="18"/>
        <v>721.68604285714287</v>
      </c>
      <c r="O161" s="22">
        <f t="shared" si="16"/>
        <v>11.279525881362906</v>
      </c>
      <c r="P161" s="22">
        <f>O161*Equilibrio!Y$39*Equilibrio!Y$38*DADOS!C$4</f>
        <v>346.84542085190935</v>
      </c>
      <c r="Q161" s="22">
        <f t="shared" si="19"/>
        <v>374.84062200523351</v>
      </c>
      <c r="R161" s="22">
        <f t="shared" si="20"/>
        <v>-8890.9305160093954</v>
      </c>
      <c r="S161" s="22">
        <f t="shared" si="21"/>
        <v>-1544023.1399968045</v>
      </c>
      <c r="T161" s="22">
        <f t="shared" si="17"/>
        <v>115469.76685714285</v>
      </c>
    </row>
    <row r="162" spans="1:20" x14ac:dyDescent="0.25">
      <c r="A162" s="21">
        <v>161</v>
      </c>
      <c r="B162" s="22">
        <f>CARGAS!$C$40*Equilibrio!A162^2+CARGAS!$D$40*Equilibrio!A162+CARGAS!$E$40</f>
        <v>129.06691199999995</v>
      </c>
      <c r="C162" s="22">
        <f>CARGAS!$C$53*Equilibrio!A162^2+CARGAS!$D$53*Equilibrio!A162+CARGAS!$E$53</f>
        <v>21.511151999999996</v>
      </c>
      <c r="D162">
        <f>IF(posisup=1,IF(A162&lt;=CARGAS!$E$68,sup,0),IF(posisup=2,IF(AND(A162&lt;=CARGAS!$E$69,A162&gt;=CARGAS!$D$69),sup,0),IF(posisup=3,IF(AND(A162&lt;=CARGAS!$E$70,A162&gt;=CARGAS!$D$70),sup,0),0)))</f>
        <v>0</v>
      </c>
      <c r="E162">
        <f>IF(A162&lt;=CARGAS!$H$25,CARGAS!$I$20,0)</f>
        <v>0</v>
      </c>
      <c r="F162" s="22">
        <f>IF(AND(A162&gt;CARGAS!$O$29,A162&lt;=CARGAS!$O$30),tanque1,0)</f>
        <v>0</v>
      </c>
      <c r="G162" s="22">
        <f>IF(AND(A162&gt;CARGAS!$R$29,A162&lt;=CARGAS!$R$30),tanque2,0)</f>
        <v>0</v>
      </c>
      <c r="H162" s="22">
        <f>IF(AND(A162&gt;CARGAS!$U$29,A162&lt;=CARGAS!$U$30),tanque3,0)</f>
        <v>0</v>
      </c>
      <c r="I162" s="22">
        <f>IF(AND(A162&gt;CARGAS!$X$29,A162&lt;=CARGAS!$X$30),tanque4,0)</f>
        <v>571.20000000000005</v>
      </c>
      <c r="J162" s="22">
        <f>IF(AND(A162&gt;CARGAS!$AA$29,A162&lt;=CARGAS!$AA$30),tanque5,0)</f>
        <v>0</v>
      </c>
      <c r="K162" s="22">
        <f>IF(AND($A162&gt;CARGAS!$AD$29,$A162&lt;=CARGAS!$AD$30),tanque6,0)</f>
        <v>0</v>
      </c>
      <c r="L162" s="22">
        <f>IF(AND($A162&gt;CARGAS!$AG$29,$A162&lt;=CARGAS!$AG$30),tanque7,0)</f>
        <v>0</v>
      </c>
      <c r="M162" s="22">
        <f>IF(AND($A162&gt;CARGAS!$AJ$29,$A162&lt;=CARGAS!$AJ$30),tanque8,0)</f>
        <v>0</v>
      </c>
      <c r="N162" s="22">
        <f t="shared" si="18"/>
        <v>721.77806399999997</v>
      </c>
      <c r="O162" s="22">
        <f t="shared" ref="O162:O191" si="22">IF($X$4=1,tmedio+((loa/2)-A162)*TAN(trimrad),IF($X$4=2,tmedio+$Z$3*COS(2*PI()*A162/$Z$2)+((loa/2)-A162)*TAN(trimrad),IF($X$4=3,tmedio-$Z$3*COS(2*PI()*A162/$Z$2)+((loa/2)-A162)*TAN(trimrad),tmedio+((loa/2)-A162)*TAN(trimrad))))</f>
        <v>11.24655672235763</v>
      </c>
      <c r="P162" s="22">
        <f>O162*Equilibrio!Y$39*Equilibrio!Y$38*DADOS!C$4</f>
        <v>345.83161921249712</v>
      </c>
      <c r="Q162" s="22">
        <f t="shared" si="19"/>
        <v>375.94644478750286</v>
      </c>
      <c r="R162" s="22">
        <f t="shared" si="20"/>
        <v>-8514.984071221892</v>
      </c>
      <c r="S162" s="22">
        <f t="shared" si="21"/>
        <v>-1552538.1240680264</v>
      </c>
      <c r="T162" s="22">
        <f t="shared" ref="T162:T191" si="23">N162*A162</f>
        <v>116206.268304</v>
      </c>
    </row>
    <row r="163" spans="1:20" x14ac:dyDescent="0.25">
      <c r="A163" s="21">
        <v>162</v>
      </c>
      <c r="B163" s="22">
        <f>CARGAS!$C$40*Equilibrio!A163^2+CARGAS!$D$40*Equilibrio!A163+CARGAS!$E$40</f>
        <v>129.1403475918367</v>
      </c>
      <c r="C163" s="22">
        <f>CARGAS!$C$53*Equilibrio!A163^2+CARGAS!$D$53*Equilibrio!A163+CARGAS!$E$53</f>
        <v>21.523391265306117</v>
      </c>
      <c r="D163">
        <f>IF(posisup=1,IF(A163&lt;=CARGAS!$E$68,sup,0),IF(posisup=2,IF(AND(A163&lt;=CARGAS!$E$69,A163&gt;=CARGAS!$D$69),sup,0),IF(posisup=3,IF(AND(A163&lt;=CARGAS!$E$70,A163&gt;=CARGAS!$D$70),sup,0),0)))</f>
        <v>0</v>
      </c>
      <c r="E163">
        <f>IF(A163&lt;=CARGAS!$H$25,CARGAS!$I$20,0)</f>
        <v>0</v>
      </c>
      <c r="F163" s="22">
        <f>IF(AND(A163&gt;CARGAS!$O$29,A163&lt;=CARGAS!$O$30),tanque1,0)</f>
        <v>0</v>
      </c>
      <c r="G163" s="22">
        <f>IF(AND(A163&gt;CARGAS!$R$29,A163&lt;=CARGAS!$R$30),tanque2,0)</f>
        <v>0</v>
      </c>
      <c r="H163" s="22">
        <f>IF(AND(A163&gt;CARGAS!$U$29,A163&lt;=CARGAS!$U$30),tanque3,0)</f>
        <v>0</v>
      </c>
      <c r="I163" s="22">
        <f>IF(AND(A163&gt;CARGAS!$X$29,A163&lt;=CARGAS!$X$30),tanque4,0)</f>
        <v>571.20000000000005</v>
      </c>
      <c r="J163" s="22">
        <f>IF(AND(A163&gt;CARGAS!$AA$29,A163&lt;=CARGAS!$AA$30),tanque5,0)</f>
        <v>0</v>
      </c>
      <c r="K163" s="22">
        <f>IF(AND($A163&gt;CARGAS!$AD$29,$A163&lt;=CARGAS!$AD$30),tanque6,0)</f>
        <v>0</v>
      </c>
      <c r="L163" s="22">
        <f>IF(AND($A163&gt;CARGAS!$AG$29,$A163&lt;=CARGAS!$AG$30),tanque7,0)</f>
        <v>0</v>
      </c>
      <c r="M163" s="22">
        <f>IF(AND($A163&gt;CARGAS!$AJ$29,$A163&lt;=CARGAS!$AJ$30),tanque8,0)</f>
        <v>0</v>
      </c>
      <c r="N163" s="22">
        <f t="shared" si="18"/>
        <v>721.86373885714283</v>
      </c>
      <c r="O163" s="22">
        <f t="shared" si="22"/>
        <v>11.216318785038411</v>
      </c>
      <c r="P163" s="22">
        <f>O163*Equilibrio!Y$39*Equilibrio!Y$38*DADOS!C$4</f>
        <v>344.90180263993108</v>
      </c>
      <c r="Q163" s="22">
        <f t="shared" si="19"/>
        <v>376.96193621721176</v>
      </c>
      <c r="R163" s="22">
        <f t="shared" si="20"/>
        <v>-8138.0221350046804</v>
      </c>
      <c r="S163" s="22">
        <f t="shared" si="21"/>
        <v>-1560676.1462030311</v>
      </c>
      <c r="T163" s="22">
        <f t="shared" si="23"/>
        <v>116941.92569485714</v>
      </c>
    </row>
    <row r="164" spans="1:20" x14ac:dyDescent="0.25">
      <c r="A164" s="21">
        <v>163</v>
      </c>
      <c r="B164" s="22">
        <f>CARGAS!$C$40*Equilibrio!A164^2+CARGAS!$D$40*Equilibrio!A164+CARGAS!$E$40</f>
        <v>129.20834351020403</v>
      </c>
      <c r="C164" s="22">
        <f>CARGAS!$C$53*Equilibrio!A164^2+CARGAS!$D$53*Equilibrio!A164+CARGAS!$E$53</f>
        <v>21.534723918367344</v>
      </c>
      <c r="D164">
        <f>IF(posisup=1,IF(A164&lt;=CARGAS!$E$68,sup,0),IF(posisup=2,IF(AND(A164&lt;=CARGAS!$E$69,A164&gt;=CARGAS!$D$69),sup,0),IF(posisup=3,IF(AND(A164&lt;=CARGAS!$E$70,A164&gt;=CARGAS!$D$70),sup,0),0)))</f>
        <v>0</v>
      </c>
      <c r="E164">
        <f>IF(A164&lt;=CARGAS!$H$25,CARGAS!$I$20,0)</f>
        <v>0</v>
      </c>
      <c r="F164" s="22">
        <f>IF(AND(A164&gt;CARGAS!$O$29,A164&lt;=CARGAS!$O$30),tanque1,0)</f>
        <v>0</v>
      </c>
      <c r="G164" s="22">
        <f>IF(AND(A164&gt;CARGAS!$R$29,A164&lt;=CARGAS!$R$30),tanque2,0)</f>
        <v>0</v>
      </c>
      <c r="H164" s="22">
        <f>IF(AND(A164&gt;CARGAS!$U$29,A164&lt;=CARGAS!$U$30),tanque3,0)</f>
        <v>0</v>
      </c>
      <c r="I164" s="22">
        <f>IF(AND(A164&gt;CARGAS!$X$29,A164&lt;=CARGAS!$X$30),tanque4,0)</f>
        <v>571.20000000000005</v>
      </c>
      <c r="J164" s="22">
        <f>IF(AND(A164&gt;CARGAS!$AA$29,A164&lt;=CARGAS!$AA$30),tanque5,0)</f>
        <v>0</v>
      </c>
      <c r="K164" s="22">
        <f>IF(AND($A164&gt;CARGAS!$AD$29,$A164&lt;=CARGAS!$AD$30),tanque6,0)</f>
        <v>0</v>
      </c>
      <c r="L164" s="22">
        <f>IF(AND($A164&gt;CARGAS!$AG$29,$A164&lt;=CARGAS!$AG$30),tanque7,0)</f>
        <v>0</v>
      </c>
      <c r="M164" s="22">
        <f>IF(AND($A164&gt;CARGAS!$AJ$29,$A164&lt;=CARGAS!$AJ$30),tanque8,0)</f>
        <v>0</v>
      </c>
      <c r="N164" s="22">
        <f t="shared" si="18"/>
        <v>721.94306742857145</v>
      </c>
      <c r="O164" s="22">
        <f t="shared" si="22"/>
        <v>11.188824217605541</v>
      </c>
      <c r="P164" s="22">
        <f>O164*Equilibrio!Y$39*Equilibrio!Y$38*DADOS!C$4</f>
        <v>344.05634469137038</v>
      </c>
      <c r="Q164" s="22">
        <f t="shared" si="19"/>
        <v>377.88672273720107</v>
      </c>
      <c r="R164" s="22">
        <f t="shared" si="20"/>
        <v>-7760.1354122674793</v>
      </c>
      <c r="S164" s="22">
        <f t="shared" si="21"/>
        <v>-1568436.2816152985</v>
      </c>
      <c r="T164" s="22">
        <f t="shared" si="23"/>
        <v>117676.71999085715</v>
      </c>
    </row>
    <row r="165" spans="1:20" x14ac:dyDescent="0.25">
      <c r="A165" s="21">
        <v>164</v>
      </c>
      <c r="B165" s="22">
        <f>CARGAS!$C$40*Equilibrio!A165^2+CARGAS!$D$40*Equilibrio!A165+CARGAS!$E$40</f>
        <v>129.27089975510199</v>
      </c>
      <c r="C165" s="22">
        <f>CARGAS!$C$53*Equilibrio!A165^2+CARGAS!$D$53*Equilibrio!A165+CARGAS!$E$53</f>
        <v>21.545149959183668</v>
      </c>
      <c r="D165">
        <f>IF(posisup=1,IF(A165&lt;=CARGAS!$E$68,sup,0),IF(posisup=2,IF(AND(A165&lt;=CARGAS!$E$69,A165&gt;=CARGAS!$D$69),sup,0),IF(posisup=3,IF(AND(A165&lt;=CARGAS!$E$70,A165&gt;=CARGAS!$D$70),sup,0),0)))</f>
        <v>0</v>
      </c>
      <c r="E165">
        <f>IF(A165&lt;=CARGAS!$H$25,CARGAS!$I$20,0)</f>
        <v>0</v>
      </c>
      <c r="F165" s="22">
        <f>IF(AND(A165&gt;CARGAS!$O$29,A165&lt;=CARGAS!$O$30),tanque1,0)</f>
        <v>0</v>
      </c>
      <c r="G165" s="22">
        <f>IF(AND(A165&gt;CARGAS!$R$29,A165&lt;=CARGAS!$R$30),tanque2,0)</f>
        <v>0</v>
      </c>
      <c r="H165" s="22">
        <f>IF(AND(A165&gt;CARGAS!$U$29,A165&lt;=CARGAS!$U$30),tanque3,0)</f>
        <v>0</v>
      </c>
      <c r="I165" s="22">
        <f>IF(AND(A165&gt;CARGAS!$X$29,A165&lt;=CARGAS!$X$30),tanque4,0)</f>
        <v>571.20000000000005</v>
      </c>
      <c r="J165" s="22">
        <f>IF(AND(A165&gt;CARGAS!$AA$29,A165&lt;=CARGAS!$AA$30),tanque5,0)</f>
        <v>0</v>
      </c>
      <c r="K165" s="22">
        <f>IF(AND($A165&gt;CARGAS!$AD$29,$A165&lt;=CARGAS!$AD$30),tanque6,0)</f>
        <v>0</v>
      </c>
      <c r="L165" s="22">
        <f>IF(AND($A165&gt;CARGAS!$AG$29,$A165&lt;=CARGAS!$AG$30),tanque7,0)</f>
        <v>0</v>
      </c>
      <c r="M165" s="22">
        <f>IF(AND($A165&gt;CARGAS!$AJ$29,$A165&lt;=CARGAS!$AJ$30),tanque8,0)</f>
        <v>0</v>
      </c>
      <c r="N165" s="22">
        <f t="shared" si="18"/>
        <v>722.01604971428571</v>
      </c>
      <c r="O165" s="22">
        <f t="shared" si="22"/>
        <v>11.16408428416956</v>
      </c>
      <c r="P165" s="22">
        <f>O165*Equilibrio!Y$39*Equilibrio!Y$38*DADOS!C$4</f>
        <v>343.29559173821394</v>
      </c>
      <c r="Q165" s="22">
        <f t="shared" si="19"/>
        <v>378.72045797607177</v>
      </c>
      <c r="R165" s="22">
        <f t="shared" si="20"/>
        <v>-7381.4149542914074</v>
      </c>
      <c r="S165" s="22">
        <f t="shared" si="21"/>
        <v>-1575817.6965695899</v>
      </c>
      <c r="T165" s="22">
        <f t="shared" si="23"/>
        <v>118410.63215314285</v>
      </c>
    </row>
    <row r="166" spans="1:20" x14ac:dyDescent="0.25">
      <c r="A166" s="21">
        <v>165</v>
      </c>
      <c r="B166" s="22">
        <f>CARGAS!$C$40*Equilibrio!A166^2+CARGAS!$D$40*Equilibrio!A166+CARGAS!$E$40</f>
        <v>129.32801632653056</v>
      </c>
      <c r="C166" s="22">
        <f>CARGAS!$C$53*Equilibrio!A166^2+CARGAS!$D$53*Equilibrio!A166+CARGAS!$E$53</f>
        <v>21.554669387755098</v>
      </c>
      <c r="D166">
        <f>IF(posisup=1,IF(A166&lt;=CARGAS!$E$68,sup,0),IF(posisup=2,IF(AND(A166&lt;=CARGAS!$E$69,A166&gt;=CARGAS!$D$69),sup,0),IF(posisup=3,IF(AND(A166&lt;=CARGAS!$E$70,A166&gt;=CARGAS!$D$70),sup,0),0)))</f>
        <v>0</v>
      </c>
      <c r="E166">
        <f>IF(A166&lt;=CARGAS!$H$25,CARGAS!$I$20,0)</f>
        <v>0</v>
      </c>
      <c r="F166" s="22">
        <f>IF(AND(A166&gt;CARGAS!$O$29,A166&lt;=CARGAS!$O$30),tanque1,0)</f>
        <v>0</v>
      </c>
      <c r="G166" s="22">
        <f>IF(AND(A166&gt;CARGAS!$R$29,A166&lt;=CARGAS!$R$30),tanque2,0)</f>
        <v>0</v>
      </c>
      <c r="H166" s="22">
        <f>IF(AND(A166&gt;CARGAS!$U$29,A166&lt;=CARGAS!$U$30),tanque3,0)</f>
        <v>0</v>
      </c>
      <c r="I166" s="22">
        <f>IF(AND(A166&gt;CARGAS!$X$29,A166&lt;=CARGAS!$X$30),tanque4,0)</f>
        <v>571.20000000000005</v>
      </c>
      <c r="J166" s="22">
        <f>IF(AND(A166&gt;CARGAS!$AA$29,A166&lt;=CARGAS!$AA$30),tanque5,0)</f>
        <v>0</v>
      </c>
      <c r="K166" s="22">
        <f>IF(AND($A166&gt;CARGAS!$AD$29,$A166&lt;=CARGAS!$AD$30),tanque6,0)</f>
        <v>0</v>
      </c>
      <c r="L166" s="22">
        <f>IF(AND($A166&gt;CARGAS!$AG$29,$A166&lt;=CARGAS!$AG$30),tanque7,0)</f>
        <v>0</v>
      </c>
      <c r="M166" s="22">
        <f>IF(AND($A166&gt;CARGAS!$AJ$29,$A166&lt;=CARGAS!$AJ$30),tanque8,0)</f>
        <v>0</v>
      </c>
      <c r="N166" s="22">
        <f t="shared" si="18"/>
        <v>722.08268571428573</v>
      </c>
      <c r="O166" s="22">
        <f t="shared" si="22"/>
        <v>11.142109361121255</v>
      </c>
      <c r="P166" s="22">
        <f>O166*Equilibrio!Y$39*Equilibrio!Y$38*DADOS!C$4</f>
        <v>342.61986285447858</v>
      </c>
      <c r="Q166" s="22">
        <f t="shared" si="19"/>
        <v>379.46282285980715</v>
      </c>
      <c r="R166" s="22">
        <f t="shared" si="20"/>
        <v>-7001.9521314316007</v>
      </c>
      <c r="S166" s="22">
        <f t="shared" si="21"/>
        <v>-1582819.6487010214</v>
      </c>
      <c r="T166" s="22">
        <f t="shared" si="23"/>
        <v>119143.64314285715</v>
      </c>
    </row>
    <row r="167" spans="1:20" x14ac:dyDescent="0.25">
      <c r="A167" s="21">
        <v>166</v>
      </c>
      <c r="B167" s="22">
        <f>CARGAS!$C$40*Equilibrio!A167^2+CARGAS!$D$40*Equilibrio!A167+CARGAS!$E$40</f>
        <v>129.37969322448976</v>
      </c>
      <c r="C167" s="22">
        <f>CARGAS!$C$53*Equilibrio!A167^2+CARGAS!$D$53*Equilibrio!A167+CARGAS!$E$53</f>
        <v>21.563282204081631</v>
      </c>
      <c r="D167">
        <f>IF(posisup=1,IF(A167&lt;=CARGAS!$E$68,sup,0),IF(posisup=2,IF(AND(A167&lt;=CARGAS!$E$69,A167&gt;=CARGAS!$D$69),sup,0),IF(posisup=3,IF(AND(A167&lt;=CARGAS!$E$70,A167&gt;=CARGAS!$D$70),sup,0),0)))</f>
        <v>0</v>
      </c>
      <c r="E167">
        <f>IF(A167&lt;=CARGAS!$H$25,CARGAS!$I$20,0)</f>
        <v>0</v>
      </c>
      <c r="F167" s="22">
        <f>IF(AND(A167&gt;CARGAS!$O$29,A167&lt;=CARGAS!$O$30),tanque1,0)</f>
        <v>0</v>
      </c>
      <c r="G167" s="22">
        <f>IF(AND(A167&gt;CARGAS!$R$29,A167&lt;=CARGAS!$R$30),tanque2,0)</f>
        <v>0</v>
      </c>
      <c r="H167" s="22">
        <f>IF(AND(A167&gt;CARGAS!$U$29,A167&lt;=CARGAS!$U$30),tanque3,0)</f>
        <v>0</v>
      </c>
      <c r="I167" s="22">
        <f>IF(AND(A167&gt;CARGAS!$X$29,A167&lt;=CARGAS!$X$30),tanque4,0)</f>
        <v>571.20000000000005</v>
      </c>
      <c r="J167" s="22">
        <f>IF(AND(A167&gt;CARGAS!$AA$29,A167&lt;=CARGAS!$AA$30),tanque5,0)</f>
        <v>0</v>
      </c>
      <c r="K167" s="22">
        <f>IF(AND($A167&gt;CARGAS!$AD$29,$A167&lt;=CARGAS!$AD$30),tanque6,0)</f>
        <v>0</v>
      </c>
      <c r="L167" s="22">
        <f>IF(AND($A167&gt;CARGAS!$AG$29,$A167&lt;=CARGAS!$AG$30),tanque7,0)</f>
        <v>0</v>
      </c>
      <c r="M167" s="22">
        <f>IF(AND($A167&gt;CARGAS!$AJ$29,$A167&lt;=CARGAS!$AJ$30),tanque8,0)</f>
        <v>0</v>
      </c>
      <c r="N167" s="22">
        <f t="shared" si="18"/>
        <v>722.14297542857139</v>
      </c>
      <c r="O167" s="22">
        <f t="shared" si="22"/>
        <v>11.122908933787704</v>
      </c>
      <c r="P167" s="22">
        <f>O167*Equilibrio!Y$39*Equilibrio!Y$38*DADOS!C$4</f>
        <v>342.02944971397187</v>
      </c>
      <c r="Q167" s="22">
        <f t="shared" si="19"/>
        <v>380.11352571459952</v>
      </c>
      <c r="R167" s="22">
        <f t="shared" si="20"/>
        <v>-6621.838605717001</v>
      </c>
      <c r="S167" s="22">
        <f t="shared" si="21"/>
        <v>-1589441.4873067385</v>
      </c>
      <c r="T167" s="22">
        <f t="shared" si="23"/>
        <v>119875.73392114285</v>
      </c>
    </row>
    <row r="168" spans="1:20" x14ac:dyDescent="0.25">
      <c r="A168" s="21">
        <v>167</v>
      </c>
      <c r="B168" s="22">
        <f>CARGAS!$C$40*Equilibrio!A168^2+CARGAS!$D$40*Equilibrio!A168+CARGAS!$E$40</f>
        <v>129.42593044897956</v>
      </c>
      <c r="C168" s="22">
        <f>CARGAS!$C$53*Equilibrio!A168^2+CARGAS!$D$53*Equilibrio!A168+CARGAS!$E$53</f>
        <v>21.570988408163263</v>
      </c>
      <c r="D168">
        <f>IF(posisup=1,IF(A168&lt;=CARGAS!$E$68,sup,0),IF(posisup=2,IF(AND(A168&lt;=CARGAS!$E$69,A168&gt;=CARGAS!$D$69),sup,0),IF(posisup=3,IF(AND(A168&lt;=CARGAS!$E$70,A168&gt;=CARGAS!$D$70),sup,0),0)))</f>
        <v>0</v>
      </c>
      <c r="E168">
        <f>IF(A168&lt;=CARGAS!$H$25,CARGAS!$I$20,0)</f>
        <v>0</v>
      </c>
      <c r="F168" s="22">
        <f>IF(AND(A168&gt;CARGAS!$O$29,A168&lt;=CARGAS!$O$30),tanque1,0)</f>
        <v>0</v>
      </c>
      <c r="G168" s="22">
        <f>IF(AND(A168&gt;CARGAS!$R$29,A168&lt;=CARGAS!$R$30),tanque2,0)</f>
        <v>0</v>
      </c>
      <c r="H168" s="22">
        <f>IF(AND(A168&gt;CARGAS!$U$29,A168&lt;=CARGAS!$U$30),tanque3,0)</f>
        <v>0</v>
      </c>
      <c r="I168" s="22">
        <f>IF(AND(A168&gt;CARGAS!$X$29,A168&lt;=CARGAS!$X$30),tanque4,0)</f>
        <v>571.20000000000005</v>
      </c>
      <c r="J168" s="22">
        <f>IF(AND(A168&gt;CARGAS!$AA$29,A168&lt;=CARGAS!$AA$30),tanque5,0)</f>
        <v>0</v>
      </c>
      <c r="K168" s="22">
        <f>IF(AND($A168&gt;CARGAS!$AD$29,$A168&lt;=CARGAS!$AD$30),tanque6,0)</f>
        <v>0</v>
      </c>
      <c r="L168" s="22">
        <f>IF(AND($A168&gt;CARGAS!$AG$29,$A168&lt;=CARGAS!$AG$30),tanque7,0)</f>
        <v>0</v>
      </c>
      <c r="M168" s="22">
        <f>IF(AND($A168&gt;CARGAS!$AJ$29,$A168&lt;=CARGAS!$AJ$30),tanque8,0)</f>
        <v>0</v>
      </c>
      <c r="N168" s="22">
        <f t="shared" si="18"/>
        <v>722.19691885714292</v>
      </c>
      <c r="O168" s="22">
        <f t="shared" si="22"/>
        <v>11.106491593375514</v>
      </c>
      <c r="P168" s="22">
        <f>O168*Equilibrio!Y$39*Equilibrio!Y$38*DADOS!C$4</f>
        <v>341.52461649629703</v>
      </c>
      <c r="Q168" s="22">
        <f t="shared" si="19"/>
        <v>380.67230236084589</v>
      </c>
      <c r="R168" s="22">
        <f t="shared" si="20"/>
        <v>-6241.1663033561554</v>
      </c>
      <c r="S168" s="22">
        <f t="shared" si="21"/>
        <v>-1595682.6536100947</v>
      </c>
      <c r="T168" s="22">
        <f t="shared" si="23"/>
        <v>120606.88544914286</v>
      </c>
    </row>
    <row r="169" spans="1:20" x14ac:dyDescent="0.25">
      <c r="A169" s="21">
        <v>168</v>
      </c>
      <c r="B169" s="22">
        <f>CARGAS!$C$40*Equilibrio!A169^2+CARGAS!$D$40*Equilibrio!A169+CARGAS!$E$40</f>
        <v>129.46672799999993</v>
      </c>
      <c r="C169" s="22">
        <f>CARGAS!$C$53*Equilibrio!A169^2+CARGAS!$D$53*Equilibrio!A169+CARGAS!$E$53</f>
        <v>21.577787999999995</v>
      </c>
      <c r="D169">
        <f>IF(posisup=1,IF(A169&lt;=CARGAS!$E$68,sup,0),IF(posisup=2,IF(AND(A169&lt;=CARGAS!$E$69,A169&gt;=CARGAS!$D$69),sup,0),IF(posisup=3,IF(AND(A169&lt;=CARGAS!$E$70,A169&gt;=CARGAS!$D$70),sup,0),0)))</f>
        <v>0</v>
      </c>
      <c r="E169">
        <f>IF(A169&lt;=CARGAS!$H$25,CARGAS!$I$20,0)</f>
        <v>0</v>
      </c>
      <c r="F169" s="22">
        <f>IF(AND(A169&gt;CARGAS!$O$29,A169&lt;=CARGAS!$O$30),tanque1,0)</f>
        <v>0</v>
      </c>
      <c r="G169" s="22">
        <f>IF(AND(A169&gt;CARGAS!$R$29,A169&lt;=CARGAS!$R$30),tanque2,0)</f>
        <v>0</v>
      </c>
      <c r="H169" s="22">
        <f>IF(AND(A169&gt;CARGAS!$U$29,A169&lt;=CARGAS!$U$30),tanque3,0)</f>
        <v>0</v>
      </c>
      <c r="I169" s="22">
        <f>IF(AND(A169&gt;CARGAS!$X$29,A169&lt;=CARGAS!$X$30),tanque4,0)</f>
        <v>571.20000000000005</v>
      </c>
      <c r="J169" s="22">
        <f>IF(AND(A169&gt;CARGAS!$AA$29,A169&lt;=CARGAS!$AA$30),tanque5,0)</f>
        <v>0</v>
      </c>
      <c r="K169" s="22">
        <f>IF(AND($A169&gt;CARGAS!$AD$29,$A169&lt;=CARGAS!$AD$30),tanque6,0)</f>
        <v>0</v>
      </c>
      <c r="L169" s="22">
        <f>IF(AND($A169&gt;CARGAS!$AG$29,$A169&lt;=CARGAS!$AG$30),tanque7,0)</f>
        <v>0</v>
      </c>
      <c r="M169" s="22">
        <f>IF(AND($A169&gt;CARGAS!$AJ$29,$A169&lt;=CARGAS!$AJ$30),tanque8,0)</f>
        <v>0</v>
      </c>
      <c r="N169" s="22">
        <f t="shared" si="18"/>
        <v>722.24451599999998</v>
      </c>
      <c r="O169" s="22">
        <f t="shared" si="22"/>
        <v>11.092865034202164</v>
      </c>
      <c r="P169" s="22">
        <f>O169*Equilibrio!Y$39*Equilibrio!Y$38*DADOS!C$4</f>
        <v>341.10559980171655</v>
      </c>
      <c r="Q169" s="22">
        <f t="shared" si="19"/>
        <v>381.13891619828343</v>
      </c>
      <c r="R169" s="22">
        <f t="shared" si="20"/>
        <v>-5860.027387157872</v>
      </c>
      <c r="S169" s="22">
        <f t="shared" si="21"/>
        <v>-1601542.6809972525</v>
      </c>
      <c r="T169" s="22">
        <f t="shared" si="23"/>
        <v>121337.07868799999</v>
      </c>
    </row>
    <row r="170" spans="1:20" x14ac:dyDescent="0.25">
      <c r="A170" s="21">
        <v>169</v>
      </c>
      <c r="B170" s="22">
        <f>CARGAS!$C$40*Equilibrio!A170^2+CARGAS!$D$40*Equilibrio!A170+CARGAS!$E$40</f>
        <v>129.50208587755094</v>
      </c>
      <c r="C170" s="22">
        <f>CARGAS!$C$53*Equilibrio!A170^2+CARGAS!$D$53*Equilibrio!A170+CARGAS!$E$53</f>
        <v>21.583680979591833</v>
      </c>
      <c r="D170">
        <f>IF(posisup=1,IF(A170&lt;=CARGAS!$E$68,sup,0),IF(posisup=2,IF(AND(A170&lt;=CARGAS!$E$69,A170&gt;=CARGAS!$D$69),sup,0),IF(posisup=3,IF(AND(A170&lt;=CARGAS!$E$70,A170&gt;=CARGAS!$D$70),sup,0),0)))</f>
        <v>0</v>
      </c>
      <c r="E170">
        <f>IF(A170&lt;=CARGAS!$H$25,CARGAS!$I$20,0)</f>
        <v>0</v>
      </c>
      <c r="F170" s="22">
        <f>IF(AND(A170&gt;CARGAS!$O$29,A170&lt;=CARGAS!$O$30),tanque1,0)</f>
        <v>0</v>
      </c>
      <c r="G170" s="22">
        <f>IF(AND(A170&gt;CARGAS!$R$29,A170&lt;=CARGAS!$R$30),tanque2,0)</f>
        <v>0</v>
      </c>
      <c r="H170" s="22">
        <f>IF(AND(A170&gt;CARGAS!$U$29,A170&lt;=CARGAS!$U$30),tanque3,0)</f>
        <v>0</v>
      </c>
      <c r="I170" s="22">
        <f>IF(AND(A170&gt;CARGAS!$X$29,A170&lt;=CARGAS!$X$30),tanque4,0)</f>
        <v>571.20000000000005</v>
      </c>
      <c r="J170" s="22">
        <f>IF(AND(A170&gt;CARGAS!$AA$29,A170&lt;=CARGAS!$AA$30),tanque5,0)</f>
        <v>0</v>
      </c>
      <c r="K170" s="22">
        <f>IF(AND($A170&gt;CARGAS!$AD$29,$A170&lt;=CARGAS!$AD$30),tanque6,0)</f>
        <v>0</v>
      </c>
      <c r="L170" s="22">
        <f>IF(AND($A170&gt;CARGAS!$AG$29,$A170&lt;=CARGAS!$AG$30),tanque7,0)</f>
        <v>0</v>
      </c>
      <c r="M170" s="22">
        <f>IF(AND($A170&gt;CARGAS!$AJ$29,$A170&lt;=CARGAS!$AJ$30),tanque8,0)</f>
        <v>0</v>
      </c>
      <c r="N170" s="22">
        <f t="shared" si="18"/>
        <v>722.28576685714279</v>
      </c>
      <c r="O170" s="22">
        <f t="shared" si="22"/>
        <v>11.082036051216425</v>
      </c>
      <c r="P170" s="22">
        <f>O170*Equilibrio!Y$39*Equilibrio!Y$38*DADOS!C$4</f>
        <v>340.77260857490506</v>
      </c>
      <c r="Q170" s="22">
        <f t="shared" si="19"/>
        <v>381.51315828223773</v>
      </c>
      <c r="R170" s="22">
        <f t="shared" si="20"/>
        <v>-5478.5142288756342</v>
      </c>
      <c r="S170" s="22">
        <f t="shared" si="21"/>
        <v>-1607021.1952261282</v>
      </c>
      <c r="T170" s="22">
        <f t="shared" si="23"/>
        <v>122066.29459885713</v>
      </c>
    </row>
    <row r="171" spans="1:20" x14ac:dyDescent="0.25">
      <c r="A171" s="21">
        <v>170</v>
      </c>
      <c r="B171" s="22">
        <f>CARGAS!$C$40*Equilibrio!A171^2+CARGAS!$D$40*Equilibrio!A171+CARGAS!$E$40</f>
        <v>129.53200408163264</v>
      </c>
      <c r="C171" s="22">
        <f>CARGAS!$C$53*Equilibrio!A171^2+CARGAS!$D$53*Equilibrio!A171+CARGAS!$E$53</f>
        <v>21.58866734693877</v>
      </c>
      <c r="D171">
        <f>IF(posisup=1,IF(A171&lt;=CARGAS!$E$68,sup,0),IF(posisup=2,IF(AND(A171&lt;=CARGAS!$E$69,A171&gt;=CARGAS!$D$69),sup,0),IF(posisup=3,IF(AND(A171&lt;=CARGAS!$E$70,A171&gt;=CARGAS!$D$70),sup,0),0)))</f>
        <v>0</v>
      </c>
      <c r="E171">
        <f>IF(A171&lt;=CARGAS!$H$25,CARGAS!$I$20,0)</f>
        <v>0</v>
      </c>
      <c r="F171" s="22">
        <f>IF(AND(A171&gt;CARGAS!$O$29,A171&lt;=CARGAS!$O$30),tanque1,0)</f>
        <v>0</v>
      </c>
      <c r="G171" s="22">
        <f>IF(AND(A171&gt;CARGAS!$R$29,A171&lt;=CARGAS!$R$30),tanque2,0)</f>
        <v>0</v>
      </c>
      <c r="H171" s="22">
        <f>IF(AND(A171&gt;CARGAS!$U$29,A171&lt;=CARGAS!$U$30),tanque3,0)</f>
        <v>0</v>
      </c>
      <c r="I171" s="22">
        <f>IF(AND(A171&gt;CARGAS!$X$29,A171&lt;=CARGAS!$X$30),tanque4,0)</f>
        <v>571.20000000000005</v>
      </c>
      <c r="J171" s="22">
        <f>IF(AND(A171&gt;CARGAS!$AA$29,A171&lt;=CARGAS!$AA$30),tanque5,0)</f>
        <v>0</v>
      </c>
      <c r="K171" s="22">
        <f>IF(AND($A171&gt;CARGAS!$AD$29,$A171&lt;=CARGAS!$AD$30),tanque6,0)</f>
        <v>0</v>
      </c>
      <c r="L171" s="22">
        <f>IF(AND($A171&gt;CARGAS!$AG$29,$A171&lt;=CARGAS!$AG$30),tanque7,0)</f>
        <v>0</v>
      </c>
      <c r="M171" s="22">
        <f>IF(AND($A171&gt;CARGAS!$AJ$29,$A171&lt;=CARGAS!$AJ$30),tanque8,0)</f>
        <v>0</v>
      </c>
      <c r="N171" s="22">
        <f t="shared" si="18"/>
        <v>722.32067142857147</v>
      </c>
      <c r="O171" s="22">
        <f t="shared" si="22"/>
        <v>11.074010537808562</v>
      </c>
      <c r="P171" s="22">
        <f>O171*Equilibrio!Y$39*Equilibrio!Y$38*DADOS!C$4</f>
        <v>340.52582403761323</v>
      </c>
      <c r="Q171" s="22">
        <f t="shared" si="19"/>
        <v>381.79484739095824</v>
      </c>
      <c r="R171" s="22">
        <f t="shared" si="20"/>
        <v>-5096.719381484676</v>
      </c>
      <c r="S171" s="22">
        <f t="shared" si="21"/>
        <v>-1612117.9146076129</v>
      </c>
      <c r="T171" s="22">
        <f t="shared" si="23"/>
        <v>122794.51414285715</v>
      </c>
    </row>
    <row r="172" spans="1:20" x14ac:dyDescent="0.25">
      <c r="A172" s="21">
        <v>171</v>
      </c>
      <c r="B172" s="22">
        <f>CARGAS!$C$40*Equilibrio!A172^2+CARGAS!$D$40*Equilibrio!A172+CARGAS!$E$40</f>
        <v>129.55648261224485</v>
      </c>
      <c r="C172" s="22">
        <f>CARGAS!$C$53*Equilibrio!A172^2+CARGAS!$D$53*Equilibrio!A172+CARGAS!$E$53</f>
        <v>21.592747102040814</v>
      </c>
      <c r="D172">
        <f>IF(posisup=1,IF(A172&lt;=CARGAS!$E$68,sup,0),IF(posisup=2,IF(AND(A172&lt;=CARGAS!$E$69,A172&gt;=CARGAS!$D$69),sup,0),IF(posisup=3,IF(AND(A172&lt;=CARGAS!$E$70,A172&gt;=CARGAS!$D$70),sup,0),0)))</f>
        <v>0</v>
      </c>
      <c r="E172">
        <f>IF(A172&lt;=CARGAS!$H$25,CARGAS!$I$20,0)</f>
        <v>0</v>
      </c>
      <c r="F172" s="22">
        <f>IF(AND(A172&gt;CARGAS!$O$29,A172&lt;=CARGAS!$O$30),tanque1,0)</f>
        <v>0</v>
      </c>
      <c r="G172" s="22">
        <f>IF(AND(A172&gt;CARGAS!$R$29,A172&lt;=CARGAS!$R$30),tanque2,0)</f>
        <v>0</v>
      </c>
      <c r="H172" s="22">
        <f>IF(AND(A172&gt;CARGAS!$U$29,A172&lt;=CARGAS!$U$30),tanque3,0)</f>
        <v>0</v>
      </c>
      <c r="I172" s="22">
        <f>IF(AND(A172&gt;CARGAS!$X$29,A172&lt;=CARGAS!$X$30),tanque4,0)</f>
        <v>571.20000000000005</v>
      </c>
      <c r="J172" s="22">
        <f>IF(AND(A172&gt;CARGAS!$AA$29,A172&lt;=CARGAS!$AA$30),tanque5,0)</f>
        <v>0</v>
      </c>
      <c r="K172" s="22">
        <f>IF(AND($A172&gt;CARGAS!$AD$29,$A172&lt;=CARGAS!$AD$30),tanque6,0)</f>
        <v>0</v>
      </c>
      <c r="L172" s="22">
        <f>IF(AND($A172&gt;CARGAS!$AG$29,$A172&lt;=CARGAS!$AG$30),tanque7,0)</f>
        <v>0</v>
      </c>
      <c r="M172" s="22">
        <f>IF(AND($A172&gt;CARGAS!$AJ$29,$A172&lt;=CARGAS!$AJ$30),tanque8,0)</f>
        <v>0</v>
      </c>
      <c r="N172" s="22">
        <f t="shared" si="18"/>
        <v>722.34922971428568</v>
      </c>
      <c r="O172" s="22">
        <f t="shared" si="22"/>
        <v>11.068793483911133</v>
      </c>
      <c r="P172" s="22">
        <f>O172*Equilibrio!Y$39*Equilibrio!Y$38*DADOS!C$4</f>
        <v>340.36539963026729</v>
      </c>
      <c r="Q172" s="22">
        <f t="shared" si="19"/>
        <v>381.98383008401839</v>
      </c>
      <c r="R172" s="22">
        <f t="shared" si="20"/>
        <v>-4714.7355514006576</v>
      </c>
      <c r="S172" s="22">
        <f t="shared" si="21"/>
        <v>-1616832.6501590135</v>
      </c>
      <c r="T172" s="22">
        <f t="shared" si="23"/>
        <v>123521.71828114285</v>
      </c>
    </row>
    <row r="173" spans="1:20" x14ac:dyDescent="0.25">
      <c r="A173" s="21">
        <v>172</v>
      </c>
      <c r="B173" s="22">
        <f>CARGAS!$C$40*Equilibrio!A173^2+CARGAS!$D$40*Equilibrio!A173+CARGAS!$E$40</f>
        <v>129.5755214693877</v>
      </c>
      <c r="C173" s="22">
        <f>CARGAS!$C$53*Equilibrio!A173^2+CARGAS!$D$53*Equilibrio!A173+CARGAS!$E$53</f>
        <v>21.595920244897954</v>
      </c>
      <c r="D173">
        <f>IF(posisup=1,IF(A173&lt;=CARGAS!$E$68,sup,0),IF(posisup=2,IF(AND(A173&lt;=CARGAS!$E$69,A173&gt;=CARGAS!$D$69),sup,0),IF(posisup=3,IF(AND(A173&lt;=CARGAS!$E$70,A173&gt;=CARGAS!$D$70),sup,0),0)))</f>
        <v>0</v>
      </c>
      <c r="E173">
        <f>IF(A173&lt;=CARGAS!$H$25,CARGAS!$I$20,0)</f>
        <v>0</v>
      </c>
      <c r="F173" s="22">
        <f>IF(AND(A173&gt;CARGAS!$O$29,A173&lt;=CARGAS!$O$30),tanque1,0)</f>
        <v>0</v>
      </c>
      <c r="G173" s="22">
        <f>IF(AND(A173&gt;CARGAS!$R$29,A173&lt;=CARGAS!$R$30),tanque2,0)</f>
        <v>0</v>
      </c>
      <c r="H173" s="22">
        <f>IF(AND(A173&gt;CARGAS!$U$29,A173&lt;=CARGAS!$U$30),tanque3,0)</f>
        <v>0</v>
      </c>
      <c r="I173" s="22">
        <f>IF(AND(A173&gt;CARGAS!$X$29,A173&lt;=CARGAS!$X$30),tanque4,0)</f>
        <v>571.20000000000005</v>
      </c>
      <c r="J173" s="22">
        <f>IF(AND(A173&gt;CARGAS!$AA$29,A173&lt;=CARGAS!$AA$30),tanque5,0)</f>
        <v>0</v>
      </c>
      <c r="K173" s="22">
        <f>IF(AND($A173&gt;CARGAS!$AD$29,$A173&lt;=CARGAS!$AD$30),tanque6,0)</f>
        <v>0</v>
      </c>
      <c r="L173" s="22">
        <f>IF(AND($A173&gt;CARGAS!$AG$29,$A173&lt;=CARGAS!$AG$30),tanque7,0)</f>
        <v>0</v>
      </c>
      <c r="M173" s="22">
        <f>IF(AND($A173&gt;CARGAS!$AJ$29,$A173&lt;=CARGAS!$AJ$30),tanque8,0)</f>
        <v>0</v>
      </c>
      <c r="N173" s="22">
        <f t="shared" si="18"/>
        <v>722.37144171428577</v>
      </c>
      <c r="O173" s="22">
        <f t="shared" si="22"/>
        <v>11.0663889743909</v>
      </c>
      <c r="P173" s="22">
        <f>O173*Equilibrio!Y$39*Equilibrio!Y$38*DADOS!C$4</f>
        <v>340.29146096252015</v>
      </c>
      <c r="Q173" s="22">
        <f t="shared" si="19"/>
        <v>382.07998075176562</v>
      </c>
      <c r="R173" s="22">
        <f t="shared" si="20"/>
        <v>-4332.6555706488916</v>
      </c>
      <c r="S173" s="22">
        <f t="shared" si="21"/>
        <v>-1621165.3057296623</v>
      </c>
      <c r="T173" s="22">
        <f t="shared" si="23"/>
        <v>124247.88797485715</v>
      </c>
    </row>
    <row r="174" spans="1:20" x14ac:dyDescent="0.25">
      <c r="A174" s="21">
        <v>173</v>
      </c>
      <c r="B174" s="22">
        <f>CARGAS!$C$40*Equilibrio!A174^2+CARGAS!$D$40*Equilibrio!A174+CARGAS!$E$40</f>
        <v>129.58912065306117</v>
      </c>
      <c r="C174" s="22">
        <f>CARGAS!$C$53*Equilibrio!A174^2+CARGAS!$D$53*Equilibrio!A174+CARGAS!$E$53</f>
        <v>21.5981867755102</v>
      </c>
      <c r="D174">
        <f>IF(posisup=1,IF(A174&lt;=CARGAS!$E$68,sup,0),IF(posisup=2,IF(AND(A174&lt;=CARGAS!$E$69,A174&gt;=CARGAS!$D$69),sup,0),IF(posisup=3,IF(AND(A174&lt;=CARGAS!$E$70,A174&gt;=CARGAS!$D$70),sup,0),0)))</f>
        <v>0</v>
      </c>
      <c r="E174">
        <f>IF(A174&lt;=CARGAS!$H$25,CARGAS!$I$20,0)</f>
        <v>0</v>
      </c>
      <c r="F174" s="22">
        <f>IF(AND(A174&gt;CARGAS!$O$29,A174&lt;=CARGAS!$O$30),tanque1,0)</f>
        <v>0</v>
      </c>
      <c r="G174" s="22">
        <f>IF(AND(A174&gt;CARGAS!$R$29,A174&lt;=CARGAS!$R$30),tanque2,0)</f>
        <v>0</v>
      </c>
      <c r="H174" s="22">
        <f>IF(AND(A174&gt;CARGAS!$U$29,A174&lt;=CARGAS!$U$30),tanque3,0)</f>
        <v>0</v>
      </c>
      <c r="I174" s="22">
        <f>IF(AND(A174&gt;CARGAS!$X$29,A174&lt;=CARGAS!$X$30),tanque4,0)</f>
        <v>571.20000000000005</v>
      </c>
      <c r="J174" s="22">
        <f>IF(AND(A174&gt;CARGAS!$AA$29,A174&lt;=CARGAS!$AA$30),tanque5,0)</f>
        <v>0</v>
      </c>
      <c r="K174" s="22">
        <f>IF(AND($A174&gt;CARGAS!$AD$29,$A174&lt;=CARGAS!$AD$30),tanque6,0)</f>
        <v>0</v>
      </c>
      <c r="L174" s="22">
        <f>IF(AND($A174&gt;CARGAS!$AG$29,$A174&lt;=CARGAS!$AG$30),tanque7,0)</f>
        <v>0</v>
      </c>
      <c r="M174" s="22">
        <f>IF(AND($A174&gt;CARGAS!$AJ$29,$A174&lt;=CARGAS!$AJ$30),tanque8,0)</f>
        <v>0</v>
      </c>
      <c r="N174" s="22">
        <f t="shared" si="18"/>
        <v>722.38730742857138</v>
      </c>
      <c r="O174" s="22">
        <f t="shared" si="22"/>
        <v>11.066800187732426</v>
      </c>
      <c r="P174" s="22">
        <f>O174*Equilibrio!Y$39*Equilibrio!Y$38*DADOS!C$4</f>
        <v>340.30410577277206</v>
      </c>
      <c r="Q174" s="22">
        <f t="shared" si="19"/>
        <v>382.08320165579931</v>
      </c>
      <c r="R174" s="22">
        <f t="shared" si="20"/>
        <v>-3950.5723689930924</v>
      </c>
      <c r="S174" s="22">
        <f t="shared" si="21"/>
        <v>-1625115.8780986555</v>
      </c>
      <c r="T174" s="22">
        <f t="shared" si="23"/>
        <v>124973.00418514285</v>
      </c>
    </row>
    <row r="175" spans="1:20" x14ac:dyDescent="0.25">
      <c r="A175" s="21">
        <v>174</v>
      </c>
      <c r="B175" s="22">
        <f>CARGAS!$C$40*Equilibrio!A175^2+CARGAS!$D$40*Equilibrio!A175+CARGAS!$E$40</f>
        <v>129.59728016326525</v>
      </c>
      <c r="C175" s="22">
        <f>CARGAS!$C$53*Equilibrio!A175^2+CARGAS!$D$53*Equilibrio!A175+CARGAS!$E$53</f>
        <v>21.599546693877546</v>
      </c>
      <c r="D175">
        <f>IF(posisup=1,IF(A175&lt;=CARGAS!$E$68,sup,0),IF(posisup=2,IF(AND(A175&lt;=CARGAS!$E$69,A175&gt;=CARGAS!$D$69),sup,0),IF(posisup=3,IF(AND(A175&lt;=CARGAS!$E$70,A175&gt;=CARGAS!$D$70),sup,0),0)))</f>
        <v>0</v>
      </c>
      <c r="E175">
        <f>IF(A175&lt;=CARGAS!$H$25,CARGAS!$I$20,0)</f>
        <v>0</v>
      </c>
      <c r="F175" s="22">
        <f>IF(AND(A175&gt;CARGAS!$O$29,A175&lt;=CARGAS!$O$30),tanque1,0)</f>
        <v>0</v>
      </c>
      <c r="G175" s="22">
        <f>IF(AND(A175&gt;CARGAS!$R$29,A175&lt;=CARGAS!$R$30),tanque2,0)</f>
        <v>0</v>
      </c>
      <c r="H175" s="22">
        <f>IF(AND(A175&gt;CARGAS!$U$29,A175&lt;=CARGAS!$U$30),tanque3,0)</f>
        <v>0</v>
      </c>
      <c r="I175" s="22">
        <f>IF(AND(A175&gt;CARGAS!$X$29,A175&lt;=CARGAS!$X$30),tanque4,0)</f>
        <v>571.20000000000005</v>
      </c>
      <c r="J175" s="22">
        <f>IF(AND(A175&gt;CARGAS!$AA$29,A175&lt;=CARGAS!$AA$30),tanque5,0)</f>
        <v>0</v>
      </c>
      <c r="K175" s="22">
        <f>IF(AND($A175&gt;CARGAS!$AD$29,$A175&lt;=CARGAS!$AD$30),tanque6,0)</f>
        <v>0</v>
      </c>
      <c r="L175" s="22">
        <f>IF(AND($A175&gt;CARGAS!$AG$29,$A175&lt;=CARGAS!$AG$30),tanque7,0)</f>
        <v>0</v>
      </c>
      <c r="M175" s="22">
        <f>IF(AND($A175&gt;CARGAS!$AJ$29,$A175&lt;=CARGAS!$AJ$30),tanque8,0)</f>
        <v>0</v>
      </c>
      <c r="N175" s="22">
        <f t="shared" si="18"/>
        <v>722.39682685714286</v>
      </c>
      <c r="O175" s="22">
        <f t="shared" si="22"/>
        <v>11.070029395013757</v>
      </c>
      <c r="P175" s="22">
        <f>O175*Equilibrio!Y$39*Equilibrio!Y$38*DADOS!C$4</f>
        <v>340.40340389667296</v>
      </c>
      <c r="Q175" s="22">
        <f t="shared" si="19"/>
        <v>381.9934229604699</v>
      </c>
      <c r="R175" s="22">
        <f t="shared" si="20"/>
        <v>-3568.5789460326223</v>
      </c>
      <c r="S175" s="22">
        <f t="shared" si="21"/>
        <v>-1628684.4570446881</v>
      </c>
      <c r="T175" s="22">
        <f t="shared" si="23"/>
        <v>125697.04787314286</v>
      </c>
    </row>
    <row r="176" spans="1:20" x14ac:dyDescent="0.25">
      <c r="A176" s="21">
        <v>175</v>
      </c>
      <c r="B176" s="22">
        <f>CARGAS!$C$40*Equilibrio!A176^2+CARGAS!$D$40*Equilibrio!A176+CARGAS!$E$40</f>
        <v>129.59999999999997</v>
      </c>
      <c r="C176" s="22">
        <f>CARGAS!$C$53*Equilibrio!A176^2+CARGAS!$D$53*Equilibrio!A176+CARGAS!$E$53</f>
        <v>21.599999999999998</v>
      </c>
      <c r="D176">
        <f>IF(posisup=1,IF(A176&lt;=CARGAS!$E$68,sup,0),IF(posisup=2,IF(AND(A176&lt;=CARGAS!$E$69,A176&gt;=CARGAS!$D$69),sup,0),IF(posisup=3,IF(AND(A176&lt;=CARGAS!$E$70,A176&gt;=CARGAS!$D$70),sup,0),0)))</f>
        <v>0</v>
      </c>
      <c r="E176">
        <f>IF(A176&lt;=CARGAS!$H$25,CARGAS!$I$20,0)</f>
        <v>0</v>
      </c>
      <c r="F176" s="22">
        <f>IF(AND(A176&gt;CARGAS!$O$29,A176&lt;=CARGAS!$O$30),tanque1,0)</f>
        <v>0</v>
      </c>
      <c r="G176" s="22">
        <f>IF(AND(A176&gt;CARGAS!$R$29,A176&lt;=CARGAS!$R$30),tanque2,0)</f>
        <v>0</v>
      </c>
      <c r="H176" s="22">
        <f>IF(AND(A176&gt;CARGAS!$U$29,A176&lt;=CARGAS!$U$30),tanque3,0)</f>
        <v>0</v>
      </c>
      <c r="I176" s="22">
        <f>IF(AND(A176&gt;CARGAS!$X$29,A176&lt;=CARGAS!$X$30),tanque4,0)</f>
        <v>571.20000000000005</v>
      </c>
      <c r="J176" s="22">
        <f>IF(AND(A176&gt;CARGAS!$AA$29,A176&lt;=CARGAS!$AA$30),tanque5,0)</f>
        <v>0</v>
      </c>
      <c r="K176" s="22">
        <f>IF(AND($A176&gt;CARGAS!$AD$29,$A176&lt;=CARGAS!$AD$30),tanque6,0)</f>
        <v>0</v>
      </c>
      <c r="L176" s="22">
        <f>IF(AND($A176&gt;CARGAS!$AG$29,$A176&lt;=CARGAS!$AG$30),tanque7,0)</f>
        <v>0</v>
      </c>
      <c r="M176" s="22">
        <f>IF(AND($A176&gt;CARGAS!$AJ$29,$A176&lt;=CARGAS!$AJ$30),tanque8,0)</f>
        <v>0</v>
      </c>
      <c r="N176" s="22">
        <f t="shared" si="18"/>
        <v>722.4</v>
      </c>
      <c r="O176" s="22">
        <f t="shared" si="22"/>
        <v>11.076077959174544</v>
      </c>
      <c r="P176" s="22">
        <f>O176*Equilibrio!Y$39*Equilibrio!Y$38*DADOS!C$4</f>
        <v>340.5893972446172</v>
      </c>
      <c r="Q176" s="22">
        <f t="shared" si="19"/>
        <v>381.81060275538277</v>
      </c>
      <c r="R176" s="22">
        <f t="shared" si="20"/>
        <v>-3186.7683432772396</v>
      </c>
      <c r="S176" s="22">
        <f t="shared" si="21"/>
        <v>-1631871.2253879653</v>
      </c>
      <c r="T176" s="22">
        <f t="shared" si="23"/>
        <v>126420</v>
      </c>
    </row>
    <row r="177" spans="1:20" x14ac:dyDescent="0.25">
      <c r="A177" s="21">
        <v>176</v>
      </c>
      <c r="B177" s="22">
        <f>CARGAS!$C$40*Equilibrio!A177^2+CARGAS!$D$40*Equilibrio!A177+CARGAS!$E$40</f>
        <v>129.59728016326525</v>
      </c>
      <c r="C177" s="22">
        <f>CARGAS!$C$53*Equilibrio!A177^2+CARGAS!$D$53*Equilibrio!A177+CARGAS!$E$53</f>
        <v>21.599546693877546</v>
      </c>
      <c r="D177">
        <f>IF(posisup=1,IF(A177&lt;=CARGAS!$E$68,sup,0),IF(posisup=2,IF(AND(A177&lt;=CARGAS!$E$69,A177&gt;=CARGAS!$D$69),sup,0),IF(posisup=3,IF(AND(A177&lt;=CARGAS!$E$70,A177&gt;=CARGAS!$D$70),sup,0),0)))</f>
        <v>0</v>
      </c>
      <c r="E177">
        <f>IF(A177&lt;=CARGAS!$H$25,CARGAS!$I$20,0)</f>
        <v>0</v>
      </c>
      <c r="F177" s="22">
        <f>IF(AND(A177&gt;CARGAS!$O$29,A177&lt;=CARGAS!$O$30),tanque1,0)</f>
        <v>0</v>
      </c>
      <c r="G177" s="22">
        <f>IF(AND(A177&gt;CARGAS!$R$29,A177&lt;=CARGAS!$R$30),tanque2,0)</f>
        <v>0</v>
      </c>
      <c r="H177" s="22">
        <f>IF(AND(A177&gt;CARGAS!$U$29,A177&lt;=CARGAS!$U$30),tanque3,0)</f>
        <v>0</v>
      </c>
      <c r="I177" s="22">
        <f>IF(AND(A177&gt;CARGAS!$X$29,A177&lt;=CARGAS!$X$30),tanque4,0)</f>
        <v>571.20000000000005</v>
      </c>
      <c r="J177" s="22">
        <f>IF(AND(A177&gt;CARGAS!$AA$29,A177&lt;=CARGAS!$AA$30),tanque5,0)</f>
        <v>0</v>
      </c>
      <c r="K177" s="22">
        <f>IF(AND($A177&gt;CARGAS!$AD$29,$A177&lt;=CARGAS!$AD$30),tanque6,0)</f>
        <v>0</v>
      </c>
      <c r="L177" s="22">
        <f>IF(AND($A177&gt;CARGAS!$AG$29,$A177&lt;=CARGAS!$AG$30),tanque7,0)</f>
        <v>0</v>
      </c>
      <c r="M177" s="22">
        <f>IF(AND($A177&gt;CARGAS!$AJ$29,$A177&lt;=CARGAS!$AJ$30),tanque8,0)</f>
        <v>0</v>
      </c>
      <c r="N177" s="22">
        <f t="shared" si="18"/>
        <v>722.39682685714286</v>
      </c>
      <c r="O177" s="22">
        <f t="shared" si="22"/>
        <v>11.084946334576815</v>
      </c>
      <c r="P177" s="22">
        <f>O177*Equilibrio!Y$39*Equilibrio!Y$38*DADOS!C$4</f>
        <v>340.862099788237</v>
      </c>
      <c r="Q177" s="22">
        <f t="shared" si="19"/>
        <v>381.53472706890585</v>
      </c>
      <c r="R177" s="22">
        <f t="shared" si="20"/>
        <v>-2805.2336162083338</v>
      </c>
      <c r="S177" s="22">
        <f t="shared" si="21"/>
        <v>-1634676.4590041738</v>
      </c>
      <c r="T177" s="22">
        <f t="shared" si="23"/>
        <v>127141.84152685714</v>
      </c>
    </row>
    <row r="178" spans="1:20" x14ac:dyDescent="0.25">
      <c r="A178" s="21">
        <v>177</v>
      </c>
      <c r="B178" s="22">
        <f>CARGAS!$C$40*Equilibrio!A178^2+CARGAS!$D$40*Equilibrio!A178+CARGAS!$E$40</f>
        <v>129.58912065306117</v>
      </c>
      <c r="C178" s="22">
        <f>CARGAS!$C$53*Equilibrio!A178^2+CARGAS!$D$53*Equilibrio!A178+CARGAS!$E$53</f>
        <v>21.5981867755102</v>
      </c>
      <c r="D178">
        <f>IF(posisup=1,IF(A178&lt;=CARGAS!$E$68,sup,0),IF(posisup=2,IF(AND(A178&lt;=CARGAS!$E$69,A178&gt;=CARGAS!$D$69),sup,0),IF(posisup=3,IF(AND(A178&lt;=CARGAS!$E$70,A178&gt;=CARGAS!$D$70),sup,0),0)))</f>
        <v>0</v>
      </c>
      <c r="E178">
        <f>IF(A178&lt;=CARGAS!$H$25,CARGAS!$I$20,0)</f>
        <v>0</v>
      </c>
      <c r="F178" s="22">
        <f>IF(AND(A178&gt;CARGAS!$O$29,A178&lt;=CARGAS!$O$30),tanque1,0)</f>
        <v>0</v>
      </c>
      <c r="G178" s="22">
        <f>IF(AND(A178&gt;CARGAS!$R$29,A178&lt;=CARGAS!$R$30),tanque2,0)</f>
        <v>0</v>
      </c>
      <c r="H178" s="22">
        <f>IF(AND(A178&gt;CARGAS!$U$29,A178&lt;=CARGAS!$U$30),tanque3,0)</f>
        <v>0</v>
      </c>
      <c r="I178" s="22">
        <f>IF(AND(A178&gt;CARGAS!$X$29,A178&lt;=CARGAS!$X$30),tanque4,0)</f>
        <v>571.20000000000005</v>
      </c>
      <c r="J178" s="22">
        <f>IF(AND(A178&gt;CARGAS!$AA$29,A178&lt;=CARGAS!$AA$30),tanque5,0)</f>
        <v>0</v>
      </c>
      <c r="K178" s="22">
        <f>IF(AND($A178&gt;CARGAS!$AD$29,$A178&lt;=CARGAS!$AD$30),tanque6,0)</f>
        <v>0</v>
      </c>
      <c r="L178" s="22">
        <f>IF(AND($A178&gt;CARGAS!$AG$29,$A178&lt;=CARGAS!$AG$30),tanque7,0)</f>
        <v>0</v>
      </c>
      <c r="M178" s="22">
        <f>IF(AND($A178&gt;CARGAS!$AJ$29,$A178&lt;=CARGAS!$AJ$30),tanque8,0)</f>
        <v>0</v>
      </c>
      <c r="N178" s="22">
        <f t="shared" si="18"/>
        <v>722.38730742857138</v>
      </c>
      <c r="O178" s="22">
        <f t="shared" si="22"/>
        <v>11.096634066858538</v>
      </c>
      <c r="P178" s="22">
        <f>O178*Equilibrio!Y$39*Equilibrio!Y$38*DADOS!C$4</f>
        <v>341.22149755589999</v>
      </c>
      <c r="Q178" s="22">
        <f t="shared" si="19"/>
        <v>381.16580987267139</v>
      </c>
      <c r="R178" s="22">
        <f t="shared" si="20"/>
        <v>-2424.0678063356627</v>
      </c>
      <c r="S178" s="22">
        <f t="shared" si="21"/>
        <v>-1637100.5268105094</v>
      </c>
      <c r="T178" s="22">
        <f t="shared" si="23"/>
        <v>127862.55341485713</v>
      </c>
    </row>
    <row r="179" spans="1:20" x14ac:dyDescent="0.25">
      <c r="A179" s="21">
        <v>178</v>
      </c>
      <c r="B179" s="22">
        <f>CARGAS!$C$40*Equilibrio!A179^2+CARGAS!$D$40*Equilibrio!A179+CARGAS!$E$40</f>
        <v>129.57552146938772</v>
      </c>
      <c r="C179" s="22">
        <f>CARGAS!$C$53*Equilibrio!A179^2+CARGAS!$D$53*Equilibrio!A179+CARGAS!$E$53</f>
        <v>21.595920244897954</v>
      </c>
      <c r="D179">
        <f>IF(posisup=1,IF(A179&lt;=CARGAS!$E$68,sup,0),IF(posisup=2,IF(AND(A179&lt;=CARGAS!$E$69,A179&gt;=CARGAS!$D$69),sup,0),IF(posisup=3,IF(AND(A179&lt;=CARGAS!$E$70,A179&gt;=CARGAS!$D$70),sup,0),0)))</f>
        <v>0</v>
      </c>
      <c r="E179">
        <f>IF(A179&lt;=CARGAS!$H$25,CARGAS!$I$20,0)</f>
        <v>0</v>
      </c>
      <c r="F179" s="22">
        <f>IF(AND(A179&gt;CARGAS!$O$29,A179&lt;=CARGAS!$O$30),tanque1,0)</f>
        <v>0</v>
      </c>
      <c r="G179" s="22">
        <f>IF(AND(A179&gt;CARGAS!$R$29,A179&lt;=CARGAS!$R$30),tanque2,0)</f>
        <v>0</v>
      </c>
      <c r="H179" s="22">
        <f>IF(AND(A179&gt;CARGAS!$U$29,A179&lt;=CARGAS!$U$30),tanque3,0)</f>
        <v>0</v>
      </c>
      <c r="I179" s="22">
        <f>IF(AND(A179&gt;CARGAS!$X$29,A179&lt;=CARGAS!$X$30),tanque4,0)</f>
        <v>571.20000000000005</v>
      </c>
      <c r="J179" s="22">
        <f>IF(AND(A179&gt;CARGAS!$AA$29,A179&lt;=CARGAS!$AA$30),tanque5,0)</f>
        <v>0</v>
      </c>
      <c r="K179" s="22">
        <f>IF(AND($A179&gt;CARGAS!$AD$29,$A179&lt;=CARGAS!$AD$30),tanque6,0)</f>
        <v>0</v>
      </c>
      <c r="L179" s="22">
        <f>IF(AND($A179&gt;CARGAS!$AG$29,$A179&lt;=CARGAS!$AG$30),tanque7,0)</f>
        <v>0</v>
      </c>
      <c r="M179" s="22">
        <f>IF(AND($A179&gt;CARGAS!$AJ$29,$A179&lt;=CARGAS!$AJ$30),tanque8,0)</f>
        <v>0</v>
      </c>
      <c r="N179" s="22">
        <f t="shared" si="18"/>
        <v>722.37144171428577</v>
      </c>
      <c r="O179" s="22">
        <f t="shared" si="22"/>
        <v>11.111139793080071</v>
      </c>
      <c r="P179" s="22">
        <f>O179*Equilibrio!Y$39*Equilibrio!Y$38*DADOS!C$4</f>
        <v>341.66754863721212</v>
      </c>
      <c r="Q179" s="22">
        <f t="shared" si="19"/>
        <v>380.70389307707364</v>
      </c>
      <c r="R179" s="22">
        <f t="shared" si="20"/>
        <v>-2043.363913258589</v>
      </c>
      <c r="S179" s="22">
        <f t="shared" si="21"/>
        <v>-1639143.8907237679</v>
      </c>
      <c r="T179" s="22">
        <f t="shared" si="23"/>
        <v>128582.11662514287</v>
      </c>
    </row>
    <row r="180" spans="1:20" x14ac:dyDescent="0.25">
      <c r="A180" s="21">
        <v>179</v>
      </c>
      <c r="B180" s="22">
        <f>CARGAS!$C$40*Equilibrio!A180^2+CARGAS!$D$40*Equilibrio!A180+CARGAS!$E$40</f>
        <v>129.55648261224485</v>
      </c>
      <c r="C180" s="22">
        <f>CARGAS!$C$53*Equilibrio!A180^2+CARGAS!$D$53*Equilibrio!A180+CARGAS!$E$53</f>
        <v>21.592747102040814</v>
      </c>
      <c r="D180">
        <f>IF(posisup=1,IF(A180&lt;=CARGAS!$E$68,sup,0),IF(posisup=2,IF(AND(A180&lt;=CARGAS!$E$69,A180&gt;=CARGAS!$D$69),sup,0),IF(posisup=3,IF(AND(A180&lt;=CARGAS!$E$70,A180&gt;=CARGAS!$D$70),sup,0),0)))</f>
        <v>0</v>
      </c>
      <c r="E180">
        <f>IF(A180&lt;=CARGAS!$H$25,CARGAS!$I$20,0)</f>
        <v>0</v>
      </c>
      <c r="F180" s="22">
        <f>IF(AND(A180&gt;CARGAS!$O$29,A180&lt;=CARGAS!$O$30),tanque1,0)</f>
        <v>0</v>
      </c>
      <c r="G180" s="22">
        <f>IF(AND(A180&gt;CARGAS!$R$29,A180&lt;=CARGAS!$R$30),tanque2,0)</f>
        <v>0</v>
      </c>
      <c r="H180" s="22">
        <f>IF(AND(A180&gt;CARGAS!$U$29,A180&lt;=CARGAS!$U$30),tanque3,0)</f>
        <v>0</v>
      </c>
      <c r="I180" s="22">
        <f>IF(AND(A180&gt;CARGAS!$X$29,A180&lt;=CARGAS!$X$30),tanque4,0)</f>
        <v>571.20000000000005</v>
      </c>
      <c r="J180" s="22">
        <f>IF(AND(A180&gt;CARGAS!$AA$29,A180&lt;=CARGAS!$AA$30),tanque5,0)</f>
        <v>0</v>
      </c>
      <c r="K180" s="22">
        <f>IF(AND($A180&gt;CARGAS!$AD$29,$A180&lt;=CARGAS!$AD$30),tanque6,0)</f>
        <v>0</v>
      </c>
      <c r="L180" s="22">
        <f>IF(AND($A180&gt;CARGAS!$AG$29,$A180&lt;=CARGAS!$AG$30),tanque7,0)</f>
        <v>0</v>
      </c>
      <c r="M180" s="22">
        <f>IF(AND($A180&gt;CARGAS!$AJ$29,$A180&lt;=CARGAS!$AJ$30),tanque8,0)</f>
        <v>0</v>
      </c>
      <c r="N180" s="22">
        <f t="shared" si="18"/>
        <v>722.34922971428568</v>
      </c>
      <c r="O180" s="22">
        <f t="shared" si="22"/>
        <v>11.128461242163358</v>
      </c>
      <c r="P180" s="22">
        <f>O180*Equilibrio!Y$39*Equilibrio!Y$38*DADOS!C$4</f>
        <v>342.2001831965232</v>
      </c>
      <c r="Q180" s="22">
        <f t="shared" si="19"/>
        <v>380.14904651776249</v>
      </c>
      <c r="R180" s="22">
        <f t="shared" si="20"/>
        <v>-1663.2148667408264</v>
      </c>
      <c r="S180" s="22">
        <f t="shared" si="21"/>
        <v>-1640807.1055905088</v>
      </c>
      <c r="T180" s="22">
        <f t="shared" si="23"/>
        <v>129300.51211885714</v>
      </c>
    </row>
    <row r="181" spans="1:20" x14ac:dyDescent="0.25">
      <c r="A181" s="21">
        <v>180</v>
      </c>
      <c r="B181" s="22">
        <f>CARGAS!$C$40*Equilibrio!A181^2+CARGAS!$D$40*Equilibrio!A181+CARGAS!$E$40</f>
        <v>129.53200408163264</v>
      </c>
      <c r="C181" s="22">
        <f>CARGAS!$C$53*Equilibrio!A181^2+CARGAS!$D$53*Equilibrio!A181+CARGAS!$E$53</f>
        <v>21.58866734693877</v>
      </c>
      <c r="D181">
        <f>IF(posisup=1,IF(A181&lt;=CARGAS!$E$68,sup,0),IF(posisup=2,IF(AND(A181&lt;=CARGAS!$E$69,A181&gt;=CARGAS!$D$69),sup,0),IF(posisup=3,IF(AND(A181&lt;=CARGAS!$E$70,A181&gt;=CARGAS!$D$70),sup,0),0)))</f>
        <v>0</v>
      </c>
      <c r="E181">
        <f>IF(A181&lt;=CARGAS!$H$25,CARGAS!$I$20,0)</f>
        <v>0</v>
      </c>
      <c r="F181" s="22">
        <f>IF(AND(A181&gt;CARGAS!$O$29,A181&lt;=CARGAS!$O$30),tanque1,0)</f>
        <v>0</v>
      </c>
      <c r="G181" s="22">
        <f>IF(AND(A181&gt;CARGAS!$R$29,A181&lt;=CARGAS!$R$30),tanque2,0)</f>
        <v>0</v>
      </c>
      <c r="H181" s="22">
        <f>IF(AND(A181&gt;CARGAS!$U$29,A181&lt;=CARGAS!$U$30),tanque3,0)</f>
        <v>0</v>
      </c>
      <c r="I181" s="22">
        <f>IF(AND(A181&gt;CARGAS!$X$29,A181&lt;=CARGAS!$X$30),tanque4,0)</f>
        <v>571.20000000000005</v>
      </c>
      <c r="J181" s="22">
        <f>IF(AND(A181&gt;CARGAS!$AA$29,A181&lt;=CARGAS!$AA$30),tanque5,0)</f>
        <v>0</v>
      </c>
      <c r="K181" s="22">
        <f>IF(AND($A181&gt;CARGAS!$AD$29,$A181&lt;=CARGAS!$AD$30),tanque6,0)</f>
        <v>0</v>
      </c>
      <c r="L181" s="22">
        <f>IF(AND($A181&gt;CARGAS!$AG$29,$A181&lt;=CARGAS!$AG$30),tanque7,0)</f>
        <v>0</v>
      </c>
      <c r="M181" s="22">
        <f>IF(AND($A181&gt;CARGAS!$AJ$29,$A181&lt;=CARGAS!$AJ$30),tanque8,0)</f>
        <v>0</v>
      </c>
      <c r="N181" s="22">
        <f t="shared" si="18"/>
        <v>722.32067142857147</v>
      </c>
      <c r="O181" s="22">
        <f t="shared" si="22"/>
        <v>11.148595235623844</v>
      </c>
      <c r="P181" s="22">
        <f>O181*Equilibrio!Y$39*Equilibrio!Y$38*DADOS!C$4</f>
        <v>342.81930349543319</v>
      </c>
      <c r="Q181" s="22">
        <f t="shared" si="19"/>
        <v>379.50136793313828</v>
      </c>
      <c r="R181" s="22">
        <f t="shared" si="20"/>
        <v>-1283.7134988076882</v>
      </c>
      <c r="S181" s="22">
        <f t="shared" si="21"/>
        <v>-1642090.8190893165</v>
      </c>
      <c r="T181" s="22">
        <f t="shared" si="23"/>
        <v>130017.72085714286</v>
      </c>
    </row>
    <row r="182" spans="1:20" x14ac:dyDescent="0.25">
      <c r="A182" s="21">
        <v>181</v>
      </c>
      <c r="B182" s="22">
        <f>CARGAS!$C$40*Equilibrio!A182^2+CARGAS!$D$40*Equilibrio!A182+CARGAS!$E$40</f>
        <v>129.502085877551</v>
      </c>
      <c r="C182" s="22">
        <f>CARGAS!$C$53*Equilibrio!A182^2+CARGAS!$D$53*Equilibrio!A182+CARGAS!$E$53</f>
        <v>21.583680979591833</v>
      </c>
      <c r="D182">
        <f>IF(posisup=1,IF(A182&lt;=CARGAS!$E$68,sup,0),IF(posisup=2,IF(AND(A182&lt;=CARGAS!$E$69,A182&gt;=CARGAS!$D$69),sup,0),IF(posisup=3,IF(AND(A182&lt;=CARGAS!$E$70,A182&gt;=CARGAS!$D$70),sup,0),0)))</f>
        <v>0</v>
      </c>
      <c r="E182">
        <f>IF(A182&lt;=CARGAS!$H$25,CARGAS!$I$20,0)</f>
        <v>0</v>
      </c>
      <c r="F182" s="22">
        <f>IF(AND(A182&gt;CARGAS!$O$29,A182&lt;=CARGAS!$O$30),tanque1,0)</f>
        <v>0</v>
      </c>
      <c r="G182" s="22">
        <f>IF(AND(A182&gt;CARGAS!$R$29,A182&lt;=CARGAS!$R$30),tanque2,0)</f>
        <v>0</v>
      </c>
      <c r="H182" s="22">
        <f>IF(AND(A182&gt;CARGAS!$U$29,A182&lt;=CARGAS!$U$30),tanque3,0)</f>
        <v>0</v>
      </c>
      <c r="I182" s="22">
        <f>IF(AND(A182&gt;CARGAS!$X$29,A182&lt;=CARGAS!$X$30),tanque4,0)</f>
        <v>571.20000000000005</v>
      </c>
      <c r="J182" s="22">
        <f>IF(AND(A182&gt;CARGAS!$AA$29,A182&lt;=CARGAS!$AA$30),tanque5,0)</f>
        <v>0</v>
      </c>
      <c r="K182" s="22">
        <f>IF(AND($A182&gt;CARGAS!$AD$29,$A182&lt;=CARGAS!$AD$30),tanque6,0)</f>
        <v>0</v>
      </c>
      <c r="L182" s="22">
        <f>IF(AND($A182&gt;CARGAS!$AG$29,$A182&lt;=CARGAS!$AG$30),tanque7,0)</f>
        <v>0</v>
      </c>
      <c r="M182" s="22">
        <f>IF(AND($A182&gt;CARGAS!$AJ$29,$A182&lt;=CARGAS!$AJ$30),tanque8,0)</f>
        <v>0</v>
      </c>
      <c r="N182" s="22">
        <f t="shared" si="18"/>
        <v>722.2857668571429</v>
      </c>
      <c r="O182" s="22">
        <f t="shared" si="22"/>
        <v>11.171537688594761</v>
      </c>
      <c r="P182" s="22">
        <f>O182*Equilibrio!Y$39*Equilibrio!Y$38*DADOS!C$4</f>
        <v>343.5247839242889</v>
      </c>
      <c r="Q182" s="22">
        <f t="shared" si="19"/>
        <v>378.76098293285401</v>
      </c>
      <c r="R182" s="22">
        <f t="shared" si="20"/>
        <v>-904.95251587483426</v>
      </c>
      <c r="S182" s="22">
        <f t="shared" si="21"/>
        <v>-1642995.7716051913</v>
      </c>
      <c r="T182" s="22">
        <f t="shared" si="23"/>
        <v>130733.72380114287</v>
      </c>
    </row>
    <row r="183" spans="1:20" x14ac:dyDescent="0.25">
      <c r="A183" s="21">
        <v>182</v>
      </c>
      <c r="B183" s="22">
        <f>CARGAS!$C$40*Equilibrio!A183^2+CARGAS!$D$40*Equilibrio!A183+CARGAS!$E$40</f>
        <v>129.46672799999996</v>
      </c>
      <c r="C183" s="22">
        <f>CARGAS!$C$53*Equilibrio!A183^2+CARGAS!$D$53*Equilibrio!A183+CARGAS!$E$53</f>
        <v>21.577787999999998</v>
      </c>
      <c r="D183">
        <f>IF(posisup=1,IF(A183&lt;=CARGAS!$E$68,sup,0),IF(posisup=2,IF(AND(A183&lt;=CARGAS!$E$69,A183&gt;=CARGAS!$D$69),sup,0),IF(posisup=3,IF(AND(A183&lt;=CARGAS!$E$70,A183&gt;=CARGAS!$D$70),sup,0),0)))</f>
        <v>0</v>
      </c>
      <c r="E183">
        <f>IF(A183&lt;=CARGAS!$H$25,CARGAS!$I$20,0)</f>
        <v>0</v>
      </c>
      <c r="F183" s="22">
        <f>IF(AND(A183&gt;CARGAS!$O$29,A183&lt;=CARGAS!$O$30),tanque1,0)</f>
        <v>0</v>
      </c>
      <c r="G183" s="22">
        <f>IF(AND(A183&gt;CARGAS!$R$29,A183&lt;=CARGAS!$R$30),tanque2,0)</f>
        <v>0</v>
      </c>
      <c r="H183" s="22">
        <f>IF(AND(A183&gt;CARGAS!$U$29,A183&lt;=CARGAS!$U$30),tanque3,0)</f>
        <v>0</v>
      </c>
      <c r="I183" s="22">
        <f>IF(AND(A183&gt;CARGAS!$X$29,A183&lt;=CARGAS!$X$30),tanque4,0)</f>
        <v>571.20000000000005</v>
      </c>
      <c r="J183" s="22">
        <f>IF(AND(A183&gt;CARGAS!$AA$29,A183&lt;=CARGAS!$AA$30),tanque5,0)</f>
        <v>0</v>
      </c>
      <c r="K183" s="22">
        <f>IF(AND($A183&gt;CARGAS!$AD$29,$A183&lt;=CARGAS!$AD$30),tanque6,0)</f>
        <v>0</v>
      </c>
      <c r="L183" s="22">
        <f>IF(AND($A183&gt;CARGAS!$AG$29,$A183&lt;=CARGAS!$AG$30),tanque7,0)</f>
        <v>0</v>
      </c>
      <c r="M183" s="22">
        <f>IF(AND($A183&gt;CARGAS!$AJ$29,$A183&lt;=CARGAS!$AJ$30),tanque8,0)</f>
        <v>0</v>
      </c>
      <c r="N183" s="22">
        <f t="shared" si="18"/>
        <v>722.24451599999998</v>
      </c>
      <c r="O183" s="22">
        <f t="shared" si="22"/>
        <v>11.197283611143559</v>
      </c>
      <c r="P183" s="22">
        <f>O183*Equilibrio!Y$39*Equilibrio!Y$38*DADOS!C$4</f>
        <v>344.31647104266443</v>
      </c>
      <c r="Q183" s="22">
        <f t="shared" si="19"/>
        <v>377.92804495733554</v>
      </c>
      <c r="R183" s="22">
        <f t="shared" si="20"/>
        <v>-527.02447091749877</v>
      </c>
      <c r="S183" s="22">
        <f t="shared" si="21"/>
        <v>-1643522.7960761087</v>
      </c>
      <c r="T183" s="22">
        <f t="shared" si="23"/>
        <v>131448.50191200001</v>
      </c>
    </row>
    <row r="184" spans="1:20" x14ac:dyDescent="0.25">
      <c r="A184" s="21">
        <v>183</v>
      </c>
      <c r="B184" s="22">
        <f>CARGAS!$C$40*Equilibrio!A184^2+CARGAS!$D$40*Equilibrio!A184+CARGAS!$E$40</f>
        <v>129.42593044897956</v>
      </c>
      <c r="C184" s="22">
        <f>CARGAS!$C$53*Equilibrio!A184^2+CARGAS!$D$53*Equilibrio!A184+CARGAS!$E$53</f>
        <v>21.570988408163263</v>
      </c>
      <c r="D184">
        <f>IF(posisup=1,IF(A184&lt;=CARGAS!$E$68,sup,0),IF(posisup=2,IF(AND(A184&lt;=CARGAS!$E$69,A184&gt;=CARGAS!$D$69),sup,0),IF(posisup=3,IF(AND(A184&lt;=CARGAS!$E$70,A184&gt;=CARGAS!$D$70),sup,0),0)))</f>
        <v>0</v>
      </c>
      <c r="E184">
        <f>IF(A184&lt;=CARGAS!$H$25,CARGAS!$I$20,0)</f>
        <v>0</v>
      </c>
      <c r="F184" s="22">
        <f>IF(AND(A184&gt;CARGAS!$O$29,A184&lt;=CARGAS!$O$30),tanque1,0)</f>
        <v>0</v>
      </c>
      <c r="G184" s="22">
        <f>IF(AND(A184&gt;CARGAS!$R$29,A184&lt;=CARGAS!$R$30),tanque2,0)</f>
        <v>0</v>
      </c>
      <c r="H184" s="22">
        <f>IF(AND(A184&gt;CARGAS!$U$29,A184&lt;=CARGAS!$U$30),tanque3,0)</f>
        <v>0</v>
      </c>
      <c r="I184" s="22">
        <f>IF(AND(A184&gt;CARGAS!$X$29,A184&lt;=CARGAS!$X$30),tanque4,0)</f>
        <v>571.20000000000005</v>
      </c>
      <c r="J184" s="22">
        <f>IF(AND(A184&gt;CARGAS!$AA$29,A184&lt;=CARGAS!$AA$30),tanque5,0)</f>
        <v>0</v>
      </c>
      <c r="K184" s="22">
        <f>IF(AND($A184&gt;CARGAS!$AD$29,$A184&lt;=CARGAS!$AD$30),tanque6,0)</f>
        <v>0</v>
      </c>
      <c r="L184" s="22">
        <f>IF(AND($A184&gt;CARGAS!$AG$29,$A184&lt;=CARGAS!$AG$30),tanque7,0)</f>
        <v>0</v>
      </c>
      <c r="M184" s="22">
        <f>IF(AND($A184&gt;CARGAS!$AJ$29,$A184&lt;=CARGAS!$AJ$30),tanque8,0)</f>
        <v>0</v>
      </c>
      <c r="N184" s="22">
        <f t="shared" si="18"/>
        <v>722.19691885714292</v>
      </c>
      <c r="O184" s="22">
        <f t="shared" si="22"/>
        <v>11.225827109879962</v>
      </c>
      <c r="P184" s="22">
        <f>O184*Equilibrio!Y$39*Equilibrio!Y$38*DADOS!C$4</f>
        <v>345.19418362880879</v>
      </c>
      <c r="Q184" s="22">
        <f t="shared" si="19"/>
        <v>377.00273522833413</v>
      </c>
      <c r="R184" s="22">
        <f t="shared" si="20"/>
        <v>-150.02173568916464</v>
      </c>
      <c r="S184" s="22">
        <f t="shared" si="21"/>
        <v>-1643672.8178117978</v>
      </c>
      <c r="T184" s="22">
        <f t="shared" si="23"/>
        <v>132162.03615085717</v>
      </c>
    </row>
    <row r="185" spans="1:20" x14ac:dyDescent="0.25">
      <c r="A185" s="21">
        <v>184</v>
      </c>
      <c r="B185" s="22">
        <f>CARGAS!$C$40*Equilibrio!A185^2+CARGAS!$D$40*Equilibrio!A185+CARGAS!$E$40</f>
        <v>129.37969322448976</v>
      </c>
      <c r="C185" s="22">
        <f>CARGAS!$C$53*Equilibrio!A185^2+CARGAS!$D$53*Equilibrio!A185+CARGAS!$E$53</f>
        <v>21.563282204081631</v>
      </c>
      <c r="D185">
        <f>IF(posisup=1,IF(A185&lt;=CARGAS!$E$68,sup,0),IF(posisup=2,IF(AND(A185&lt;=CARGAS!$E$69,A185&gt;=CARGAS!$D$69),sup,0),IF(posisup=3,IF(AND(A185&lt;=CARGAS!$E$70,A185&gt;=CARGAS!$D$70),sup,0),0)))</f>
        <v>0</v>
      </c>
      <c r="E185">
        <f>IF(A185&lt;=CARGAS!$H$25,CARGAS!$I$20,0)</f>
        <v>0</v>
      </c>
      <c r="F185" s="22">
        <f>IF(AND(A185&gt;CARGAS!$O$29,A185&lt;=CARGAS!$O$30),tanque1,0)</f>
        <v>0</v>
      </c>
      <c r="G185" s="22">
        <f>IF(AND(A185&gt;CARGAS!$R$29,A185&lt;=CARGAS!$R$30),tanque2,0)</f>
        <v>0</v>
      </c>
      <c r="H185" s="22">
        <f>IF(AND(A185&gt;CARGAS!$U$29,A185&lt;=CARGAS!$U$30),tanque3,0)</f>
        <v>0</v>
      </c>
      <c r="I185" s="22">
        <f>IF(AND(A185&gt;CARGAS!$X$29,A185&lt;=CARGAS!$X$30),tanque4,0)</f>
        <v>571.20000000000005</v>
      </c>
      <c r="J185" s="22">
        <f>IF(AND(A185&gt;CARGAS!$AA$29,A185&lt;=CARGAS!$AA$30),tanque5,0)</f>
        <v>0</v>
      </c>
      <c r="K185" s="22">
        <f>IF(AND($A185&gt;CARGAS!$AD$29,$A185&lt;=CARGAS!$AD$30),tanque6,0)</f>
        <v>0</v>
      </c>
      <c r="L185" s="22">
        <f>IF(AND($A185&gt;CARGAS!$AG$29,$A185&lt;=CARGAS!$AG$30),tanque7,0)</f>
        <v>0</v>
      </c>
      <c r="M185" s="22">
        <f>IF(AND($A185&gt;CARGAS!$AJ$29,$A185&lt;=CARGAS!$AJ$30),tanque8,0)</f>
        <v>0</v>
      </c>
      <c r="N185" s="22">
        <f t="shared" si="18"/>
        <v>722.14297542857139</v>
      </c>
      <c r="O185" s="22">
        <f t="shared" si="22"/>
        <v>11.257161389855211</v>
      </c>
      <c r="P185" s="22">
        <f>O185*Equilibrio!Y$39*Equilibrio!Y$38*DADOS!C$4</f>
        <v>346.15771273804774</v>
      </c>
      <c r="Q185" s="22">
        <f t="shared" si="19"/>
        <v>375.98526269052365</v>
      </c>
      <c r="R185" s="22">
        <f t="shared" si="20"/>
        <v>225.96352700135901</v>
      </c>
      <c r="S185" s="22">
        <f t="shared" si="21"/>
        <v>-1643446.8542847964</v>
      </c>
      <c r="T185" s="22">
        <f t="shared" si="23"/>
        <v>132874.30747885714</v>
      </c>
    </row>
    <row r="186" spans="1:20" x14ac:dyDescent="0.25">
      <c r="A186" s="21">
        <v>185</v>
      </c>
      <c r="B186" s="22">
        <f>CARGAS!$C$40*Equilibrio!A186^2+CARGAS!$D$40*Equilibrio!A186+CARGAS!$E$40</f>
        <v>129.32801632653056</v>
      </c>
      <c r="C186" s="22">
        <f>CARGAS!$C$53*Equilibrio!A186^2+CARGAS!$D$53*Equilibrio!A186+CARGAS!$E$53</f>
        <v>21.554669387755098</v>
      </c>
      <c r="D186">
        <f>IF(posisup=1,IF(A186&lt;=CARGAS!$E$68,sup,0),IF(posisup=2,IF(AND(A186&lt;=CARGAS!$E$69,A186&gt;=CARGAS!$D$69),sup,0),IF(posisup=3,IF(AND(A186&lt;=CARGAS!$E$70,A186&gt;=CARGAS!$D$70),sup,0),0)))</f>
        <v>0</v>
      </c>
      <c r="E186">
        <f>IF(A186&lt;=CARGAS!$H$25,CARGAS!$I$20,0)</f>
        <v>0</v>
      </c>
      <c r="F186" s="22">
        <f>IF(AND(A186&gt;CARGAS!$O$29,A186&lt;=CARGAS!$O$30),tanque1,0)</f>
        <v>0</v>
      </c>
      <c r="G186" s="22">
        <f>IF(AND(A186&gt;CARGAS!$R$29,A186&lt;=CARGAS!$R$30),tanque2,0)</f>
        <v>0</v>
      </c>
      <c r="H186" s="22">
        <f>IF(AND(A186&gt;CARGAS!$U$29,A186&lt;=CARGAS!$U$30),tanque3,0)</f>
        <v>0</v>
      </c>
      <c r="I186" s="22">
        <f>IF(AND(A186&gt;CARGAS!$X$29,A186&lt;=CARGAS!$X$30),tanque4,0)</f>
        <v>571.20000000000005</v>
      </c>
      <c r="J186" s="22">
        <f>IF(AND(A186&gt;CARGAS!$AA$29,A186&lt;=CARGAS!$AA$30),tanque5,0)</f>
        <v>0</v>
      </c>
      <c r="K186" s="22">
        <f>IF(AND($A186&gt;CARGAS!$AD$29,$A186&lt;=CARGAS!$AD$30),tanque6,0)</f>
        <v>0</v>
      </c>
      <c r="L186" s="22">
        <f>IF(AND($A186&gt;CARGAS!$AG$29,$A186&lt;=CARGAS!$AG$30),tanque7,0)</f>
        <v>0</v>
      </c>
      <c r="M186" s="22">
        <f>IF(AND($A186&gt;CARGAS!$AJ$29,$A186&lt;=CARGAS!$AJ$30),tanque8,0)</f>
        <v>0</v>
      </c>
      <c r="N186" s="22">
        <f t="shared" si="18"/>
        <v>722.08268571428573</v>
      </c>
      <c r="O186" s="22">
        <f t="shared" si="22"/>
        <v>11.291278756751815</v>
      </c>
      <c r="P186" s="22">
        <f>O186*Equilibrio!Y$39*Equilibrio!Y$38*DADOS!C$4</f>
        <v>347.20682177011832</v>
      </c>
      <c r="Q186" s="22">
        <f t="shared" si="19"/>
        <v>374.87586394416741</v>
      </c>
      <c r="R186" s="22">
        <f t="shared" si="20"/>
        <v>600.83939094552647</v>
      </c>
      <c r="S186" s="22">
        <f t="shared" si="21"/>
        <v>-1642846.0148938508</v>
      </c>
      <c r="T186" s="22">
        <f t="shared" si="23"/>
        <v>133585.29685714285</v>
      </c>
    </row>
    <row r="187" spans="1:20" x14ac:dyDescent="0.25">
      <c r="A187" s="21">
        <v>186</v>
      </c>
      <c r="B187" s="22">
        <f>CARGAS!$C$40*Equilibrio!A187^2+CARGAS!$D$40*Equilibrio!A187+CARGAS!$E$40</f>
        <v>129.27089975510199</v>
      </c>
      <c r="C187" s="22">
        <f>CARGAS!$C$53*Equilibrio!A187^2+CARGAS!$D$53*Equilibrio!A187+CARGAS!$E$53</f>
        <v>21.545149959183668</v>
      </c>
      <c r="D187">
        <f>IF(posisup=1,IF(A187&lt;=CARGAS!$E$68,sup,0),IF(posisup=2,IF(AND(A187&lt;=CARGAS!$E$69,A187&gt;=CARGAS!$D$69),sup,0),IF(posisup=3,IF(AND(A187&lt;=CARGAS!$E$70,A187&gt;=CARGAS!$D$70),sup,0),0)))</f>
        <v>0</v>
      </c>
      <c r="E187">
        <f>IF(A187&lt;=CARGAS!$H$25,CARGAS!$I$20,0)</f>
        <v>0</v>
      </c>
      <c r="F187" s="22">
        <f>IF(AND(A187&gt;CARGAS!$O$29,A187&lt;=CARGAS!$O$30),tanque1,0)</f>
        <v>0</v>
      </c>
      <c r="G187" s="22">
        <f>IF(AND(A187&gt;CARGAS!$R$29,A187&lt;=CARGAS!$R$30),tanque2,0)</f>
        <v>0</v>
      </c>
      <c r="H187" s="22">
        <f>IF(AND(A187&gt;CARGAS!$U$29,A187&lt;=CARGAS!$U$30),tanque3,0)</f>
        <v>0</v>
      </c>
      <c r="I187" s="22">
        <f>IF(AND(A187&gt;CARGAS!$X$29,A187&lt;=CARGAS!$X$30),tanque4,0)</f>
        <v>0</v>
      </c>
      <c r="J187" s="22">
        <f>IF(AND(A187&gt;CARGAS!$AA$29,A187&lt;=CARGAS!$AA$30),tanque5,0)</f>
        <v>571.20000000000005</v>
      </c>
      <c r="K187" s="22">
        <f>IF(AND($A187&gt;CARGAS!$AD$29,$A187&lt;=CARGAS!$AD$30),tanque6,0)</f>
        <v>0</v>
      </c>
      <c r="L187" s="22">
        <f>IF(AND($A187&gt;CARGAS!$AG$29,$A187&lt;=CARGAS!$AG$30),tanque7,0)</f>
        <v>0</v>
      </c>
      <c r="M187" s="22">
        <f>IF(AND($A187&gt;CARGAS!$AJ$29,$A187&lt;=CARGAS!$AJ$30),tanque8,0)</f>
        <v>0</v>
      </c>
      <c r="N187" s="22">
        <f t="shared" si="18"/>
        <v>722.01604971428571</v>
      </c>
      <c r="O187" s="22">
        <f t="shared" si="22"/>
        <v>11.328170619363178</v>
      </c>
      <c r="P187" s="22">
        <f>O187*Equilibrio!Y$39*Equilibrio!Y$38*DADOS!C$4</f>
        <v>348.34124654541768</v>
      </c>
      <c r="Q187" s="22">
        <f t="shared" si="19"/>
        <v>373.67480316886804</v>
      </c>
      <c r="R187" s="22">
        <f t="shared" si="20"/>
        <v>974.51419411439451</v>
      </c>
      <c r="S187" s="22">
        <f t="shared" si="21"/>
        <v>-1641871.5006997364</v>
      </c>
      <c r="T187" s="22">
        <f t="shared" si="23"/>
        <v>134294.98524685713</v>
      </c>
    </row>
    <row r="188" spans="1:20" x14ac:dyDescent="0.25">
      <c r="A188" s="21">
        <v>187</v>
      </c>
      <c r="B188" s="22">
        <f>CARGAS!$C$40*Equilibrio!A188^2+CARGAS!$D$40*Equilibrio!A188+CARGAS!$E$40</f>
        <v>129.20834351020403</v>
      </c>
      <c r="C188" s="22">
        <f>CARGAS!$C$53*Equilibrio!A188^2+CARGAS!$D$53*Equilibrio!A188+CARGAS!$E$53</f>
        <v>21.534723918367344</v>
      </c>
      <c r="D188">
        <f>IF(posisup=1,IF(A188&lt;=CARGAS!$E$68,sup,0),IF(posisup=2,IF(AND(A188&lt;=CARGAS!$E$69,A188&gt;=CARGAS!$D$69),sup,0),IF(posisup=3,IF(AND(A188&lt;=CARGAS!$E$70,A188&gt;=CARGAS!$D$70),sup,0),0)))</f>
        <v>0</v>
      </c>
      <c r="E188">
        <f>IF(A188&lt;=CARGAS!$H$25,CARGAS!$I$20,0)</f>
        <v>0</v>
      </c>
      <c r="F188" s="22">
        <f>IF(AND(A188&gt;CARGAS!$O$29,A188&lt;=CARGAS!$O$30),tanque1,0)</f>
        <v>0</v>
      </c>
      <c r="G188" s="22">
        <f>IF(AND(A188&gt;CARGAS!$R$29,A188&lt;=CARGAS!$R$30),tanque2,0)</f>
        <v>0</v>
      </c>
      <c r="H188" s="22">
        <f>IF(AND(A188&gt;CARGAS!$U$29,A188&lt;=CARGAS!$U$30),tanque3,0)</f>
        <v>0</v>
      </c>
      <c r="I188" s="22">
        <f>IF(AND(A188&gt;CARGAS!$X$29,A188&lt;=CARGAS!$X$30),tanque4,0)</f>
        <v>0</v>
      </c>
      <c r="J188" s="22">
        <f>IF(AND(A188&gt;CARGAS!$AA$29,A188&lt;=CARGAS!$AA$30),tanque5,0)</f>
        <v>571.20000000000005</v>
      </c>
      <c r="K188" s="22">
        <f>IF(AND($A188&gt;CARGAS!$AD$29,$A188&lt;=CARGAS!$AD$30),tanque6,0)</f>
        <v>0</v>
      </c>
      <c r="L188" s="22">
        <f>IF(AND($A188&gt;CARGAS!$AG$29,$A188&lt;=CARGAS!$AG$30),tanque7,0)</f>
        <v>0</v>
      </c>
      <c r="M188" s="22">
        <f>IF(AND($A188&gt;CARGAS!$AJ$29,$A188&lt;=CARGAS!$AJ$30),tanque8,0)</f>
        <v>0</v>
      </c>
      <c r="N188" s="22">
        <f t="shared" si="18"/>
        <v>721.94306742857145</v>
      </c>
      <c r="O188" s="22">
        <f t="shared" si="22"/>
        <v>11.367827492362213</v>
      </c>
      <c r="P188" s="22">
        <f>O188*Equilibrio!Y$39*Equilibrio!Y$38*DADOS!C$4</f>
        <v>349.56069539013805</v>
      </c>
      <c r="Q188" s="22">
        <f t="shared" si="19"/>
        <v>372.3823720384334</v>
      </c>
      <c r="R188" s="22">
        <f>R187+Q188</f>
        <v>1346.896566152828</v>
      </c>
      <c r="S188" s="22">
        <f t="shared" si="21"/>
        <v>-1640524.6041335836</v>
      </c>
      <c r="T188" s="22">
        <f t="shared" si="23"/>
        <v>135003.35360914285</v>
      </c>
    </row>
    <row r="189" spans="1:20" x14ac:dyDescent="0.25">
      <c r="A189" s="21">
        <v>188</v>
      </c>
      <c r="B189" s="22">
        <f>CARGAS!$C$40*Equilibrio!A189^2+CARGAS!$D$40*Equilibrio!A189+CARGAS!$E$40</f>
        <v>129.1403475918367</v>
      </c>
      <c r="C189" s="22">
        <f>CARGAS!$C$53*Equilibrio!A189^2+CARGAS!$D$53*Equilibrio!A189+CARGAS!$E$53</f>
        <v>21.523391265306117</v>
      </c>
      <c r="D189">
        <f>IF(posisup=1,IF(A189&lt;=CARGAS!$E$68,sup,0),IF(posisup=2,IF(AND(A189&lt;=CARGAS!$E$69,A189&gt;=CARGAS!$D$69),sup,0),IF(posisup=3,IF(AND(A189&lt;=CARGAS!$E$70,A189&gt;=CARGAS!$D$70),sup,0),0)))</f>
        <v>0</v>
      </c>
      <c r="E189">
        <f>IF(A189&lt;=CARGAS!$H$25,CARGAS!$I$20,0)</f>
        <v>0</v>
      </c>
      <c r="F189" s="22">
        <f>IF(AND(A189&gt;CARGAS!$O$29,A189&lt;=CARGAS!$O$30),tanque1,0)</f>
        <v>0</v>
      </c>
      <c r="G189" s="22">
        <f>IF(AND(A189&gt;CARGAS!$R$29,A189&lt;=CARGAS!$R$30),tanque2,0)</f>
        <v>0</v>
      </c>
      <c r="H189" s="22">
        <f>IF(AND(A189&gt;CARGAS!$U$29,A189&lt;=CARGAS!$U$30),tanque3,0)</f>
        <v>0</v>
      </c>
      <c r="I189" s="22">
        <f>IF(AND(A189&gt;CARGAS!$X$29,A189&lt;=CARGAS!$X$30),tanque4,0)</f>
        <v>0</v>
      </c>
      <c r="J189" s="22">
        <f>IF(AND(A189&gt;CARGAS!$AA$29,A189&lt;=CARGAS!$AA$30),tanque5,0)</f>
        <v>571.20000000000005</v>
      </c>
      <c r="K189" s="22">
        <f>IF(AND($A189&gt;CARGAS!$AD$29,$A189&lt;=CARGAS!$AD$30),tanque6,0)</f>
        <v>0</v>
      </c>
      <c r="L189" s="22">
        <f>IF(AND($A189&gt;CARGAS!$AG$29,$A189&lt;=CARGAS!$AG$30),tanque7,0)</f>
        <v>0</v>
      </c>
      <c r="M189" s="22">
        <f>IF(AND($A189&gt;CARGAS!$AJ$29,$A189&lt;=CARGAS!$AJ$30),tanque8,0)</f>
        <v>0</v>
      </c>
      <c r="N189" s="22">
        <f t="shared" si="18"/>
        <v>721.86373885714283</v>
      </c>
      <c r="O189" s="22">
        <f t="shared" si="22"/>
        <v>11.410238999358143</v>
      </c>
      <c r="P189" s="22">
        <f>O189*Equilibrio!Y$39*Equilibrio!Y$38*DADOS!C$4</f>
        <v>350.86484923026285</v>
      </c>
      <c r="Q189" s="22">
        <f t="shared" si="19"/>
        <v>370.99888962687999</v>
      </c>
      <c r="R189" s="22">
        <f t="shared" si="20"/>
        <v>1717.8954557797078</v>
      </c>
      <c r="S189" s="22">
        <f t="shared" si="21"/>
        <v>-1638806.7086778039</v>
      </c>
      <c r="T189" s="22">
        <f t="shared" si="23"/>
        <v>135710.38290514285</v>
      </c>
    </row>
    <row r="190" spans="1:20" x14ac:dyDescent="0.25">
      <c r="A190" s="21">
        <v>189</v>
      </c>
      <c r="B190" s="22">
        <f>CARGAS!$C$40*Equilibrio!A190^2+CARGAS!$D$40*Equilibrio!A190+CARGAS!$E$40</f>
        <v>129.06691199999995</v>
      </c>
      <c r="C190" s="22">
        <f>CARGAS!$C$53*Equilibrio!A190^2+CARGAS!$D$53*Equilibrio!A190+CARGAS!$E$53</f>
        <v>21.511151999999996</v>
      </c>
      <c r="D190">
        <f>IF(posisup=1,IF(A190&lt;=CARGAS!$E$68,sup,0),IF(posisup=2,IF(AND(A190&lt;=CARGAS!$E$69,A190&gt;=CARGAS!$D$69),sup,0),IF(posisup=3,IF(AND(A190&lt;=CARGAS!$E$70,A190&gt;=CARGAS!$D$70),sup,0),0)))</f>
        <v>0</v>
      </c>
      <c r="E190">
        <f>IF(A190&lt;=CARGAS!$H$25,CARGAS!$I$20,0)</f>
        <v>0</v>
      </c>
      <c r="F190" s="22">
        <f>IF(AND(A190&gt;CARGAS!$O$29,A190&lt;=CARGAS!$O$30),tanque1,0)</f>
        <v>0</v>
      </c>
      <c r="G190" s="22">
        <f>IF(AND(A190&gt;CARGAS!$R$29,A190&lt;=CARGAS!$R$30),tanque2,0)</f>
        <v>0</v>
      </c>
      <c r="H190" s="22">
        <f>IF(AND(A190&gt;CARGAS!$U$29,A190&lt;=CARGAS!$U$30),tanque3,0)</f>
        <v>0</v>
      </c>
      <c r="I190" s="22">
        <f>IF(AND(A190&gt;CARGAS!$X$29,A190&lt;=CARGAS!$X$30),tanque4,0)</f>
        <v>0</v>
      </c>
      <c r="J190" s="22">
        <f>IF(AND(A190&gt;CARGAS!$AA$29,A190&lt;=CARGAS!$AA$30),tanque5,0)</f>
        <v>571.20000000000005</v>
      </c>
      <c r="K190" s="22">
        <f>IF(AND($A190&gt;CARGAS!$AD$29,$A190&lt;=CARGAS!$AD$30),tanque6,0)</f>
        <v>0</v>
      </c>
      <c r="L190" s="22">
        <f>IF(AND($A190&gt;CARGAS!$AG$29,$A190&lt;=CARGAS!$AG$30),tanque7,0)</f>
        <v>0</v>
      </c>
      <c r="M190" s="22">
        <f>IF(AND($A190&gt;CARGAS!$AJ$29,$A190&lt;=CARGAS!$AJ$30),tanque8,0)</f>
        <v>0</v>
      </c>
      <c r="N190" s="22">
        <f t="shared" si="18"/>
        <v>721.77806399999997</v>
      </c>
      <c r="O190" s="22">
        <f t="shared" si="22"/>
        <v>11.455393876240416</v>
      </c>
      <c r="P190" s="22">
        <f>O190*Equilibrio!Y$39*Equilibrio!Y$38*DADOS!C$4</f>
        <v>352.25336169439277</v>
      </c>
      <c r="Q190" s="22">
        <f t="shared" si="19"/>
        <v>369.52470230560721</v>
      </c>
      <c r="R190" s="22">
        <f t="shared" si="20"/>
        <v>2087.4201580853151</v>
      </c>
      <c r="S190" s="22">
        <f t="shared" si="21"/>
        <v>-1636719.2885197185</v>
      </c>
      <c r="T190" s="22">
        <f t="shared" si="23"/>
        <v>136416.05409600001</v>
      </c>
    </row>
    <row r="191" spans="1:20" x14ac:dyDescent="0.25">
      <c r="A191" s="21">
        <v>190</v>
      </c>
      <c r="B191" s="22">
        <f>CARGAS!$C$40*Equilibrio!A191^2+CARGAS!$D$40*Equilibrio!A191+CARGAS!$E$40</f>
        <v>128.98803673469382</v>
      </c>
      <c r="C191" s="22">
        <f>CARGAS!$C$53*Equilibrio!A191^2+CARGAS!$D$53*Equilibrio!A191+CARGAS!$E$53</f>
        <v>21.498006122448974</v>
      </c>
      <c r="D191">
        <f>IF(posisup=1,IF(A191&lt;=CARGAS!$E$68,sup,0),IF(posisup=2,IF(AND(A191&lt;=CARGAS!$E$69,A191&gt;=CARGAS!$D$69),sup,0),IF(posisup=3,IF(AND(A191&lt;=CARGAS!$E$70,A191&gt;=CARGAS!$D$70),sup,0),0)))</f>
        <v>0</v>
      </c>
      <c r="E191">
        <f>IF(A191&lt;=CARGAS!$H$25,CARGAS!$I$20,0)</f>
        <v>0</v>
      </c>
      <c r="F191" s="22">
        <f>IF(AND(A191&gt;CARGAS!$O$29,A191&lt;=CARGAS!$O$30),tanque1,0)</f>
        <v>0</v>
      </c>
      <c r="G191" s="22">
        <f>IF(AND(A191&gt;CARGAS!$R$29,A191&lt;=CARGAS!$R$30),tanque2,0)</f>
        <v>0</v>
      </c>
      <c r="H191" s="22">
        <f>IF(AND(A191&gt;CARGAS!$U$29,A191&lt;=CARGAS!$U$30),tanque3,0)</f>
        <v>0</v>
      </c>
      <c r="I191" s="22">
        <f>IF(AND(A191&gt;CARGAS!$X$29,A191&lt;=CARGAS!$X$30),tanque4,0)</f>
        <v>0</v>
      </c>
      <c r="J191" s="22">
        <f>IF(AND(A191&gt;CARGAS!$AA$29,A191&lt;=CARGAS!$AA$30),tanque5,0)</f>
        <v>571.20000000000005</v>
      </c>
      <c r="K191" s="22">
        <f>IF(AND($A191&gt;CARGAS!$AD$29,$A191&lt;=CARGAS!$AD$30),tanque6,0)</f>
        <v>0</v>
      </c>
      <c r="L191" s="22">
        <f>IF(AND($A191&gt;CARGAS!$AG$29,$A191&lt;=CARGAS!$AG$30),tanque7,0)</f>
        <v>0</v>
      </c>
      <c r="M191" s="22">
        <f>IF(AND($A191&gt;CARGAS!$AJ$29,$A191&lt;=CARGAS!$AJ$30),tanque8,0)</f>
        <v>0</v>
      </c>
      <c r="N191" s="22">
        <f t="shared" si="18"/>
        <v>721.68604285714287</v>
      </c>
      <c r="O191" s="22">
        <f t="shared" si="22"/>
        <v>11.50327997480875</v>
      </c>
      <c r="P191" s="22">
        <f>O191*Equilibrio!Y$39*Equilibrio!Y$38*DADOS!C$4</f>
        <v>353.72585922536905</v>
      </c>
      <c r="Q191" s="22">
        <f t="shared" si="19"/>
        <v>367.96018363177382</v>
      </c>
      <c r="R191" s="22">
        <f t="shared" si="20"/>
        <v>2455.3803417170889</v>
      </c>
      <c r="S191" s="22">
        <f t="shared" si="21"/>
        <v>-1634263.9081780014</v>
      </c>
      <c r="T191" s="22">
        <f t="shared" si="23"/>
        <v>137120.34814285714</v>
      </c>
    </row>
    <row r="192" spans="1:20" x14ac:dyDescent="0.25">
      <c r="A192" s="21">
        <v>191</v>
      </c>
      <c r="B192" s="22">
        <f>CARGAS!$C$40*Equilibrio!A192^2+CARGAS!$D$40*Equilibrio!A192+CARGAS!$E$40</f>
        <v>128.90372179591833</v>
      </c>
      <c r="C192" s="22">
        <f>CARGAS!$C$53*Equilibrio!A192^2+CARGAS!$D$53*Equilibrio!A192+CARGAS!$E$53</f>
        <v>21.483953632653058</v>
      </c>
      <c r="D192">
        <f>IF(posisup=1,IF(A192&lt;=CARGAS!$E$68,sup,0),IF(posisup=2,IF(AND(A192&lt;=CARGAS!$E$69,A192&gt;=CARGAS!$D$69),sup,0),IF(posisup=3,IF(AND(A192&lt;=CARGAS!$E$70,A192&gt;=CARGAS!$D$70),sup,0),0)))</f>
        <v>0</v>
      </c>
      <c r="E192">
        <f>IF(A192&lt;=CARGAS!$H$25,CARGAS!$I$20,0)</f>
        <v>0</v>
      </c>
      <c r="F192" s="22">
        <f>IF(AND(A192&gt;CARGAS!$O$29,A192&lt;=CARGAS!$O$30),tanque1,0)</f>
        <v>0</v>
      </c>
      <c r="G192" s="22">
        <f>IF(AND(A192&gt;CARGAS!$R$29,A192&lt;=CARGAS!$R$30),tanque2,0)</f>
        <v>0</v>
      </c>
      <c r="H192" s="22">
        <f>IF(AND(A192&gt;CARGAS!$U$29,A192&lt;=CARGAS!$U$30),tanque3,0)</f>
        <v>0</v>
      </c>
      <c r="I192" s="22">
        <f>IF(AND(A192&gt;CARGAS!$X$29,A192&lt;=CARGAS!$X$30),tanque4,0)</f>
        <v>0</v>
      </c>
      <c r="J192" s="22">
        <f>IF(AND(A192&gt;CARGAS!$AA$29,A192&lt;=CARGAS!$AA$30),tanque5,0)</f>
        <v>571.20000000000005</v>
      </c>
      <c r="K192" s="22">
        <f>IF(AND($A192&gt;CARGAS!$AD$29,$A192&lt;=CARGAS!$AD$30),tanque6,0)</f>
        <v>0</v>
      </c>
      <c r="L192" s="22">
        <f>IF(AND($A192&gt;CARGAS!$AG$29,$A192&lt;=CARGAS!$AG$30),tanque7,0)</f>
        <v>0</v>
      </c>
      <c r="M192" s="22">
        <f>IF(AND($A192&gt;CARGAS!$AJ$29,$A192&lt;=CARGAS!$AJ$30),tanque8,0)</f>
        <v>0</v>
      </c>
      <c r="N192" s="22">
        <f t="shared" ref="N192:N228" si="24">B192+C192+D192+F192+E192+G192+H192+I192+J192+K192+L192+M192</f>
        <v>721.5876754285714</v>
      </c>
      <c r="O192" s="22">
        <f t="shared" ref="O192:O228" si="25">IF($X$4=1,tmedio+((loa/2)-A192)*TAN(trimrad),IF($X$4=2,tmedio+$Z$3*COS(2*PI()*A192/$Z$2)+((loa/2)-A192)*TAN(trimrad),IF($X$4=3,tmedio-$Z$3*COS(2*PI()*A192/$Z$2)+((loa/2)-A192)*TAN(trimrad),tmedio+((loa/2)-A192)*TAN(trimrad))))</f>
        <v>11.553884266688044</v>
      </c>
      <c r="P192" s="22">
        <f>O192*Equilibrio!Y$39*Equilibrio!Y$38*DADOS!C$4</f>
        <v>355.28194120065734</v>
      </c>
      <c r="Q192" s="22">
        <f t="shared" ref="Q192:Q228" si="26">N192-P192</f>
        <v>366.30573422791406</v>
      </c>
      <c r="R192" s="22">
        <f t="shared" ref="R192:R228" si="27">R191+Q192</f>
        <v>2821.6860759450028</v>
      </c>
      <c r="S192" s="22">
        <f t="shared" ref="S192:S228" si="28">S191+R192</f>
        <v>-1631442.2221020565</v>
      </c>
      <c r="T192" s="22">
        <f t="shared" ref="T192:T228" si="29">N192*A192</f>
        <v>137823.24600685714</v>
      </c>
    </row>
    <row r="193" spans="1:20" x14ac:dyDescent="0.25">
      <c r="A193" s="21">
        <v>192</v>
      </c>
      <c r="B193" s="22">
        <f>CARGAS!$C$40*Equilibrio!A193^2+CARGAS!$D$40*Equilibrio!A193+CARGAS!$E$40</f>
        <v>128.81396718367341</v>
      </c>
      <c r="C193" s="22">
        <f>CARGAS!$C$53*Equilibrio!A193^2+CARGAS!$D$53*Equilibrio!A193+CARGAS!$E$53</f>
        <v>21.468994530612242</v>
      </c>
      <c r="D193">
        <f>IF(posisup=1,IF(A193&lt;=CARGAS!$E$68,sup,0),IF(posisup=2,IF(AND(A193&lt;=CARGAS!$E$69,A193&gt;=CARGAS!$D$69),sup,0),IF(posisup=3,IF(AND(A193&lt;=CARGAS!$E$70,A193&gt;=CARGAS!$D$70),sup,0),0)))</f>
        <v>0</v>
      </c>
      <c r="E193">
        <f>IF(A193&lt;=CARGAS!$H$25,CARGAS!$I$20,0)</f>
        <v>0</v>
      </c>
      <c r="F193" s="22">
        <f>IF(AND(A193&gt;CARGAS!$O$29,A193&lt;=CARGAS!$O$30),tanque1,0)</f>
        <v>0</v>
      </c>
      <c r="G193" s="22">
        <f>IF(AND(A193&gt;CARGAS!$R$29,A193&lt;=CARGAS!$R$30),tanque2,0)</f>
        <v>0</v>
      </c>
      <c r="H193" s="22">
        <f>IF(AND(A193&gt;CARGAS!$U$29,A193&lt;=CARGAS!$U$30),tanque3,0)</f>
        <v>0</v>
      </c>
      <c r="I193" s="22">
        <f>IF(AND(A193&gt;CARGAS!$X$29,A193&lt;=CARGAS!$X$30),tanque4,0)</f>
        <v>0</v>
      </c>
      <c r="J193" s="22">
        <f>IF(AND(A193&gt;CARGAS!$AA$29,A193&lt;=CARGAS!$AA$30),tanque5,0)</f>
        <v>571.20000000000005</v>
      </c>
      <c r="K193" s="22">
        <f>IF(AND($A193&gt;CARGAS!$AD$29,$A193&lt;=CARGAS!$AD$30),tanque6,0)</f>
        <v>0</v>
      </c>
      <c r="L193" s="22">
        <f>IF(AND($A193&gt;CARGAS!$AG$29,$A193&lt;=CARGAS!$AG$30),tanque7,0)</f>
        <v>0</v>
      </c>
      <c r="M193" s="22">
        <f>IF(AND($A193&gt;CARGAS!$AJ$29,$A193&lt;=CARGAS!$AJ$30),tanque8,0)</f>
        <v>0</v>
      </c>
      <c r="N193" s="22">
        <f t="shared" si="24"/>
        <v>721.48296171428569</v>
      </c>
      <c r="O193" s="22">
        <f t="shared" si="25"/>
        <v>11.607192847526967</v>
      </c>
      <c r="P193" s="22">
        <f>O193*Equilibrio!Y$39*Equilibrio!Y$38*DADOS!C$4</f>
        <v>356.92118006145421</v>
      </c>
      <c r="Q193" s="22">
        <f t="shared" si="26"/>
        <v>364.56178165283148</v>
      </c>
      <c r="R193" s="22">
        <f t="shared" si="27"/>
        <v>3186.2478575978344</v>
      </c>
      <c r="S193" s="22">
        <f t="shared" si="28"/>
        <v>-1628255.9742444586</v>
      </c>
      <c r="T193" s="22">
        <f t="shared" si="29"/>
        <v>138524.72864914284</v>
      </c>
    </row>
    <row r="194" spans="1:20" x14ac:dyDescent="0.25">
      <c r="A194" s="21">
        <v>193</v>
      </c>
      <c r="B194" s="22">
        <f>CARGAS!$C$40*Equilibrio!A194^2+CARGAS!$D$40*Equilibrio!A194+CARGAS!$E$40</f>
        <v>128.71877289795913</v>
      </c>
      <c r="C194" s="22">
        <f>CARGAS!$C$53*Equilibrio!A194^2+CARGAS!$D$53*Equilibrio!A194+CARGAS!$E$53</f>
        <v>21.453128816326529</v>
      </c>
      <c r="D194">
        <f>IF(posisup=1,IF(A194&lt;=CARGAS!$E$68,sup,0),IF(posisup=2,IF(AND(A194&lt;=CARGAS!$E$69,A194&gt;=CARGAS!$D$69),sup,0),IF(posisup=3,IF(AND(A194&lt;=CARGAS!$E$70,A194&gt;=CARGAS!$D$70),sup,0),0)))</f>
        <v>0</v>
      </c>
      <c r="E194">
        <f>IF(A194&lt;=CARGAS!$H$25,CARGAS!$I$20,0)</f>
        <v>0</v>
      </c>
      <c r="F194" s="22">
        <f>IF(AND(A194&gt;CARGAS!$O$29,A194&lt;=CARGAS!$O$30),tanque1,0)</f>
        <v>0</v>
      </c>
      <c r="G194" s="22">
        <f>IF(AND(A194&gt;CARGAS!$R$29,A194&lt;=CARGAS!$R$30),tanque2,0)</f>
        <v>0</v>
      </c>
      <c r="H194" s="22">
        <f>IF(AND(A194&gt;CARGAS!$U$29,A194&lt;=CARGAS!$U$30),tanque3,0)</f>
        <v>0</v>
      </c>
      <c r="I194" s="22">
        <f>IF(AND(A194&gt;CARGAS!$X$29,A194&lt;=CARGAS!$X$30),tanque4,0)</f>
        <v>0</v>
      </c>
      <c r="J194" s="22">
        <f>IF(AND(A194&gt;CARGAS!$AA$29,A194&lt;=CARGAS!$AA$30),tanque5,0)</f>
        <v>571.20000000000005</v>
      </c>
      <c r="K194" s="22">
        <f>IF(AND($A194&gt;CARGAS!$AD$29,$A194&lt;=CARGAS!$AD$30),tanque6,0)</f>
        <v>0</v>
      </c>
      <c r="L194" s="22">
        <f>IF(AND($A194&gt;CARGAS!$AG$29,$A194&lt;=CARGAS!$AG$30),tanque7,0)</f>
        <v>0</v>
      </c>
      <c r="M194" s="22">
        <f>IF(AND($A194&gt;CARGAS!$AJ$29,$A194&lt;=CARGAS!$AJ$30),tanque8,0)</f>
        <v>0</v>
      </c>
      <c r="N194" s="22">
        <f t="shared" si="24"/>
        <v>721.37190171428574</v>
      </c>
      <c r="O194" s="22">
        <f t="shared" si="25"/>
        <v>11.663190941478819</v>
      </c>
      <c r="P194" s="22">
        <f>O194*Equilibrio!Y$39*Equilibrio!Y$38*DADOS!C$4</f>
        <v>358.64312145047364</v>
      </c>
      <c r="Q194" s="22">
        <f t="shared" si="26"/>
        <v>362.7287802638121</v>
      </c>
      <c r="R194" s="22">
        <f t="shared" si="27"/>
        <v>3548.9766378616464</v>
      </c>
      <c r="S194" s="22">
        <f t="shared" si="28"/>
        <v>-1624706.9976065969</v>
      </c>
      <c r="T194" s="22">
        <f t="shared" si="29"/>
        <v>139224.77703085713</v>
      </c>
    </row>
    <row r="195" spans="1:20" x14ac:dyDescent="0.25">
      <c r="A195" s="21">
        <v>194</v>
      </c>
      <c r="B195" s="22">
        <f>CARGAS!$C$40*Equilibrio!A195^2+CARGAS!$D$40*Equilibrio!A195+CARGAS!$E$40</f>
        <v>128.61813893877547</v>
      </c>
      <c r="C195" s="22">
        <f>CARGAS!$C$53*Equilibrio!A195^2+CARGAS!$D$53*Equilibrio!A195+CARGAS!$E$53</f>
        <v>21.436356489795916</v>
      </c>
      <c r="D195">
        <f>IF(posisup=1,IF(A195&lt;=CARGAS!$E$68,sup,0),IF(posisup=2,IF(AND(A195&lt;=CARGAS!$E$69,A195&gt;=CARGAS!$D$69),sup,0),IF(posisup=3,IF(AND(A195&lt;=CARGAS!$E$70,A195&gt;=CARGAS!$D$70),sup,0),0)))</f>
        <v>0</v>
      </c>
      <c r="E195">
        <f>IF(A195&lt;=CARGAS!$H$25,CARGAS!$I$20,0)</f>
        <v>0</v>
      </c>
      <c r="F195" s="22">
        <f>IF(AND(A195&gt;CARGAS!$O$29,A195&lt;=CARGAS!$O$30),tanque1,0)</f>
        <v>0</v>
      </c>
      <c r="G195" s="22">
        <f>IF(AND(A195&gt;CARGAS!$R$29,A195&lt;=CARGAS!$R$30),tanque2,0)</f>
        <v>0</v>
      </c>
      <c r="H195" s="22">
        <f>IF(AND(A195&gt;CARGAS!$U$29,A195&lt;=CARGAS!$U$30),tanque3,0)</f>
        <v>0</v>
      </c>
      <c r="I195" s="22">
        <f>IF(AND(A195&gt;CARGAS!$X$29,A195&lt;=CARGAS!$X$30),tanque4,0)</f>
        <v>0</v>
      </c>
      <c r="J195" s="22">
        <f>IF(AND(A195&gt;CARGAS!$AA$29,A195&lt;=CARGAS!$AA$30),tanque5,0)</f>
        <v>571.20000000000005</v>
      </c>
      <c r="K195" s="22">
        <f>IF(AND($A195&gt;CARGAS!$AD$29,$A195&lt;=CARGAS!$AD$30),tanque6,0)</f>
        <v>0</v>
      </c>
      <c r="L195" s="22">
        <f>IF(AND($A195&gt;CARGAS!$AG$29,$A195&lt;=CARGAS!$AG$30),tanque7,0)</f>
        <v>0</v>
      </c>
      <c r="M195" s="22">
        <f>IF(AND($A195&gt;CARGAS!$AJ$29,$A195&lt;=CARGAS!$AJ$30),tanque8,0)</f>
        <v>0</v>
      </c>
      <c r="N195" s="22">
        <f t="shared" si="24"/>
        <v>721.25449542857143</v>
      </c>
      <c r="O195" s="22">
        <f t="shared" si="25"/>
        <v>11.721862905963274</v>
      </c>
      <c r="P195" s="22">
        <f>O195*Equilibrio!Y$39*Equilibrio!Y$38*DADOS!C$4</f>
        <v>360.44728435837061</v>
      </c>
      <c r="Q195" s="22">
        <f t="shared" si="26"/>
        <v>360.80721107020082</v>
      </c>
      <c r="R195" s="22">
        <f t="shared" si="27"/>
        <v>3909.7838489318474</v>
      </c>
      <c r="S195" s="22">
        <f t="shared" si="28"/>
        <v>-1620797.2137576651</v>
      </c>
      <c r="T195" s="22">
        <f t="shared" si="29"/>
        <v>139923.37211314286</v>
      </c>
    </row>
    <row r="196" spans="1:20" x14ac:dyDescent="0.25">
      <c r="A196" s="21">
        <v>195</v>
      </c>
      <c r="B196" s="22">
        <f>CARGAS!$C$40*Equilibrio!A196^2+CARGAS!$D$40*Equilibrio!A196+CARGAS!$E$40</f>
        <v>128.51206530612242</v>
      </c>
      <c r="C196" s="22">
        <f>CARGAS!$C$53*Equilibrio!A196^2+CARGAS!$D$53*Equilibrio!A196+CARGAS!$E$53</f>
        <v>21.418677551020405</v>
      </c>
      <c r="D196">
        <f>IF(posisup=1,IF(A196&lt;=CARGAS!$E$68,sup,0),IF(posisup=2,IF(AND(A196&lt;=CARGAS!$E$69,A196&gt;=CARGAS!$D$69),sup,0),IF(posisup=3,IF(AND(A196&lt;=CARGAS!$E$70,A196&gt;=CARGAS!$D$70),sup,0),0)))</f>
        <v>0</v>
      </c>
      <c r="E196">
        <f>IF(A196&lt;=CARGAS!$H$25,CARGAS!$I$20,0)</f>
        <v>0</v>
      </c>
      <c r="F196" s="22">
        <f>IF(AND(A196&gt;CARGAS!$O$29,A196&lt;=CARGAS!$O$30),tanque1,0)</f>
        <v>0</v>
      </c>
      <c r="G196" s="22">
        <f>IF(AND(A196&gt;CARGAS!$R$29,A196&lt;=CARGAS!$R$30),tanque2,0)</f>
        <v>0</v>
      </c>
      <c r="H196" s="22">
        <f>IF(AND(A196&gt;CARGAS!$U$29,A196&lt;=CARGAS!$U$30),tanque3,0)</f>
        <v>0</v>
      </c>
      <c r="I196" s="22">
        <f>IF(AND(A196&gt;CARGAS!$X$29,A196&lt;=CARGAS!$X$30),tanque4,0)</f>
        <v>0</v>
      </c>
      <c r="J196" s="22">
        <f>IF(AND(A196&gt;CARGAS!$AA$29,A196&lt;=CARGAS!$AA$30),tanque5,0)</f>
        <v>571.20000000000005</v>
      </c>
      <c r="K196" s="22">
        <f>IF(AND($A196&gt;CARGAS!$AD$29,$A196&lt;=CARGAS!$AD$30),tanque6,0)</f>
        <v>0</v>
      </c>
      <c r="L196" s="22">
        <f>IF(AND($A196&gt;CARGAS!$AG$29,$A196&lt;=CARGAS!$AG$30),tanque7,0)</f>
        <v>0</v>
      </c>
      <c r="M196" s="22">
        <f>IF(AND($A196&gt;CARGAS!$AJ$29,$A196&lt;=CARGAS!$AJ$30),tanque8,0)</f>
        <v>0</v>
      </c>
      <c r="N196" s="22">
        <f t="shared" si="24"/>
        <v>721.13074285714288</v>
      </c>
      <c r="O196" s="22">
        <f t="shared" si="25"/>
        <v>11.783192236707405</v>
      </c>
      <c r="P196" s="22">
        <f>O196*Equilibrio!Y$39*Equilibrio!Y$38*DADOS!C$4</f>
        <v>362.33316127875264</v>
      </c>
      <c r="Q196" s="22">
        <f t="shared" si="26"/>
        <v>358.79758157839024</v>
      </c>
      <c r="R196" s="22">
        <f t="shared" si="27"/>
        <v>4268.5814305102376</v>
      </c>
      <c r="S196" s="22">
        <f t="shared" si="28"/>
        <v>-1616528.632327155</v>
      </c>
      <c r="T196" s="22">
        <f t="shared" si="29"/>
        <v>140620.49485714285</v>
      </c>
    </row>
    <row r="197" spans="1:20" x14ac:dyDescent="0.25">
      <c r="A197" s="21">
        <v>196</v>
      </c>
      <c r="B197" s="22">
        <f>CARGAS!$C$40*Equilibrio!A197^2+CARGAS!$D$40*Equilibrio!A197+CARGAS!$E$40</f>
        <v>128.40055199999998</v>
      </c>
      <c r="C197" s="22">
        <f>CARGAS!$C$53*Equilibrio!A197^2+CARGAS!$D$53*Equilibrio!A197+CARGAS!$E$53</f>
        <v>21.400092000000001</v>
      </c>
      <c r="D197">
        <f>IF(posisup=1,IF(A197&lt;=CARGAS!$E$68,sup,0),IF(posisup=2,IF(AND(A197&lt;=CARGAS!$E$69,A197&gt;=CARGAS!$D$69),sup,0),IF(posisup=3,IF(AND(A197&lt;=CARGAS!$E$70,A197&gt;=CARGAS!$D$70),sup,0),0)))</f>
        <v>0</v>
      </c>
      <c r="E197">
        <f>IF(A197&lt;=CARGAS!$H$25,CARGAS!$I$20,0)</f>
        <v>0</v>
      </c>
      <c r="F197" s="22">
        <f>IF(AND(A197&gt;CARGAS!$O$29,A197&lt;=CARGAS!$O$30),tanque1,0)</f>
        <v>0</v>
      </c>
      <c r="G197" s="22">
        <f>IF(AND(A197&gt;CARGAS!$R$29,A197&lt;=CARGAS!$R$30),tanque2,0)</f>
        <v>0</v>
      </c>
      <c r="H197" s="22">
        <f>IF(AND(A197&gt;CARGAS!$U$29,A197&lt;=CARGAS!$U$30),tanque3,0)</f>
        <v>0</v>
      </c>
      <c r="I197" s="22">
        <f>IF(AND(A197&gt;CARGAS!$X$29,A197&lt;=CARGAS!$X$30),tanque4,0)</f>
        <v>0</v>
      </c>
      <c r="J197" s="22">
        <f>IF(AND(A197&gt;CARGAS!$AA$29,A197&lt;=CARGAS!$AA$30),tanque5,0)</f>
        <v>571.20000000000005</v>
      </c>
      <c r="K197" s="22">
        <f>IF(AND($A197&gt;CARGAS!$AD$29,$A197&lt;=CARGAS!$AD$30),tanque6,0)</f>
        <v>0</v>
      </c>
      <c r="L197" s="22">
        <f>IF(AND($A197&gt;CARGAS!$AG$29,$A197&lt;=CARGAS!$AG$30),tanque7,0)</f>
        <v>0</v>
      </c>
      <c r="M197" s="22">
        <f>IF(AND($A197&gt;CARGAS!$AJ$29,$A197&lt;=CARGAS!$AJ$30),tanque8,0)</f>
        <v>0</v>
      </c>
      <c r="N197" s="22">
        <f t="shared" si="24"/>
        <v>721.00064399999997</v>
      </c>
      <c r="O197" s="22">
        <f t="shared" si="25"/>
        <v>11.847161573064433</v>
      </c>
      <c r="P197" s="22">
        <f>O197*Equilibrio!Y$39*Equilibrio!Y$38*DADOS!C$4</f>
        <v>364.30021837173126</v>
      </c>
      <c r="Q197" s="22">
        <f t="shared" si="26"/>
        <v>356.7004256282687</v>
      </c>
      <c r="R197" s="22">
        <f t="shared" si="27"/>
        <v>4625.2818561385066</v>
      </c>
      <c r="S197" s="22">
        <f t="shared" si="28"/>
        <v>-1611903.3504710165</v>
      </c>
      <c r="T197" s="22">
        <f t="shared" si="29"/>
        <v>141316.12622400001</v>
      </c>
    </row>
    <row r="198" spans="1:20" x14ac:dyDescent="0.25">
      <c r="A198" s="21">
        <v>197</v>
      </c>
      <c r="B198" s="22">
        <f>CARGAS!$C$40*Equilibrio!A198^2+CARGAS!$D$40*Equilibrio!A198+CARGAS!$E$40</f>
        <v>128.28359902040813</v>
      </c>
      <c r="C198" s="22">
        <f>CARGAS!$C$53*Equilibrio!A198^2+CARGAS!$D$53*Equilibrio!A198+CARGAS!$E$53</f>
        <v>21.380599836734692</v>
      </c>
      <c r="D198">
        <f>IF(posisup=1,IF(A198&lt;=CARGAS!$E$68,sup,0),IF(posisup=2,IF(AND(A198&lt;=CARGAS!$E$69,A198&gt;=CARGAS!$D$69),sup,0),IF(posisup=3,IF(AND(A198&lt;=CARGAS!$E$70,A198&gt;=CARGAS!$D$70),sup,0),0)))</f>
        <v>0</v>
      </c>
      <c r="E198">
        <f>IF(A198&lt;=CARGAS!$H$25,CARGAS!$I$20,0)</f>
        <v>0</v>
      </c>
      <c r="F198" s="22">
        <f>IF(AND(A198&gt;CARGAS!$O$29,A198&lt;=CARGAS!$O$30),tanque1,0)</f>
        <v>0</v>
      </c>
      <c r="G198" s="22">
        <f>IF(AND(A198&gt;CARGAS!$R$29,A198&lt;=CARGAS!$R$30),tanque2,0)</f>
        <v>0</v>
      </c>
      <c r="H198" s="22">
        <f>IF(AND(A198&gt;CARGAS!$U$29,A198&lt;=CARGAS!$U$30),tanque3,0)</f>
        <v>0</v>
      </c>
      <c r="I198" s="22">
        <f>IF(AND(A198&gt;CARGAS!$X$29,A198&lt;=CARGAS!$X$30),tanque4,0)</f>
        <v>0</v>
      </c>
      <c r="J198" s="22">
        <f>IF(AND(A198&gt;CARGAS!$AA$29,A198&lt;=CARGAS!$AA$30),tanque5,0)</f>
        <v>571.20000000000005</v>
      </c>
      <c r="K198" s="22">
        <f>IF(AND($A198&gt;CARGAS!$AD$29,$A198&lt;=CARGAS!$AD$30),tanque6,0)</f>
        <v>0</v>
      </c>
      <c r="L198" s="22">
        <f>IF(AND($A198&gt;CARGAS!$AG$29,$A198&lt;=CARGAS!$AG$30),tanque7,0)</f>
        <v>0</v>
      </c>
      <c r="M198" s="22">
        <f>IF(AND($A198&gt;CARGAS!$AJ$29,$A198&lt;=CARGAS!$AJ$30),tanque8,0)</f>
        <v>0</v>
      </c>
      <c r="N198" s="22">
        <f t="shared" si="24"/>
        <v>720.86419885714281</v>
      </c>
      <c r="O198" s="22">
        <f t="shared" si="25"/>
        <v>11.913752703608434</v>
      </c>
      <c r="P198" s="22">
        <f>O198*Equilibrio!Y$39*Equilibrio!Y$38*DADOS!C$4</f>
        <v>366.34789563595928</v>
      </c>
      <c r="Q198" s="22">
        <f t="shared" si="26"/>
        <v>354.51630322118353</v>
      </c>
      <c r="R198" s="22">
        <f t="shared" si="27"/>
        <v>4979.7981593596905</v>
      </c>
      <c r="S198" s="22">
        <f t="shared" si="28"/>
        <v>-1606923.5523116568</v>
      </c>
      <c r="T198" s="22">
        <f t="shared" si="29"/>
        <v>142010.24717485713</v>
      </c>
    </row>
    <row r="199" spans="1:20" x14ac:dyDescent="0.25">
      <c r="A199" s="21">
        <v>198</v>
      </c>
      <c r="B199" s="22">
        <f>CARGAS!$C$40*Equilibrio!A199^2+CARGAS!$D$40*Equilibrio!A199+CARGAS!$E$40</f>
        <v>128.16120636734689</v>
      </c>
      <c r="C199" s="22">
        <f>CARGAS!$C$53*Equilibrio!A199^2+CARGAS!$D$53*Equilibrio!A199+CARGAS!$E$53</f>
        <v>21.36020106122449</v>
      </c>
      <c r="D199">
        <f>IF(posisup=1,IF(A199&lt;=CARGAS!$E$68,sup,0),IF(posisup=2,IF(AND(A199&lt;=CARGAS!$E$69,A199&gt;=CARGAS!$D$69),sup,0),IF(posisup=3,IF(AND(A199&lt;=CARGAS!$E$70,A199&gt;=CARGAS!$D$70),sup,0),0)))</f>
        <v>0</v>
      </c>
      <c r="E199">
        <f>IF(A199&lt;=CARGAS!$H$25,CARGAS!$I$20,0)</f>
        <v>0</v>
      </c>
      <c r="F199" s="22">
        <f>IF(AND(A199&gt;CARGAS!$O$29,A199&lt;=CARGAS!$O$30),tanque1,0)</f>
        <v>0</v>
      </c>
      <c r="G199" s="22">
        <f>IF(AND(A199&gt;CARGAS!$R$29,A199&lt;=CARGAS!$R$30),tanque2,0)</f>
        <v>0</v>
      </c>
      <c r="H199" s="22">
        <f>IF(AND(A199&gt;CARGAS!$U$29,A199&lt;=CARGAS!$U$30),tanque3,0)</f>
        <v>0</v>
      </c>
      <c r="I199" s="22">
        <f>IF(AND(A199&gt;CARGAS!$X$29,A199&lt;=CARGAS!$X$30),tanque4,0)</f>
        <v>0</v>
      </c>
      <c r="J199" s="22">
        <f>IF(AND(A199&gt;CARGAS!$AA$29,A199&lt;=CARGAS!$AA$30),tanque5,0)</f>
        <v>571.20000000000005</v>
      </c>
      <c r="K199" s="22">
        <f>IF(AND($A199&gt;CARGAS!$AD$29,$A199&lt;=CARGAS!$AD$30),tanque6,0)</f>
        <v>0</v>
      </c>
      <c r="L199" s="22">
        <f>IF(AND($A199&gt;CARGAS!$AG$29,$A199&lt;=CARGAS!$AG$30),tanque7,0)</f>
        <v>0</v>
      </c>
      <c r="M199" s="22">
        <f>IF(AND($A199&gt;CARGAS!$AJ$29,$A199&lt;=CARGAS!$AJ$30),tanque8,0)</f>
        <v>0</v>
      </c>
      <c r="N199" s="22">
        <f t="shared" si="24"/>
        <v>720.72140742857141</v>
      </c>
      <c r="O199" s="22">
        <f t="shared" si="25"/>
        <v>11.982946572003234</v>
      </c>
      <c r="P199" s="22">
        <f>O199*Equilibrio!Y$39*Equilibrio!Y$38*DADOS!C$4</f>
        <v>368.47560708909941</v>
      </c>
      <c r="Q199" s="22">
        <f t="shared" si="26"/>
        <v>352.245800339472</v>
      </c>
      <c r="R199" s="22">
        <f t="shared" si="27"/>
        <v>5332.0439596991628</v>
      </c>
      <c r="S199" s="22">
        <f t="shared" si="28"/>
        <v>-1601591.5083519577</v>
      </c>
      <c r="T199" s="22">
        <f t="shared" si="29"/>
        <v>142702.83867085713</v>
      </c>
    </row>
    <row r="200" spans="1:20" x14ac:dyDescent="0.25">
      <c r="A200" s="21">
        <v>199</v>
      </c>
      <c r="B200" s="22">
        <f>CARGAS!$C$40*Equilibrio!A200^2+CARGAS!$D$40*Equilibrio!A200+CARGAS!$E$40</f>
        <v>128.03337404081628</v>
      </c>
      <c r="C200" s="22">
        <f>CARGAS!$C$53*Equilibrio!A200^2+CARGAS!$D$53*Equilibrio!A200+CARGAS!$E$53</f>
        <v>21.338895673469384</v>
      </c>
      <c r="D200">
        <f>IF(posisup=1,IF(A200&lt;=CARGAS!$E$68,sup,0),IF(posisup=2,IF(AND(A200&lt;=CARGAS!$E$69,A200&gt;=CARGAS!$D$69),sup,0),IF(posisup=3,IF(AND(A200&lt;=CARGAS!$E$70,A200&gt;=CARGAS!$D$70),sup,0),0)))</f>
        <v>0</v>
      </c>
      <c r="E200">
        <f>IF(A200&lt;=CARGAS!$H$25,CARGAS!$I$20,0)</f>
        <v>0</v>
      </c>
      <c r="F200" s="22">
        <f>IF(AND(A200&gt;CARGAS!$O$29,A200&lt;=CARGAS!$O$30),tanque1,0)</f>
        <v>0</v>
      </c>
      <c r="G200" s="22">
        <f>IF(AND(A200&gt;CARGAS!$R$29,A200&lt;=CARGAS!$R$30),tanque2,0)</f>
        <v>0</v>
      </c>
      <c r="H200" s="22">
        <f>IF(AND(A200&gt;CARGAS!$U$29,A200&lt;=CARGAS!$U$30),tanque3,0)</f>
        <v>0</v>
      </c>
      <c r="I200" s="22">
        <f>IF(AND(A200&gt;CARGAS!$X$29,A200&lt;=CARGAS!$X$30),tanque4,0)</f>
        <v>0</v>
      </c>
      <c r="J200" s="22">
        <f>IF(AND(A200&gt;CARGAS!$AA$29,A200&lt;=CARGAS!$AA$30),tanque5,0)</f>
        <v>571.20000000000005</v>
      </c>
      <c r="K200" s="22">
        <f>IF(AND($A200&gt;CARGAS!$AD$29,$A200&lt;=CARGAS!$AD$30),tanque6,0)</f>
        <v>0</v>
      </c>
      <c r="L200" s="22">
        <f>IF(AND($A200&gt;CARGAS!$AG$29,$A200&lt;=CARGAS!$AG$30),tanque7,0)</f>
        <v>0</v>
      </c>
      <c r="M200" s="22">
        <f>IF(AND($A200&gt;CARGAS!$AJ$29,$A200&lt;=CARGAS!$AJ$30),tanque8,0)</f>
        <v>0</v>
      </c>
      <c r="N200" s="22">
        <f t="shared" si="24"/>
        <v>720.57226971428577</v>
      </c>
      <c r="O200" s="22">
        <f t="shared" si="25"/>
        <v>12.054723283143566</v>
      </c>
      <c r="P200" s="22">
        <f>O200*Equilibrio!Y$39*Equilibrio!Y$38*DADOS!C$4</f>
        <v>370.68274095666465</v>
      </c>
      <c r="Q200" s="22">
        <f t="shared" si="26"/>
        <v>349.88952875762112</v>
      </c>
      <c r="R200" s="22">
        <f t="shared" si="27"/>
        <v>5681.9334884567843</v>
      </c>
      <c r="S200" s="22">
        <f t="shared" si="28"/>
        <v>-1595909.5748635009</v>
      </c>
      <c r="T200" s="22">
        <f t="shared" si="29"/>
        <v>143393.88167314287</v>
      </c>
    </row>
    <row r="201" spans="1:20" x14ac:dyDescent="0.25">
      <c r="A201" s="21">
        <v>200</v>
      </c>
      <c r="B201" s="22">
        <f>CARGAS!$C$40*Equilibrio!A201^2+CARGAS!$D$40*Equilibrio!A201+CARGAS!$E$40</f>
        <v>127.90010204081628</v>
      </c>
      <c r="C201" s="22">
        <f>CARGAS!$C$53*Equilibrio!A201^2+CARGAS!$D$53*Equilibrio!A201+CARGAS!$E$53</f>
        <v>21.316683673469388</v>
      </c>
      <c r="D201">
        <f>IF(posisup=1,IF(A201&lt;=CARGAS!$E$68,sup,0),IF(posisup=2,IF(AND(A201&lt;=CARGAS!$E$69,A201&gt;=CARGAS!$D$69),sup,0),IF(posisup=3,IF(AND(A201&lt;=CARGAS!$E$70,A201&gt;=CARGAS!$D$70),sup,0),0)))</f>
        <v>0</v>
      </c>
      <c r="E201">
        <f>IF(A201&lt;=CARGAS!$H$25,CARGAS!$I$20,0)</f>
        <v>0</v>
      </c>
      <c r="F201" s="22">
        <f>IF(AND(A201&gt;CARGAS!$O$29,A201&lt;=CARGAS!$O$30),tanque1,0)</f>
        <v>0</v>
      </c>
      <c r="G201" s="22">
        <f>IF(AND(A201&gt;CARGAS!$R$29,A201&lt;=CARGAS!$R$30),tanque2,0)</f>
        <v>0</v>
      </c>
      <c r="H201" s="22">
        <f>IF(AND(A201&gt;CARGAS!$U$29,A201&lt;=CARGAS!$U$30),tanque3,0)</f>
        <v>0</v>
      </c>
      <c r="I201" s="22">
        <f>IF(AND(A201&gt;CARGAS!$X$29,A201&lt;=CARGAS!$X$30),tanque4,0)</f>
        <v>0</v>
      </c>
      <c r="J201" s="22">
        <f>IF(AND(A201&gt;CARGAS!$AA$29,A201&lt;=CARGAS!$AA$30),tanque5,0)</f>
        <v>571.20000000000005</v>
      </c>
      <c r="K201" s="22">
        <f>IF(AND($A201&gt;CARGAS!$AD$29,$A201&lt;=CARGAS!$AD$30),tanque6,0)</f>
        <v>0</v>
      </c>
      <c r="L201" s="22">
        <f>IF(AND($A201&gt;CARGAS!$AG$29,$A201&lt;=CARGAS!$AG$30),tanque7,0)</f>
        <v>0</v>
      </c>
      <c r="M201" s="22">
        <f>IF(AND($A201&gt;CARGAS!$AJ$29,$A201&lt;=CARGAS!$AJ$30),tanque8,0)</f>
        <v>0</v>
      </c>
      <c r="N201" s="22">
        <f t="shared" si="24"/>
        <v>720.41678571428565</v>
      </c>
      <c r="O201" s="22">
        <f t="shared" si="25"/>
        <v>12.129062109566579</v>
      </c>
      <c r="P201" s="22">
        <f>O201*Equilibrio!Y$39*Equilibrio!Y$38*DADOS!C$4</f>
        <v>372.96865986917226</v>
      </c>
      <c r="Q201" s="22">
        <f t="shared" si="26"/>
        <v>347.4481258451134</v>
      </c>
      <c r="R201" s="22">
        <f t="shared" si="27"/>
        <v>6029.3816143018976</v>
      </c>
      <c r="S201" s="22">
        <f t="shared" si="28"/>
        <v>-1589880.1932491991</v>
      </c>
      <c r="T201" s="22">
        <f t="shared" si="29"/>
        <v>144083.35714285713</v>
      </c>
    </row>
    <row r="202" spans="1:20" x14ac:dyDescent="0.25">
      <c r="A202" s="21">
        <v>201</v>
      </c>
      <c r="B202" s="22">
        <f>CARGAS!$C$40*Equilibrio!A202^2+CARGAS!$D$40*Equilibrio!A202+CARGAS!$E$40</f>
        <v>127.76139036734689</v>
      </c>
      <c r="C202" s="22">
        <f>CARGAS!$C$53*Equilibrio!A202^2+CARGAS!$D$53*Equilibrio!A202+CARGAS!$E$53</f>
        <v>21.293565061224488</v>
      </c>
      <c r="D202">
        <f>IF(posisup=1,IF(A202&lt;=CARGAS!$E$68,sup,0),IF(posisup=2,IF(AND(A202&lt;=CARGAS!$E$69,A202&gt;=CARGAS!$D$69),sup,0),IF(posisup=3,IF(AND(A202&lt;=CARGAS!$E$70,A202&gt;=CARGAS!$D$70),sup,0),0)))</f>
        <v>0</v>
      </c>
      <c r="E202">
        <f>IF(A202&lt;=CARGAS!$H$25,CARGAS!$I$20,0)</f>
        <v>0</v>
      </c>
      <c r="F202" s="22">
        <f>IF(AND(A202&gt;CARGAS!$O$29,A202&lt;=CARGAS!$O$30),tanque1,0)</f>
        <v>0</v>
      </c>
      <c r="G202" s="22">
        <f>IF(AND(A202&gt;CARGAS!$R$29,A202&lt;=CARGAS!$R$30),tanque2,0)</f>
        <v>0</v>
      </c>
      <c r="H202" s="22">
        <f>IF(AND(A202&gt;CARGAS!$U$29,A202&lt;=CARGAS!$U$30),tanque3,0)</f>
        <v>0</v>
      </c>
      <c r="I202" s="22">
        <f>IF(AND(A202&gt;CARGAS!$X$29,A202&lt;=CARGAS!$X$30),tanque4,0)</f>
        <v>0</v>
      </c>
      <c r="J202" s="22">
        <f>IF(AND(A202&gt;CARGAS!$AA$29,A202&lt;=CARGAS!$AA$30),tanque5,0)</f>
        <v>571.20000000000005</v>
      </c>
      <c r="K202" s="22">
        <f>IF(AND($A202&gt;CARGAS!$AD$29,$A202&lt;=CARGAS!$AD$30),tanque6,0)</f>
        <v>0</v>
      </c>
      <c r="L202" s="22">
        <f>IF(AND($A202&gt;CARGAS!$AG$29,$A202&lt;=CARGAS!$AG$30),tanque7,0)</f>
        <v>0</v>
      </c>
      <c r="M202" s="22">
        <f>IF(AND($A202&gt;CARGAS!$AJ$29,$A202&lt;=CARGAS!$AJ$30),tanque8,0)</f>
        <v>0</v>
      </c>
      <c r="N202" s="22">
        <f t="shared" si="24"/>
        <v>720.25495542857141</v>
      </c>
      <c r="O202" s="22">
        <f t="shared" si="25"/>
        <v>12.205941498131528</v>
      </c>
      <c r="P202" s="22">
        <f>O202*Equilibrio!Y$39*Equilibrio!Y$38*DADOS!C$4</f>
        <v>375.33270106754446</v>
      </c>
      <c r="Q202" s="22">
        <f t="shared" si="26"/>
        <v>344.92225436102694</v>
      </c>
      <c r="R202" s="22">
        <f t="shared" si="27"/>
        <v>6374.3038686629243</v>
      </c>
      <c r="S202" s="22">
        <f t="shared" si="28"/>
        <v>-1583505.889380536</v>
      </c>
      <c r="T202" s="22">
        <f t="shared" si="29"/>
        <v>144771.24604114285</v>
      </c>
    </row>
    <row r="203" spans="1:20" x14ac:dyDescent="0.25">
      <c r="A203" s="21">
        <v>202</v>
      </c>
      <c r="B203" s="22">
        <f>CARGAS!$C$40*Equilibrio!A203^2+CARGAS!$D$40*Equilibrio!A203+CARGAS!$E$40</f>
        <v>127.61723902040812</v>
      </c>
      <c r="C203" s="22">
        <f>CARGAS!$C$53*Equilibrio!A203^2+CARGAS!$D$53*Equilibrio!A203+CARGAS!$E$53</f>
        <v>21.26953983673469</v>
      </c>
      <c r="D203">
        <f>IF(posisup=1,IF(A203&lt;=CARGAS!$E$68,sup,0),IF(posisup=2,IF(AND(A203&lt;=CARGAS!$E$69,A203&gt;=CARGAS!$D$69),sup,0),IF(posisup=3,IF(AND(A203&lt;=CARGAS!$E$70,A203&gt;=CARGAS!$D$70),sup,0),0)))</f>
        <v>0</v>
      </c>
      <c r="E203">
        <f>IF(A203&lt;=CARGAS!$H$25,CARGAS!$I$20,0)</f>
        <v>0</v>
      </c>
      <c r="F203" s="22">
        <f>IF(AND(A203&gt;CARGAS!$O$29,A203&lt;=CARGAS!$O$30),tanque1,0)</f>
        <v>0</v>
      </c>
      <c r="G203" s="22">
        <f>IF(AND(A203&gt;CARGAS!$R$29,A203&lt;=CARGAS!$R$30),tanque2,0)</f>
        <v>0</v>
      </c>
      <c r="H203" s="22">
        <f>IF(AND(A203&gt;CARGAS!$U$29,A203&lt;=CARGAS!$U$30),tanque3,0)</f>
        <v>0</v>
      </c>
      <c r="I203" s="22">
        <f>IF(AND(A203&gt;CARGAS!$X$29,A203&lt;=CARGAS!$X$30),tanque4,0)</f>
        <v>0</v>
      </c>
      <c r="J203" s="22">
        <f>IF(AND(A203&gt;CARGAS!$AA$29,A203&lt;=CARGAS!$AA$30),tanque5,0)</f>
        <v>571.20000000000005</v>
      </c>
      <c r="K203" s="22">
        <f>IF(AND($A203&gt;CARGAS!$AD$29,$A203&lt;=CARGAS!$AD$30),tanque6,0)</f>
        <v>0</v>
      </c>
      <c r="L203" s="22">
        <f>IF(AND($A203&gt;CARGAS!$AG$29,$A203&lt;=CARGAS!$AG$30),tanque7,0)</f>
        <v>0</v>
      </c>
      <c r="M203" s="22">
        <f>IF(AND($A203&gt;CARGAS!$AJ$29,$A203&lt;=CARGAS!$AJ$30),tanque8,0)</f>
        <v>0</v>
      </c>
      <c r="N203" s="22">
        <f t="shared" si="24"/>
        <v>720.08677885714292</v>
      </c>
      <c r="O203" s="22">
        <f t="shared" si="25"/>
        <v>12.285339076965593</v>
      </c>
      <c r="P203" s="22">
        <f>O203*Equilibrio!Y$39*Equilibrio!Y$38*DADOS!C$4</f>
        <v>377.77417661669199</v>
      </c>
      <c r="Q203" s="22">
        <f t="shared" si="26"/>
        <v>342.31260224045093</v>
      </c>
      <c r="R203" s="22">
        <f t="shared" si="27"/>
        <v>6716.6164709033756</v>
      </c>
      <c r="S203" s="22">
        <f t="shared" si="28"/>
        <v>-1576789.2729096327</v>
      </c>
      <c r="T203" s="22">
        <f t="shared" si="29"/>
        <v>145457.52932914288</v>
      </c>
    </row>
    <row r="204" spans="1:20" x14ac:dyDescent="0.25">
      <c r="A204" s="21">
        <v>203</v>
      </c>
      <c r="B204" s="22">
        <f>CARGAS!$C$40*Equilibrio!A204^2+CARGAS!$D$40*Equilibrio!A204+CARGAS!$E$40</f>
        <v>127.46764799999998</v>
      </c>
      <c r="C204" s="22">
        <f>CARGAS!$C$53*Equilibrio!A204^2+CARGAS!$D$53*Equilibrio!A204+CARGAS!$E$53</f>
        <v>21.244607999999996</v>
      </c>
      <c r="D204">
        <f>IF(posisup=1,IF(A204&lt;=CARGAS!$E$68,sup,0),IF(posisup=2,IF(AND(A204&lt;=CARGAS!$E$69,A204&gt;=CARGAS!$D$69),sup,0),IF(posisup=3,IF(AND(A204&lt;=CARGAS!$E$70,A204&gt;=CARGAS!$D$70),sup,0),0)))</f>
        <v>0</v>
      </c>
      <c r="E204">
        <f>IF(A204&lt;=CARGAS!$H$25,CARGAS!$I$20,0)</f>
        <v>0</v>
      </c>
      <c r="F204" s="22">
        <f>IF(AND(A204&gt;CARGAS!$O$29,A204&lt;=CARGAS!$O$30),tanque1,0)</f>
        <v>0</v>
      </c>
      <c r="G204" s="22">
        <f>IF(AND(A204&gt;CARGAS!$R$29,A204&lt;=CARGAS!$R$30),tanque2,0)</f>
        <v>0</v>
      </c>
      <c r="H204" s="22">
        <f>IF(AND(A204&gt;CARGAS!$U$29,A204&lt;=CARGAS!$U$30),tanque3,0)</f>
        <v>0</v>
      </c>
      <c r="I204" s="22">
        <f>IF(AND(A204&gt;CARGAS!$X$29,A204&lt;=CARGAS!$X$30),tanque4,0)</f>
        <v>0</v>
      </c>
      <c r="J204" s="22">
        <f>IF(AND(A204&gt;CARGAS!$AA$29,A204&lt;=CARGAS!$AA$30),tanque5,0)</f>
        <v>571.20000000000005</v>
      </c>
      <c r="K204" s="22">
        <f>IF(AND($A204&gt;CARGAS!$AD$29,$A204&lt;=CARGAS!$AD$30),tanque6,0)</f>
        <v>0</v>
      </c>
      <c r="L204" s="22">
        <f>IF(AND($A204&gt;CARGAS!$AG$29,$A204&lt;=CARGAS!$AG$30),tanque7,0)</f>
        <v>0</v>
      </c>
      <c r="M204" s="22">
        <f>IF(AND($A204&gt;CARGAS!$AJ$29,$A204&lt;=CARGAS!$AJ$30),tanque8,0)</f>
        <v>0</v>
      </c>
      <c r="N204" s="22">
        <f t="shared" si="24"/>
        <v>719.91225600000007</v>
      </c>
      <c r="O204" s="22">
        <f t="shared" si="25"/>
        <v>12.367231662673523</v>
      </c>
      <c r="P204" s="22">
        <f>O204*Equilibrio!Y$39*Equilibrio!Y$38*DADOS!C$4</f>
        <v>380.29237362721079</v>
      </c>
      <c r="Q204" s="22">
        <f t="shared" si="26"/>
        <v>339.61988237278928</v>
      </c>
      <c r="R204" s="22">
        <f t="shared" si="27"/>
        <v>7056.2363532761647</v>
      </c>
      <c r="S204" s="22">
        <f t="shared" si="28"/>
        <v>-1569733.0365563566</v>
      </c>
      <c r="T204" s="22">
        <f t="shared" si="29"/>
        <v>146142.18796800001</v>
      </c>
    </row>
    <row r="205" spans="1:20" x14ac:dyDescent="0.25">
      <c r="A205" s="21">
        <v>204</v>
      </c>
      <c r="B205" s="22">
        <f>CARGAS!$C$40*Equilibrio!A205^2+CARGAS!$D$40*Equilibrio!A205+CARGAS!$E$40</f>
        <v>127.31261730612242</v>
      </c>
      <c r="C205" s="22">
        <f>CARGAS!$C$53*Equilibrio!A205^2+CARGAS!$D$53*Equilibrio!A205+CARGAS!$E$53</f>
        <v>21.218769551020408</v>
      </c>
      <c r="D205">
        <f>IF(posisup=1,IF(A205&lt;=CARGAS!$E$68,sup,0),IF(posisup=2,IF(AND(A205&lt;=CARGAS!$E$69,A205&gt;=CARGAS!$D$69),sup,0),IF(posisup=3,IF(AND(A205&lt;=CARGAS!$E$70,A205&gt;=CARGAS!$D$70),sup,0),0)))</f>
        <v>0</v>
      </c>
      <c r="E205">
        <f>IF(A205&lt;=CARGAS!$H$25,CARGAS!$I$20,0)</f>
        <v>0</v>
      </c>
      <c r="F205" s="22">
        <f>IF(AND(A205&gt;CARGAS!$O$29,A205&lt;=CARGAS!$O$30),tanque1,0)</f>
        <v>0</v>
      </c>
      <c r="G205" s="22">
        <f>IF(AND(A205&gt;CARGAS!$R$29,A205&lt;=CARGAS!$R$30),tanque2,0)</f>
        <v>0</v>
      </c>
      <c r="H205" s="22">
        <f>IF(AND(A205&gt;CARGAS!$U$29,A205&lt;=CARGAS!$U$30),tanque3,0)</f>
        <v>0</v>
      </c>
      <c r="I205" s="22">
        <f>IF(AND(A205&gt;CARGAS!$X$29,A205&lt;=CARGAS!$X$30),tanque4,0)</f>
        <v>0</v>
      </c>
      <c r="J205" s="22">
        <f>IF(AND(A205&gt;CARGAS!$AA$29,A205&lt;=CARGAS!$AA$30),tanque5,0)</f>
        <v>571.20000000000005</v>
      </c>
      <c r="K205" s="22">
        <f>IF(AND($A205&gt;CARGAS!$AD$29,$A205&lt;=CARGAS!$AD$30),tanque6,0)</f>
        <v>0</v>
      </c>
      <c r="L205" s="22">
        <f>IF(AND($A205&gt;CARGAS!$AG$29,$A205&lt;=CARGAS!$AG$30),tanque7,0)</f>
        <v>0</v>
      </c>
      <c r="M205" s="22">
        <f>IF(AND($A205&gt;CARGAS!$AJ$29,$A205&lt;=CARGAS!$AJ$30),tanque8,0)</f>
        <v>0</v>
      </c>
      <c r="N205" s="22">
        <f t="shared" si="24"/>
        <v>719.73138685714287</v>
      </c>
      <c r="O205" s="22">
        <f t="shared" si="25"/>
        <v>12.45159526780883</v>
      </c>
      <c r="P205" s="22">
        <f>O205*Equilibrio!Y$39*Equilibrio!Y$38*DADOS!C$4</f>
        <v>382.88655448512151</v>
      </c>
      <c r="Q205" s="22">
        <f t="shared" si="26"/>
        <v>336.84483237202136</v>
      </c>
      <c r="R205" s="22">
        <f t="shared" si="27"/>
        <v>7393.081185648186</v>
      </c>
      <c r="S205" s="22">
        <f t="shared" si="28"/>
        <v>-1562339.9553707084</v>
      </c>
      <c r="T205" s="22">
        <f t="shared" si="29"/>
        <v>146825.20291885713</v>
      </c>
    </row>
    <row r="206" spans="1:20" x14ac:dyDescent="0.25">
      <c r="A206" s="21">
        <v>205</v>
      </c>
      <c r="B206" s="22">
        <f>CARGAS!$C$40*Equilibrio!A206^2+CARGAS!$D$40*Equilibrio!A206+CARGAS!$E$40</f>
        <v>127.15214693877549</v>
      </c>
      <c r="C206" s="22">
        <f>CARGAS!$C$53*Equilibrio!A206^2+CARGAS!$D$53*Equilibrio!A206+CARGAS!$E$53</f>
        <v>21.192024489795919</v>
      </c>
      <c r="D206">
        <f>IF(posisup=1,IF(A206&lt;=CARGAS!$E$68,sup,0),IF(posisup=2,IF(AND(A206&lt;=CARGAS!$E$69,A206&gt;=CARGAS!$D$69),sup,0),IF(posisup=3,IF(AND(A206&lt;=CARGAS!$E$70,A206&gt;=CARGAS!$D$70),sup,0),0)))</f>
        <v>0</v>
      </c>
      <c r="E206">
        <f>IF(A206&lt;=CARGAS!$H$25,CARGAS!$I$20,0)</f>
        <v>0</v>
      </c>
      <c r="F206" s="22">
        <f>IF(AND(A206&gt;CARGAS!$O$29,A206&lt;=CARGAS!$O$30),tanque1,0)</f>
        <v>0</v>
      </c>
      <c r="G206" s="22">
        <f>IF(AND(A206&gt;CARGAS!$R$29,A206&lt;=CARGAS!$R$30),tanque2,0)</f>
        <v>0</v>
      </c>
      <c r="H206" s="22">
        <f>IF(AND(A206&gt;CARGAS!$U$29,A206&lt;=CARGAS!$U$30),tanque3,0)</f>
        <v>0</v>
      </c>
      <c r="I206" s="22">
        <f>IF(AND(A206&gt;CARGAS!$X$29,A206&lt;=CARGAS!$X$30),tanque4,0)</f>
        <v>0</v>
      </c>
      <c r="J206" s="22">
        <f>IF(AND(A206&gt;CARGAS!$AA$29,A206&lt;=CARGAS!$AA$30),tanque5,0)</f>
        <v>571.20000000000005</v>
      </c>
      <c r="K206" s="22">
        <f>IF(AND($A206&gt;CARGAS!$AD$29,$A206&lt;=CARGAS!$AD$30),tanque6,0)</f>
        <v>0</v>
      </c>
      <c r="L206" s="22">
        <f>IF(AND($A206&gt;CARGAS!$AG$29,$A206&lt;=CARGAS!$AG$30),tanque7,0)</f>
        <v>0</v>
      </c>
      <c r="M206" s="22">
        <f>IF(AND($A206&gt;CARGAS!$AJ$29,$A206&lt;=CARGAS!$AJ$30),tanque8,0)</f>
        <v>0</v>
      </c>
      <c r="N206" s="22">
        <f t="shared" si="24"/>
        <v>719.54417142857142</v>
      </c>
      <c r="O206" s="22">
        <f t="shared" si="25"/>
        <v>12.538405108604058</v>
      </c>
      <c r="P206" s="22">
        <f>O206*Equilibrio!Y$39*Equilibrio!Y$38*DADOS!C$4</f>
        <v>385.55595708957475</v>
      </c>
      <c r="Q206" s="22">
        <f t="shared" si="26"/>
        <v>333.98821433899667</v>
      </c>
      <c r="R206" s="22">
        <f t="shared" si="27"/>
        <v>7727.0693999871828</v>
      </c>
      <c r="S206" s="22">
        <f t="shared" si="28"/>
        <v>-1554612.8859707213</v>
      </c>
      <c r="T206" s="22">
        <f t="shared" si="29"/>
        <v>147506.55514285713</v>
      </c>
    </row>
    <row r="207" spans="1:20" x14ac:dyDescent="0.25">
      <c r="A207" s="21">
        <v>206</v>
      </c>
      <c r="B207" s="22">
        <f>CARGAS!$C$40*Equilibrio!A207^2+CARGAS!$D$40*Equilibrio!A207+CARGAS!$E$40</f>
        <v>126.98623689795915</v>
      </c>
      <c r="C207" s="22">
        <f>CARGAS!$C$53*Equilibrio!A207^2+CARGAS!$D$53*Equilibrio!A207+CARGAS!$E$53</f>
        <v>21.164372816326527</v>
      </c>
      <c r="D207">
        <f>IF(posisup=1,IF(A207&lt;=CARGAS!$E$68,sup,0),IF(posisup=2,IF(AND(A207&lt;=CARGAS!$E$69,A207&gt;=CARGAS!$D$69),sup,0),IF(posisup=3,IF(AND(A207&lt;=CARGAS!$E$70,A207&gt;=CARGAS!$D$70),sup,0),0)))</f>
        <v>0</v>
      </c>
      <c r="E207">
        <f>IF(A207&lt;=CARGAS!$H$25,CARGAS!$I$20,0)</f>
        <v>0</v>
      </c>
      <c r="F207" s="22">
        <f>IF(AND(A207&gt;CARGAS!$O$29,A207&lt;=CARGAS!$O$30),tanque1,0)</f>
        <v>0</v>
      </c>
      <c r="G207" s="22">
        <f>IF(AND(A207&gt;CARGAS!$R$29,A207&lt;=CARGAS!$R$30),tanque2,0)</f>
        <v>0</v>
      </c>
      <c r="H207" s="22">
        <f>IF(AND(A207&gt;CARGAS!$U$29,A207&lt;=CARGAS!$U$30),tanque3,0)</f>
        <v>0</v>
      </c>
      <c r="I207" s="22">
        <f>IF(AND(A207&gt;CARGAS!$X$29,A207&lt;=CARGAS!$X$30),tanque4,0)</f>
        <v>0</v>
      </c>
      <c r="J207" s="22">
        <f>IF(AND(A207&gt;CARGAS!$AA$29,A207&lt;=CARGAS!$AA$30),tanque5,0)</f>
        <v>571.20000000000005</v>
      </c>
      <c r="K207" s="22">
        <f>IF(AND($A207&gt;CARGAS!$AD$29,$A207&lt;=CARGAS!$AD$30),tanque6,0)</f>
        <v>0</v>
      </c>
      <c r="L207" s="22">
        <f>IF(AND($A207&gt;CARGAS!$AG$29,$A207&lt;=CARGAS!$AG$30),tanque7,0)</f>
        <v>0</v>
      </c>
      <c r="M207" s="22">
        <f>IF(AND($A207&gt;CARGAS!$AJ$29,$A207&lt;=CARGAS!$AJ$30),tanque8,0)</f>
        <v>0</v>
      </c>
      <c r="N207" s="22">
        <f t="shared" si="24"/>
        <v>719.35060971428572</v>
      </c>
      <c r="O207" s="22">
        <f t="shared" si="25"/>
        <v>12.62763561295772</v>
      </c>
      <c r="P207" s="22">
        <f>O207*Equilibrio!Y$39*Equilibrio!Y$38*DADOS!C$4</f>
        <v>388.29979509844986</v>
      </c>
      <c r="Q207" s="22">
        <f t="shared" si="26"/>
        <v>331.05081461583586</v>
      </c>
      <c r="R207" s="22">
        <f t="shared" si="27"/>
        <v>8058.1202146030191</v>
      </c>
      <c r="S207" s="22">
        <f t="shared" si="28"/>
        <v>-1546554.7657561183</v>
      </c>
      <c r="T207" s="22">
        <f t="shared" si="29"/>
        <v>148186.22560114285</v>
      </c>
    </row>
    <row r="208" spans="1:20" x14ac:dyDescent="0.25">
      <c r="A208" s="21">
        <v>207</v>
      </c>
      <c r="B208" s="22">
        <f>CARGAS!$C$40*Equilibrio!A208^2+CARGAS!$D$40*Equilibrio!A208+CARGAS!$E$40</f>
        <v>126.81488718367343</v>
      </c>
      <c r="C208" s="22">
        <f>CARGAS!$C$53*Equilibrio!A208^2+CARGAS!$D$53*Equilibrio!A208+CARGAS!$E$53</f>
        <v>21.135814530612244</v>
      </c>
      <c r="D208">
        <f>IF(posisup=1,IF(A208&lt;=CARGAS!$E$68,sup,0),IF(posisup=2,IF(AND(A208&lt;=CARGAS!$E$69,A208&gt;=CARGAS!$D$69),sup,0),IF(posisup=3,IF(AND(A208&lt;=CARGAS!$E$70,A208&gt;=CARGAS!$D$70),sup,0),0)))</f>
        <v>0</v>
      </c>
      <c r="E208">
        <f>IF(A208&lt;=CARGAS!$H$25,CARGAS!$I$20,0)</f>
        <v>0</v>
      </c>
      <c r="F208" s="22">
        <f>IF(AND(A208&gt;CARGAS!$O$29,A208&lt;=CARGAS!$O$30),tanque1,0)</f>
        <v>0</v>
      </c>
      <c r="G208" s="22">
        <f>IF(AND(A208&gt;CARGAS!$R$29,A208&lt;=CARGAS!$R$30),tanque2,0)</f>
        <v>0</v>
      </c>
      <c r="H208" s="22">
        <f>IF(AND(A208&gt;CARGAS!$U$29,A208&lt;=CARGAS!$U$30),tanque3,0)</f>
        <v>0</v>
      </c>
      <c r="I208" s="22">
        <f>IF(AND(A208&gt;CARGAS!$X$29,A208&lt;=CARGAS!$X$30),tanque4,0)</f>
        <v>0</v>
      </c>
      <c r="J208" s="22">
        <f>IF(AND(A208&gt;CARGAS!$AA$29,A208&lt;=CARGAS!$AA$30),tanque5,0)</f>
        <v>571.20000000000005</v>
      </c>
      <c r="K208" s="22">
        <f>IF(AND($A208&gt;CARGAS!$AD$29,$A208&lt;=CARGAS!$AD$30),tanque6,0)</f>
        <v>0</v>
      </c>
      <c r="L208" s="22">
        <f>IF(AND($A208&gt;CARGAS!$AG$29,$A208&lt;=CARGAS!$AG$30),tanque7,0)</f>
        <v>0</v>
      </c>
      <c r="M208" s="22">
        <f>IF(AND($A208&gt;CARGAS!$AJ$29,$A208&lt;=CARGAS!$AJ$30),tanque8,0)</f>
        <v>0</v>
      </c>
      <c r="N208" s="22">
        <f t="shared" si="24"/>
        <v>719.15070171428579</v>
      </c>
      <c r="O208" s="22">
        <f t="shared" si="25"/>
        <v>12.719260428675264</v>
      </c>
      <c r="P208" s="22">
        <f>O208*Equilibrio!Y$39*Equilibrio!Y$38*DADOS!C$4</f>
        <v>391.11725818176433</v>
      </c>
      <c r="Q208" s="22">
        <f t="shared" si="26"/>
        <v>328.03344353252146</v>
      </c>
      <c r="R208" s="22">
        <f t="shared" si="27"/>
        <v>8386.1536581355413</v>
      </c>
      <c r="S208" s="22">
        <f t="shared" si="28"/>
        <v>-1538168.6120979828</v>
      </c>
      <c r="T208" s="22">
        <f t="shared" si="29"/>
        <v>148864.19525485716</v>
      </c>
    </row>
    <row r="209" spans="1:20" x14ac:dyDescent="0.25">
      <c r="A209" s="21">
        <v>208</v>
      </c>
      <c r="B209" s="22">
        <f>CARGAS!$C$40*Equilibrio!A209^2+CARGAS!$D$40*Equilibrio!A209+CARGAS!$E$40</f>
        <v>126.63809779591833</v>
      </c>
      <c r="C209" s="22">
        <f>CARGAS!$C$53*Equilibrio!A209^2+CARGAS!$D$53*Equilibrio!A209+CARGAS!$E$53</f>
        <v>21.10634963265306</v>
      </c>
      <c r="D209">
        <f>IF(posisup=1,IF(A209&lt;=CARGAS!$E$68,sup,0),IF(posisup=2,IF(AND(A209&lt;=CARGAS!$E$69,A209&gt;=CARGAS!$D$69),sup,0),IF(posisup=3,IF(AND(A209&lt;=CARGAS!$E$70,A209&gt;=CARGAS!$D$70),sup,0),0)))</f>
        <v>0</v>
      </c>
      <c r="E209">
        <f>IF(A209&lt;=CARGAS!$H$25,CARGAS!$I$20,0)</f>
        <v>0</v>
      </c>
      <c r="F209" s="22">
        <f>IF(AND(A209&gt;CARGAS!$O$29,A209&lt;=CARGAS!$O$30),tanque1,0)</f>
        <v>0</v>
      </c>
      <c r="G209" s="22">
        <f>IF(AND(A209&gt;CARGAS!$R$29,A209&lt;=CARGAS!$R$30),tanque2,0)</f>
        <v>0</v>
      </c>
      <c r="H209" s="22">
        <f>IF(AND(A209&gt;CARGAS!$U$29,A209&lt;=CARGAS!$U$30),tanque3,0)</f>
        <v>0</v>
      </c>
      <c r="I209" s="22">
        <f>IF(AND(A209&gt;CARGAS!$X$29,A209&lt;=CARGAS!$X$30),tanque4,0)</f>
        <v>0</v>
      </c>
      <c r="J209" s="22">
        <f>IF(AND(A209&gt;CARGAS!$AA$29,A209&lt;=CARGAS!$AA$30),tanque5,0)</f>
        <v>571.20000000000005</v>
      </c>
      <c r="K209" s="22">
        <f>IF(AND($A209&gt;CARGAS!$AD$29,$A209&lt;=CARGAS!$AD$30),tanque6,0)</f>
        <v>0</v>
      </c>
      <c r="L209" s="22">
        <f>IF(AND($A209&gt;CARGAS!$AG$29,$A209&lt;=CARGAS!$AG$30),tanque7,0)</f>
        <v>0</v>
      </c>
      <c r="M209" s="22">
        <f>IF(AND($A209&gt;CARGAS!$AJ$29,$A209&lt;=CARGAS!$AJ$30),tanque8,0)</f>
        <v>0</v>
      </c>
      <c r="N209" s="22">
        <f t="shared" si="24"/>
        <v>718.94444742857149</v>
      </c>
      <c r="O209" s="22">
        <f t="shared" si="25"/>
        <v>12.81325243196145</v>
      </c>
      <c r="P209" s="22">
        <f>O209*Equilibrio!Y$39*Equilibrio!Y$38*DADOS!C$4</f>
        <v>394.00751228281456</v>
      </c>
      <c r="Q209" s="22">
        <f t="shared" si="26"/>
        <v>324.93693514575693</v>
      </c>
      <c r="R209" s="22">
        <f t="shared" si="27"/>
        <v>8711.0905932812984</v>
      </c>
      <c r="S209" s="22">
        <f t="shared" si="28"/>
        <v>-1529457.5215047016</v>
      </c>
      <c r="T209" s="22">
        <f t="shared" si="29"/>
        <v>149540.44506514288</v>
      </c>
    </row>
    <row r="210" spans="1:20" x14ac:dyDescent="0.25">
      <c r="A210" s="21">
        <v>209</v>
      </c>
      <c r="B210" s="22">
        <f>CARGAS!$C$40*Equilibrio!A210^2+CARGAS!$D$40*Equilibrio!A210+CARGAS!$E$40</f>
        <v>126.45586873469384</v>
      </c>
      <c r="C210" s="22">
        <f>CARGAS!$C$53*Equilibrio!A210^2+CARGAS!$D$53*Equilibrio!A210+CARGAS!$E$53</f>
        <v>21.07597812244898</v>
      </c>
      <c r="D210">
        <f>IF(posisup=1,IF(A210&lt;=CARGAS!$E$68,sup,0),IF(posisup=2,IF(AND(A210&lt;=CARGAS!$E$69,A210&gt;=CARGAS!$D$69),sup,0),IF(posisup=3,IF(AND(A210&lt;=CARGAS!$E$70,A210&gt;=CARGAS!$D$70),sup,0),0)))</f>
        <v>0</v>
      </c>
      <c r="E210">
        <f>IF(A210&lt;=CARGAS!$H$25,CARGAS!$I$20,0)</f>
        <v>0</v>
      </c>
      <c r="F210" s="22">
        <f>IF(AND(A210&gt;CARGAS!$O$29,A210&lt;=CARGAS!$O$30),tanque1,0)</f>
        <v>0</v>
      </c>
      <c r="G210" s="22">
        <f>IF(AND(A210&gt;CARGAS!$R$29,A210&lt;=CARGAS!$R$30),tanque2,0)</f>
        <v>0</v>
      </c>
      <c r="H210" s="22">
        <f>IF(AND(A210&gt;CARGAS!$U$29,A210&lt;=CARGAS!$U$30),tanque3,0)</f>
        <v>0</v>
      </c>
      <c r="I210" s="22">
        <f>IF(AND(A210&gt;CARGAS!$X$29,A210&lt;=CARGAS!$X$30),tanque4,0)</f>
        <v>0</v>
      </c>
      <c r="J210" s="22">
        <f>IF(AND(A210&gt;CARGAS!$AA$29,A210&lt;=CARGAS!$AA$30),tanque5,0)</f>
        <v>571.20000000000005</v>
      </c>
      <c r="K210" s="22">
        <f>IF(AND($A210&gt;CARGAS!$AD$29,$A210&lt;=CARGAS!$AD$30),tanque6,0)</f>
        <v>0</v>
      </c>
      <c r="L210" s="22">
        <f>IF(AND($A210&gt;CARGAS!$AG$29,$A210&lt;=CARGAS!$AG$30),tanque7,0)</f>
        <v>0</v>
      </c>
      <c r="M210" s="22">
        <f>IF(AND($A210&gt;CARGAS!$AJ$29,$A210&lt;=CARGAS!$AJ$30),tanque8,0)</f>
        <v>0</v>
      </c>
      <c r="N210" s="22">
        <f t="shared" si="24"/>
        <v>718.73184685714284</v>
      </c>
      <c r="O210" s="22">
        <f t="shared" si="25"/>
        <v>12.909583736161347</v>
      </c>
      <c r="P210" s="22">
        <f>O210*Equilibrio!Y$39*Equilibrio!Y$38*DADOS!C$4</f>
        <v>396.96969988696134</v>
      </c>
      <c r="Q210" s="22">
        <f t="shared" si="26"/>
        <v>321.7621469701815</v>
      </c>
      <c r="R210" s="22">
        <f t="shared" si="27"/>
        <v>9032.8527402514792</v>
      </c>
      <c r="S210" s="22">
        <f t="shared" si="28"/>
        <v>-1520424.6687644501</v>
      </c>
      <c r="T210" s="22">
        <f t="shared" si="29"/>
        <v>150214.95599314285</v>
      </c>
    </row>
    <row r="211" spans="1:20" x14ac:dyDescent="0.25">
      <c r="A211" s="21">
        <v>210</v>
      </c>
      <c r="B211" s="22">
        <f>CARGAS!$C$40*Equilibrio!A211^2+CARGAS!$D$40*Equilibrio!A211+CARGAS!$E$40</f>
        <v>126.26819999999995</v>
      </c>
      <c r="C211" s="22">
        <f>CARGAS!$C$53*Equilibrio!A211^2+CARGAS!$D$53*Equilibrio!A211+CARGAS!$E$53</f>
        <v>21.044699999999995</v>
      </c>
      <c r="D211">
        <f>IF(posisup=1,IF(A211&lt;=CARGAS!$E$68,sup,0),IF(posisup=2,IF(AND(A211&lt;=CARGAS!$E$69,A211&gt;=CARGAS!$D$69),sup,0),IF(posisup=3,IF(AND(A211&lt;=CARGAS!$E$70,A211&gt;=CARGAS!$D$70),sup,0),0)))</f>
        <v>0</v>
      </c>
      <c r="E211">
        <f>IF(A211&lt;=CARGAS!$H$25,CARGAS!$I$20,0)</f>
        <v>0</v>
      </c>
      <c r="F211" s="22">
        <f>IF(AND(A211&gt;CARGAS!$O$29,A211&lt;=CARGAS!$O$30),tanque1,0)</f>
        <v>0</v>
      </c>
      <c r="G211" s="22">
        <f>IF(AND(A211&gt;CARGAS!$R$29,A211&lt;=CARGAS!$R$30),tanque2,0)</f>
        <v>0</v>
      </c>
      <c r="H211" s="22">
        <f>IF(AND(A211&gt;CARGAS!$U$29,A211&lt;=CARGAS!$U$30),tanque3,0)</f>
        <v>0</v>
      </c>
      <c r="I211" s="22">
        <f>IF(AND(A211&gt;CARGAS!$X$29,A211&lt;=CARGAS!$X$30),tanque4,0)</f>
        <v>0</v>
      </c>
      <c r="J211" s="22">
        <f>IF(AND(A211&gt;CARGAS!$AA$29,A211&lt;=CARGAS!$AA$30),tanque5,0)</f>
        <v>571.20000000000005</v>
      </c>
      <c r="K211" s="22">
        <f>IF(AND($A211&gt;CARGAS!$AD$29,$A211&lt;=CARGAS!$AD$30),tanque6,0)</f>
        <v>0</v>
      </c>
      <c r="L211" s="22">
        <f>IF(AND($A211&gt;CARGAS!$AG$29,$A211&lt;=CARGAS!$AG$30),tanque7,0)</f>
        <v>0</v>
      </c>
      <c r="M211" s="22">
        <f>IF(AND($A211&gt;CARGAS!$AJ$29,$A211&lt;=CARGAS!$AJ$30),tanque8,0)</f>
        <v>0</v>
      </c>
      <c r="N211" s="22">
        <f t="shared" si="24"/>
        <v>718.51289999999995</v>
      </c>
      <c r="O211" s="22">
        <f t="shared" si="25"/>
        <v>13.008225700747237</v>
      </c>
      <c r="P211" s="22">
        <f>O211*Equilibrio!Y$39*Equilibrio!Y$38*DADOS!C$4</f>
        <v>400.00294029797755</v>
      </c>
      <c r="Q211" s="22">
        <f t="shared" si="26"/>
        <v>318.5099597020224</v>
      </c>
      <c r="R211" s="22">
        <f t="shared" si="27"/>
        <v>9351.3626999535009</v>
      </c>
      <c r="S211" s="22">
        <f t="shared" si="28"/>
        <v>-1511073.3060644965</v>
      </c>
      <c r="T211" s="22">
        <f t="shared" si="29"/>
        <v>150887.709</v>
      </c>
    </row>
    <row r="212" spans="1:20" x14ac:dyDescent="0.25">
      <c r="A212" s="21">
        <v>211</v>
      </c>
      <c r="B212" s="22">
        <f>CARGAS!$C$40*Equilibrio!A212^2+CARGAS!$D$40*Equilibrio!A212+CARGAS!$E$40</f>
        <v>126.07509159183671</v>
      </c>
      <c r="C212" s="22">
        <f>CARGAS!$C$53*Equilibrio!A212^2+CARGAS!$D$53*Equilibrio!A212+CARGAS!$E$53</f>
        <v>21.012515265306121</v>
      </c>
      <c r="D212">
        <f>IF(posisup=1,IF(A212&lt;=CARGAS!$E$68,sup,0),IF(posisup=2,IF(AND(A212&lt;=CARGAS!$E$69,A212&gt;=CARGAS!$D$69),sup,0),IF(posisup=3,IF(AND(A212&lt;=CARGAS!$E$70,A212&gt;=CARGAS!$D$70),sup,0),0)))</f>
        <v>0</v>
      </c>
      <c r="E212">
        <f>IF(A212&lt;=CARGAS!$H$25,CARGAS!$I$20,0)</f>
        <v>0</v>
      </c>
      <c r="F212" s="22">
        <f>IF(AND(A212&gt;CARGAS!$O$29,A212&lt;=CARGAS!$O$30),tanque1,0)</f>
        <v>0</v>
      </c>
      <c r="G212" s="22">
        <f>IF(AND(A212&gt;CARGAS!$R$29,A212&lt;=CARGAS!$R$30),tanque2,0)</f>
        <v>0</v>
      </c>
      <c r="H212" s="22">
        <f>IF(AND(A212&gt;CARGAS!$U$29,A212&lt;=CARGAS!$U$30),tanque3,0)</f>
        <v>0</v>
      </c>
      <c r="I212" s="22">
        <f>IF(AND(A212&gt;CARGAS!$X$29,A212&lt;=CARGAS!$X$30),tanque4,0)</f>
        <v>0</v>
      </c>
      <c r="J212" s="22">
        <f>IF(AND(A212&gt;CARGAS!$AA$29,A212&lt;=CARGAS!$AA$30),tanque5,0)</f>
        <v>571.20000000000005</v>
      </c>
      <c r="K212" s="22">
        <f>IF(AND($A212&gt;CARGAS!$AD$29,$A212&lt;=CARGAS!$AD$30),tanque6,0)</f>
        <v>0</v>
      </c>
      <c r="L212" s="22">
        <f>IF(AND($A212&gt;CARGAS!$AG$29,$A212&lt;=CARGAS!$AG$30),tanque7,0)</f>
        <v>0</v>
      </c>
      <c r="M212" s="22">
        <f>IF(AND($A212&gt;CARGAS!$AJ$29,$A212&lt;=CARGAS!$AJ$30),tanque8,0)</f>
        <v>0</v>
      </c>
      <c r="N212" s="22">
        <f t="shared" si="24"/>
        <v>718.28760685714292</v>
      </c>
      <c r="O212" s="22">
        <f t="shared" si="25"/>
        <v>13.109148940548417</v>
      </c>
      <c r="P212" s="22">
        <f>O212*Equilibrio!Y$39*Equilibrio!Y$38*DADOS!C$4</f>
        <v>403.10632992186379</v>
      </c>
      <c r="Q212" s="22">
        <f t="shared" si="26"/>
        <v>315.18127693527913</v>
      </c>
      <c r="R212" s="22">
        <f t="shared" si="27"/>
        <v>9666.5439768887809</v>
      </c>
      <c r="S212" s="22">
        <f t="shared" si="28"/>
        <v>-1501406.7620876078</v>
      </c>
      <c r="T212" s="22">
        <f t="shared" si="29"/>
        <v>151558.68504685716</v>
      </c>
    </row>
    <row r="213" spans="1:20" x14ac:dyDescent="0.25">
      <c r="A213" s="21">
        <v>212</v>
      </c>
      <c r="B213" s="22">
        <f>CARGAS!$C$40*Equilibrio!A213^2+CARGAS!$D$40*Equilibrio!A213+CARGAS!$E$40</f>
        <v>125.87654351020406</v>
      </c>
      <c r="C213" s="22">
        <f>CARGAS!$C$53*Equilibrio!A213^2+CARGAS!$D$53*Equilibrio!A213+CARGAS!$E$53</f>
        <v>20.979423918367345</v>
      </c>
      <c r="D213">
        <f>IF(posisup=1,IF(A213&lt;=CARGAS!$E$68,sup,0),IF(posisup=2,IF(AND(A213&lt;=CARGAS!$E$69,A213&gt;=CARGAS!$D$69),sup,0),IF(posisup=3,IF(AND(A213&lt;=CARGAS!$E$70,A213&gt;=CARGAS!$D$70),sup,0),0)))</f>
        <v>0</v>
      </c>
      <c r="E213">
        <f>IF(A213&lt;=CARGAS!$H$25,CARGAS!$I$20,0)</f>
        <v>0</v>
      </c>
      <c r="F213" s="22">
        <f>IF(AND(A213&gt;CARGAS!$O$29,A213&lt;=CARGAS!$O$30),tanque1,0)</f>
        <v>0</v>
      </c>
      <c r="G213" s="22">
        <f>IF(AND(A213&gt;CARGAS!$R$29,A213&lt;=CARGAS!$R$30),tanque2,0)</f>
        <v>0</v>
      </c>
      <c r="H213" s="22">
        <f>IF(AND(A213&gt;CARGAS!$U$29,A213&lt;=CARGAS!$U$30),tanque3,0)</f>
        <v>0</v>
      </c>
      <c r="I213" s="22">
        <f>IF(AND(A213&gt;CARGAS!$X$29,A213&lt;=CARGAS!$X$30),tanque4,0)</f>
        <v>0</v>
      </c>
      <c r="J213" s="22">
        <f>IF(AND(A213&gt;CARGAS!$AA$29,A213&lt;=CARGAS!$AA$30),tanque5,0)</f>
        <v>571.20000000000005</v>
      </c>
      <c r="K213" s="22">
        <f>IF(AND($A213&gt;CARGAS!$AD$29,$A213&lt;=CARGAS!$AD$30),tanque6,0)</f>
        <v>0</v>
      </c>
      <c r="L213" s="22">
        <f>IF(AND($A213&gt;CARGAS!$AG$29,$A213&lt;=CARGAS!$AG$30),tanque7,0)</f>
        <v>0</v>
      </c>
      <c r="M213" s="22">
        <f>IF(AND($A213&gt;CARGAS!$AJ$29,$A213&lt;=CARGAS!$AJ$30),tanque8,0)</f>
        <v>0</v>
      </c>
      <c r="N213" s="22">
        <f t="shared" si="24"/>
        <v>718.05596742857142</v>
      </c>
      <c r="O213" s="22">
        <f t="shared" si="25"/>
        <v>13.212323335220979</v>
      </c>
      <c r="P213" s="22">
        <f>O213*Equilibrio!Y$39*Equilibrio!Y$38*DADOS!C$4</f>
        <v>406.27894255804506</v>
      </c>
      <c r="Q213" s="22">
        <f t="shared" si="26"/>
        <v>311.77702487052636</v>
      </c>
      <c r="R213" s="22">
        <f t="shared" si="27"/>
        <v>9978.3210017593065</v>
      </c>
      <c r="S213" s="22">
        <f t="shared" si="28"/>
        <v>-1491428.4410858485</v>
      </c>
      <c r="T213" s="22">
        <f t="shared" si="29"/>
        <v>152227.86509485714</v>
      </c>
    </row>
    <row r="214" spans="1:20" x14ac:dyDescent="0.25">
      <c r="A214" s="21">
        <v>213</v>
      </c>
      <c r="B214" s="22">
        <f>CARGAS!$C$40*Equilibrio!A214^2+CARGAS!$D$40*Equilibrio!A214+CARGAS!$E$40</f>
        <v>125.67255575510201</v>
      </c>
      <c r="C214" s="22">
        <f>CARGAS!$C$53*Equilibrio!A214^2+CARGAS!$D$53*Equilibrio!A214+CARGAS!$E$53</f>
        <v>20.945425959183673</v>
      </c>
      <c r="D214">
        <f>IF(posisup=1,IF(A214&lt;=CARGAS!$E$68,sup,0),IF(posisup=2,IF(AND(A214&lt;=CARGAS!$E$69,A214&gt;=CARGAS!$D$69),sup,0),IF(posisup=3,IF(AND(A214&lt;=CARGAS!$E$70,A214&gt;=CARGAS!$D$70),sup,0),0)))</f>
        <v>0</v>
      </c>
      <c r="E214">
        <f>IF(A214&lt;=CARGAS!$H$25,CARGAS!$I$20,0)</f>
        <v>0</v>
      </c>
      <c r="F214" s="22">
        <f>IF(AND(A214&gt;CARGAS!$O$29,A214&lt;=CARGAS!$O$30),tanque1,0)</f>
        <v>0</v>
      </c>
      <c r="G214" s="22">
        <f>IF(AND(A214&gt;CARGAS!$R$29,A214&lt;=CARGAS!$R$30),tanque2,0)</f>
        <v>0</v>
      </c>
      <c r="H214" s="22">
        <f>IF(AND(A214&gt;CARGAS!$U$29,A214&lt;=CARGAS!$U$30),tanque3,0)</f>
        <v>0</v>
      </c>
      <c r="I214" s="22">
        <f>IF(AND(A214&gt;CARGAS!$X$29,A214&lt;=CARGAS!$X$30),tanque4,0)</f>
        <v>0</v>
      </c>
      <c r="J214" s="22">
        <f>IF(AND(A214&gt;CARGAS!$AA$29,A214&lt;=CARGAS!$AA$30),tanque5,0)</f>
        <v>571.20000000000005</v>
      </c>
      <c r="K214" s="22">
        <f>IF(AND($A214&gt;CARGAS!$AD$29,$A214&lt;=CARGAS!$AD$30),tanque6,0)</f>
        <v>0</v>
      </c>
      <c r="L214" s="22">
        <f>IF(AND($A214&gt;CARGAS!$AG$29,$A214&lt;=CARGAS!$AG$30),tanque7,0)</f>
        <v>0</v>
      </c>
      <c r="M214" s="22">
        <f>IF(AND($A214&gt;CARGAS!$AJ$29,$A214&lt;=CARGAS!$AJ$30),tanque8,0)</f>
        <v>0</v>
      </c>
      <c r="N214" s="22">
        <f t="shared" si="24"/>
        <v>717.81798171428568</v>
      </c>
      <c r="O214" s="22">
        <f t="shared" si="25"/>
        <v>13.317718038954521</v>
      </c>
      <c r="P214" s="22">
        <f>O214*Equilibrio!Y$39*Equilibrio!Y$38*DADOS!C$4</f>
        <v>409.51982969785149</v>
      </c>
      <c r="Q214" s="22">
        <f t="shared" si="26"/>
        <v>308.29815201643419</v>
      </c>
      <c r="R214" s="22">
        <f t="shared" si="27"/>
        <v>10286.61915377574</v>
      </c>
      <c r="S214" s="22">
        <f t="shared" si="28"/>
        <v>-1481141.8219320728</v>
      </c>
      <c r="T214" s="22">
        <f t="shared" si="29"/>
        <v>152895.23010514284</v>
      </c>
    </row>
    <row r="215" spans="1:20" x14ac:dyDescent="0.25">
      <c r="A215" s="21">
        <v>214</v>
      </c>
      <c r="B215" s="22">
        <f>CARGAS!$C$40*Equilibrio!A215^2+CARGAS!$D$40*Equilibrio!A215+CARGAS!$E$40</f>
        <v>125.46312832653058</v>
      </c>
      <c r="C215" s="22">
        <f>CARGAS!$C$53*Equilibrio!A215^2+CARGAS!$D$53*Equilibrio!A215+CARGAS!$E$53</f>
        <v>20.910521387755097</v>
      </c>
      <c r="D215">
        <f>IF(posisup=1,IF(A215&lt;=CARGAS!$E$68,sup,0),IF(posisup=2,IF(AND(A215&lt;=CARGAS!$E$69,A215&gt;=CARGAS!$D$69),sup,0),IF(posisup=3,IF(AND(A215&lt;=CARGAS!$E$70,A215&gt;=CARGAS!$D$70),sup,0),0)))</f>
        <v>0</v>
      </c>
      <c r="E215">
        <f>IF(A215&lt;=CARGAS!$H$25,CARGAS!$I$20,0)</f>
        <v>0</v>
      </c>
      <c r="F215" s="22">
        <f>IF(AND(A215&gt;CARGAS!$O$29,A215&lt;=CARGAS!$O$30),tanque1,0)</f>
        <v>0</v>
      </c>
      <c r="G215" s="22">
        <f>IF(AND(A215&gt;CARGAS!$R$29,A215&lt;=CARGAS!$R$30),tanque2,0)</f>
        <v>0</v>
      </c>
      <c r="H215" s="22">
        <f>IF(AND(A215&gt;CARGAS!$U$29,A215&lt;=CARGAS!$U$30),tanque3,0)</f>
        <v>0</v>
      </c>
      <c r="I215" s="22">
        <f>IF(AND(A215&gt;CARGAS!$X$29,A215&lt;=CARGAS!$X$30),tanque4,0)</f>
        <v>0</v>
      </c>
      <c r="J215" s="22">
        <f>IF(AND(A215&gt;CARGAS!$AA$29,A215&lt;=CARGAS!$AA$30),tanque5,0)</f>
        <v>571.20000000000005</v>
      </c>
      <c r="K215" s="22">
        <f>IF(AND($A215&gt;CARGAS!$AD$29,$A215&lt;=CARGAS!$AD$30),tanque6,0)</f>
        <v>0</v>
      </c>
      <c r="L215" s="22">
        <f>IF(AND($A215&gt;CARGAS!$AG$29,$A215&lt;=CARGAS!$AG$30),tanque7,0)</f>
        <v>0</v>
      </c>
      <c r="M215" s="22">
        <f>IF(AND($A215&gt;CARGAS!$AJ$29,$A215&lt;=CARGAS!$AJ$30),tanque8,0)</f>
        <v>0</v>
      </c>
      <c r="N215" s="22">
        <f t="shared" si="24"/>
        <v>717.57364971428569</v>
      </c>
      <c r="O215" s="22">
        <f t="shared" si="25"/>
        <v>13.425301490412654</v>
      </c>
      <c r="P215" s="22">
        <f>O215*Equilibrio!Y$39*Equilibrio!Y$38*DADOS!C$4</f>
        <v>412.82802083018908</v>
      </c>
      <c r="Q215" s="22">
        <f t="shared" si="26"/>
        <v>304.74562888409662</v>
      </c>
      <c r="R215" s="22">
        <f t="shared" si="27"/>
        <v>10591.364782659837</v>
      </c>
      <c r="S215" s="22">
        <f t="shared" si="28"/>
        <v>-1470550.4571494129</v>
      </c>
      <c r="T215" s="22">
        <f t="shared" si="29"/>
        <v>153560.76103885713</v>
      </c>
    </row>
    <row r="216" spans="1:20" x14ac:dyDescent="0.25">
      <c r="A216" s="21">
        <v>215</v>
      </c>
      <c r="B216" s="22">
        <f>CARGAS!$C$40*Equilibrio!A216^2+CARGAS!$D$40*Equilibrio!A216+CARGAS!$E$40</f>
        <v>125.24826122448977</v>
      </c>
      <c r="C216" s="22">
        <f>CARGAS!$C$53*Equilibrio!A216^2+CARGAS!$D$53*Equilibrio!A216+CARGAS!$E$53</f>
        <v>20.87471020408163</v>
      </c>
      <c r="D216">
        <f>IF(posisup=1,IF(A216&lt;=CARGAS!$E$68,sup,0),IF(posisup=2,IF(AND(A216&lt;=CARGAS!$E$69,A216&gt;=CARGAS!$D$69),sup,0),IF(posisup=3,IF(AND(A216&lt;=CARGAS!$E$70,A216&gt;=CARGAS!$D$70),sup,0),0)))</f>
        <v>0</v>
      </c>
      <c r="E216">
        <f>IF(A216&lt;=CARGAS!$H$25,CARGAS!$I$20,0)</f>
        <v>0</v>
      </c>
      <c r="F216" s="22">
        <f>IF(AND(A216&gt;CARGAS!$O$29,A216&lt;=CARGAS!$O$30),tanque1,0)</f>
        <v>0</v>
      </c>
      <c r="G216" s="22">
        <f>IF(AND(A216&gt;CARGAS!$R$29,A216&lt;=CARGAS!$R$30),tanque2,0)</f>
        <v>0</v>
      </c>
      <c r="H216" s="22">
        <f>IF(AND(A216&gt;CARGAS!$U$29,A216&lt;=CARGAS!$U$30),tanque3,0)</f>
        <v>0</v>
      </c>
      <c r="I216" s="22">
        <f>IF(AND(A216&gt;CARGAS!$X$29,A216&lt;=CARGAS!$X$30),tanque4,0)</f>
        <v>0</v>
      </c>
      <c r="J216" s="22">
        <f>IF(AND(A216&gt;CARGAS!$AA$29,A216&lt;=CARGAS!$AA$30),tanque5,0)</f>
        <v>571.20000000000005</v>
      </c>
      <c r="K216" s="22">
        <f>IF(AND($A216&gt;CARGAS!$AD$29,$A216&lt;=CARGAS!$AD$30),tanque6,0)</f>
        <v>0</v>
      </c>
      <c r="L216" s="22">
        <f>IF(AND($A216&gt;CARGAS!$AG$29,$A216&lt;=CARGAS!$AG$30),tanque7,0)</f>
        <v>0</v>
      </c>
      <c r="M216" s="22">
        <f>IF(AND($A216&gt;CARGAS!$AJ$29,$A216&lt;=CARGAS!$AJ$30),tanque8,0)</f>
        <v>0</v>
      </c>
      <c r="N216" s="22">
        <f t="shared" si="24"/>
        <v>717.32297142857146</v>
      </c>
      <c r="O216" s="22">
        <f t="shared" si="25"/>
        <v>13.535041422904072</v>
      </c>
      <c r="P216" s="22">
        <f>O216*Equilibrio!Y$39*Equilibrio!Y$38*DADOS!C$4</f>
        <v>416.20252375430022</v>
      </c>
      <c r="Q216" s="22">
        <f t="shared" si="26"/>
        <v>301.12044767427125</v>
      </c>
      <c r="R216" s="22">
        <f t="shared" si="27"/>
        <v>10892.485230334109</v>
      </c>
      <c r="S216" s="22">
        <f t="shared" si="28"/>
        <v>-1459657.9719190788</v>
      </c>
      <c r="T216" s="22">
        <f t="shared" si="29"/>
        <v>154224.43885714287</v>
      </c>
    </row>
    <row r="217" spans="1:20" x14ac:dyDescent="0.25">
      <c r="A217" s="21">
        <v>216</v>
      </c>
      <c r="B217" s="22">
        <f>CARGAS!$C$40*Equilibrio!A217^2+CARGAS!$D$40*Equilibrio!A217+CARGAS!$E$40</f>
        <v>125.02795444897956</v>
      </c>
      <c r="C217" s="22">
        <f>CARGAS!$C$53*Equilibrio!A217^2+CARGAS!$D$53*Equilibrio!A217+CARGAS!$E$53</f>
        <v>20.837992408163263</v>
      </c>
      <c r="D217">
        <f>IF(posisup=1,IF(A217&lt;=CARGAS!$E$68,sup,0),IF(posisup=2,IF(AND(A217&lt;=CARGAS!$E$69,A217&gt;=CARGAS!$D$69),sup,0),IF(posisup=3,IF(AND(A217&lt;=CARGAS!$E$70,A217&gt;=CARGAS!$D$70),sup,0),0)))</f>
        <v>0</v>
      </c>
      <c r="E217">
        <f>IF(A217&lt;=CARGAS!$H$25,CARGAS!$I$20,0)</f>
        <v>0</v>
      </c>
      <c r="F217" s="22">
        <f>IF(AND(A217&gt;CARGAS!$O$29,A217&lt;=CARGAS!$O$30),tanque1,0)</f>
        <v>0</v>
      </c>
      <c r="G217" s="22">
        <f>IF(AND(A217&gt;CARGAS!$R$29,A217&lt;=CARGAS!$R$30),tanque2,0)</f>
        <v>0</v>
      </c>
      <c r="H217" s="22">
        <f>IF(AND(A217&gt;CARGAS!$U$29,A217&lt;=CARGAS!$U$30),tanque3,0)</f>
        <v>0</v>
      </c>
      <c r="I217" s="22">
        <f>IF(AND(A217&gt;CARGAS!$X$29,A217&lt;=CARGAS!$X$30),tanque4,0)</f>
        <v>0</v>
      </c>
      <c r="J217" s="22">
        <f>IF(AND(A217&gt;CARGAS!$AA$29,A217&lt;=CARGAS!$AA$30),tanque5,0)</f>
        <v>571.20000000000005</v>
      </c>
      <c r="K217" s="22">
        <f>IF(AND($A217&gt;CARGAS!$AD$29,$A217&lt;=CARGAS!$AD$30),tanque6,0)</f>
        <v>0</v>
      </c>
      <c r="L217" s="22">
        <f>IF(AND($A217&gt;CARGAS!$AG$29,$A217&lt;=CARGAS!$AG$30),tanque7,0)</f>
        <v>0</v>
      </c>
      <c r="M217" s="22">
        <f>IF(AND($A217&gt;CARGAS!$AJ$29,$A217&lt;=CARGAS!$AJ$30),tanque8,0)</f>
        <v>0</v>
      </c>
      <c r="N217" s="22">
        <f t="shared" si="24"/>
        <v>717.06594685714288</v>
      </c>
      <c r="O217" s="22">
        <f t="shared" si="25"/>
        <v>13.646904874780963</v>
      </c>
      <c r="P217" s="22">
        <f>O217*Equilibrio!Y$39*Equilibrio!Y$38*DADOS!C$4</f>
        <v>419.64232489951462</v>
      </c>
      <c r="Q217" s="22">
        <f t="shared" si="26"/>
        <v>297.42362195762826</v>
      </c>
      <c r="R217" s="22">
        <f t="shared" si="27"/>
        <v>11189.908852291737</v>
      </c>
      <c r="S217" s="22">
        <f t="shared" si="28"/>
        <v>-1448468.0630667871</v>
      </c>
      <c r="T217" s="22">
        <f t="shared" si="29"/>
        <v>154886.24452114286</v>
      </c>
    </row>
    <row r="218" spans="1:20" x14ac:dyDescent="0.25">
      <c r="A218" s="21">
        <v>217</v>
      </c>
      <c r="B218" s="22">
        <f>CARGAS!$C$40*Equilibrio!A218^2+CARGAS!$D$40*Equilibrio!A218+CARGAS!$E$40</f>
        <v>124.80220799999995</v>
      </c>
      <c r="C218" s="22">
        <f>CARGAS!$C$53*Equilibrio!A218^2+CARGAS!$D$53*Equilibrio!A218+CARGAS!$E$53</f>
        <v>20.800368000000002</v>
      </c>
      <c r="D218">
        <f>IF(posisup=1,IF(A218&lt;=CARGAS!$E$68,sup,0),IF(posisup=2,IF(AND(A218&lt;=CARGAS!$E$69,A218&gt;=CARGAS!$D$69),sup,0),IF(posisup=3,IF(AND(A218&lt;=CARGAS!$E$70,A218&gt;=CARGAS!$D$70),sup,0),0)))</f>
        <v>0</v>
      </c>
      <c r="E218">
        <f>IF(A218&lt;=CARGAS!$H$25,CARGAS!$I$20,0)</f>
        <v>0</v>
      </c>
      <c r="F218" s="22">
        <f>IF(AND(A218&gt;CARGAS!$O$29,A218&lt;=CARGAS!$O$30),tanque1,0)</f>
        <v>0</v>
      </c>
      <c r="G218" s="22">
        <f>IF(AND(A218&gt;CARGAS!$R$29,A218&lt;=CARGAS!$R$30),tanque2,0)</f>
        <v>0</v>
      </c>
      <c r="H218" s="22">
        <f>IF(AND(A218&gt;CARGAS!$U$29,A218&lt;=CARGAS!$U$30),tanque3,0)</f>
        <v>0</v>
      </c>
      <c r="I218" s="22">
        <f>IF(AND(A218&gt;CARGAS!$X$29,A218&lt;=CARGAS!$X$30),tanque4,0)</f>
        <v>0</v>
      </c>
      <c r="J218" s="22">
        <f>IF(AND(A218&gt;CARGAS!$AA$29,A218&lt;=CARGAS!$AA$30),tanque5,0)</f>
        <v>571.20000000000005</v>
      </c>
      <c r="K218" s="22">
        <f>IF(AND($A218&gt;CARGAS!$AD$29,$A218&lt;=CARGAS!$AD$30),tanque6,0)</f>
        <v>0</v>
      </c>
      <c r="L218" s="22">
        <f>IF(AND($A218&gt;CARGAS!$AG$29,$A218&lt;=CARGAS!$AG$30),tanque7,0)</f>
        <v>0</v>
      </c>
      <c r="M218" s="22">
        <f>IF(AND($A218&gt;CARGAS!$AJ$29,$A218&lt;=CARGAS!$AJ$30),tanque8,0)</f>
        <v>0</v>
      </c>
      <c r="N218" s="22">
        <f t="shared" si="24"/>
        <v>716.80257600000004</v>
      </c>
      <c r="O218" s="22">
        <f t="shared" si="25"/>
        <v>13.760858200061373</v>
      </c>
      <c r="P218" s="22">
        <f>O218*Equilibrio!Y$39*Equilibrio!Y$38*DADOS!C$4</f>
        <v>423.14638965188715</v>
      </c>
      <c r="Q218" s="22">
        <f t="shared" si="26"/>
        <v>293.6561863481129</v>
      </c>
      <c r="R218" s="22">
        <f t="shared" si="27"/>
        <v>11483.56503863985</v>
      </c>
      <c r="S218" s="22">
        <f t="shared" si="28"/>
        <v>-1436984.4980281473</v>
      </c>
      <c r="T218" s="22">
        <f t="shared" si="29"/>
        <v>155546.15899200001</v>
      </c>
    </row>
    <row r="219" spans="1:20" x14ac:dyDescent="0.25">
      <c r="A219" s="21">
        <v>218</v>
      </c>
      <c r="B219" s="22">
        <f>CARGAS!$C$40*Equilibrio!A219^2+CARGAS!$D$40*Equilibrio!A219+CARGAS!$E$40</f>
        <v>124.57102187755098</v>
      </c>
      <c r="C219" s="22">
        <f>CARGAS!$C$53*Equilibrio!A219^2+CARGAS!$D$53*Equilibrio!A219+CARGAS!$E$53</f>
        <v>20.761836979591834</v>
      </c>
      <c r="D219">
        <f>IF(posisup=1,IF(A219&lt;=CARGAS!$E$68,sup,0),IF(posisup=2,IF(AND(A219&lt;=CARGAS!$E$69,A219&gt;=CARGAS!$D$69),sup,0),IF(posisup=3,IF(AND(A219&lt;=CARGAS!$E$70,A219&gt;=CARGAS!$D$70),sup,0),0)))</f>
        <v>0</v>
      </c>
      <c r="E219">
        <f>IF(A219&lt;=CARGAS!$H$25,CARGAS!$I$20,0)</f>
        <v>0</v>
      </c>
      <c r="F219" s="22">
        <f>IF(AND(A219&gt;CARGAS!$O$29,A219&lt;=CARGAS!$O$30),tanque1,0)</f>
        <v>0</v>
      </c>
      <c r="G219" s="22">
        <f>IF(AND(A219&gt;CARGAS!$R$29,A219&lt;=CARGAS!$R$30),tanque2,0)</f>
        <v>0</v>
      </c>
      <c r="H219" s="22">
        <f>IF(AND(A219&gt;CARGAS!$U$29,A219&lt;=CARGAS!$U$30),tanque3,0)</f>
        <v>0</v>
      </c>
      <c r="I219" s="22">
        <f>IF(AND(A219&gt;CARGAS!$X$29,A219&lt;=CARGAS!$X$30),tanque4,0)</f>
        <v>0</v>
      </c>
      <c r="J219" s="22">
        <f>IF(AND(A219&gt;CARGAS!$AA$29,A219&lt;=CARGAS!$AA$30),tanque5,0)</f>
        <v>571.20000000000005</v>
      </c>
      <c r="K219" s="22">
        <f>IF(AND($A219&gt;CARGAS!$AD$29,$A219&lt;=CARGAS!$AD$30),tanque6,0)</f>
        <v>0</v>
      </c>
      <c r="L219" s="22">
        <f>IF(AND($A219&gt;CARGAS!$AG$29,$A219&lt;=CARGAS!$AG$30),tanque7,0)</f>
        <v>0</v>
      </c>
      <c r="M219" s="22">
        <f>IF(AND($A219&gt;CARGAS!$AJ$29,$A219&lt;=CARGAS!$AJ$30),tanque8,0)</f>
        <v>0</v>
      </c>
      <c r="N219" s="22">
        <f t="shared" si="24"/>
        <v>716.53285885714286</v>
      </c>
      <c r="O219" s="22">
        <f t="shared" si="25"/>
        <v>13.876867079272069</v>
      </c>
      <c r="P219" s="22">
        <f>O219*Equilibrio!Y$39*Equilibrio!Y$38*DADOS!C$4</f>
        <v>426.71366268761608</v>
      </c>
      <c r="Q219" s="22">
        <f t="shared" si="26"/>
        <v>289.81919616952678</v>
      </c>
      <c r="R219" s="22">
        <f t="shared" si="27"/>
        <v>11773.384234809377</v>
      </c>
      <c r="S219" s="22">
        <f t="shared" si="28"/>
        <v>-1425211.113793338</v>
      </c>
      <c r="T219" s="22">
        <f t="shared" si="29"/>
        <v>156204.16323085714</v>
      </c>
    </row>
    <row r="220" spans="1:20" x14ac:dyDescent="0.25">
      <c r="A220" s="21">
        <v>219</v>
      </c>
      <c r="B220" s="22">
        <f>CARGAS!$C$40*Equilibrio!A220^2+CARGAS!$D$40*Equilibrio!A220+CARGAS!$E$40</f>
        <v>124.33439608163263</v>
      </c>
      <c r="C220" s="22">
        <f>CARGAS!$C$53*Equilibrio!A220^2+CARGAS!$D$53*Equilibrio!A220+CARGAS!$E$53</f>
        <v>20.722399346938772</v>
      </c>
      <c r="D220">
        <f>IF(posisup=1,IF(A220&lt;=CARGAS!$E$68,sup,0),IF(posisup=2,IF(AND(A220&lt;=CARGAS!$E$69,A220&gt;=CARGAS!$D$69),sup,0),IF(posisup=3,IF(AND(A220&lt;=CARGAS!$E$70,A220&gt;=CARGAS!$D$70),sup,0),0)))</f>
        <v>0</v>
      </c>
      <c r="E220">
        <f>IF(A220&lt;=CARGAS!$H$25,CARGAS!$I$20,0)</f>
        <v>0</v>
      </c>
      <c r="F220" s="22">
        <f>IF(AND(A220&gt;CARGAS!$O$29,A220&lt;=CARGAS!$O$30),tanque1,0)</f>
        <v>0</v>
      </c>
      <c r="G220" s="22">
        <f>IF(AND(A220&gt;CARGAS!$R$29,A220&lt;=CARGAS!$R$30),tanque2,0)</f>
        <v>0</v>
      </c>
      <c r="H220" s="22">
        <f>IF(AND(A220&gt;CARGAS!$U$29,A220&lt;=CARGAS!$U$30),tanque3,0)</f>
        <v>0</v>
      </c>
      <c r="I220" s="22">
        <f>IF(AND(A220&gt;CARGAS!$X$29,A220&lt;=CARGAS!$X$30),tanque4,0)</f>
        <v>0</v>
      </c>
      <c r="J220" s="22">
        <f>IF(AND(A220&gt;CARGAS!$AA$29,A220&lt;=CARGAS!$AA$30),tanque5,0)</f>
        <v>571.20000000000005</v>
      </c>
      <c r="K220" s="22">
        <f>IF(AND($A220&gt;CARGAS!$AD$29,$A220&lt;=CARGAS!$AD$30),tanque6,0)</f>
        <v>0</v>
      </c>
      <c r="L220" s="22">
        <f>IF(AND($A220&gt;CARGAS!$AG$29,$A220&lt;=CARGAS!$AG$30),tanque7,0)</f>
        <v>0</v>
      </c>
      <c r="M220" s="22">
        <f>IF(AND($A220&gt;CARGAS!$AJ$29,$A220&lt;=CARGAS!$AJ$30),tanque8,0)</f>
        <v>0</v>
      </c>
      <c r="N220" s="22">
        <f t="shared" si="24"/>
        <v>716.25679542857142</v>
      </c>
      <c r="O220" s="22">
        <f t="shared" si="25"/>
        <v>13.994896530508514</v>
      </c>
      <c r="P220" s="22">
        <f>O220*Equilibrio!Y$39*Equilibrio!Y$38*DADOS!C$4</f>
        <v>430.34306831313683</v>
      </c>
      <c r="Q220" s="22">
        <f t="shared" si="26"/>
        <v>285.9137271154346</v>
      </c>
      <c r="R220" s="22">
        <f t="shared" si="27"/>
        <v>12059.297961924811</v>
      </c>
      <c r="S220" s="22">
        <f t="shared" si="28"/>
        <v>-1413151.815831413</v>
      </c>
      <c r="T220" s="22">
        <f t="shared" si="29"/>
        <v>156860.23819885714</v>
      </c>
    </row>
    <row r="221" spans="1:20" x14ac:dyDescent="0.25">
      <c r="A221" s="21">
        <v>220</v>
      </c>
      <c r="B221" s="22">
        <f>CARGAS!$C$40*Equilibrio!A221^2+CARGAS!$D$40*Equilibrio!A221+CARGAS!$E$40</f>
        <v>124.09233061224489</v>
      </c>
      <c r="C221" s="22">
        <f>CARGAS!$C$53*Equilibrio!A221^2+CARGAS!$D$53*Equilibrio!A221+CARGAS!$E$53</f>
        <v>20.682055102040817</v>
      </c>
      <c r="D221">
        <f>IF(posisup=1,IF(A221&lt;=CARGAS!$E$68,sup,0),IF(posisup=2,IF(AND(A221&lt;=CARGAS!$E$69,A221&gt;=CARGAS!$D$69),sup,0),IF(posisup=3,IF(AND(A221&lt;=CARGAS!$E$70,A221&gt;=CARGAS!$D$70),sup,0),0)))</f>
        <v>0</v>
      </c>
      <c r="E221">
        <f>IF(A221&lt;=CARGAS!$H$25,CARGAS!$I$20,0)</f>
        <v>0</v>
      </c>
      <c r="F221" s="22">
        <f>IF(AND(A221&gt;CARGAS!$O$29,A221&lt;=CARGAS!$O$30),tanque1,0)</f>
        <v>0</v>
      </c>
      <c r="G221" s="22">
        <f>IF(AND(A221&gt;CARGAS!$R$29,A221&lt;=CARGAS!$R$30),tanque2,0)</f>
        <v>0</v>
      </c>
      <c r="H221" s="22">
        <f>IF(AND(A221&gt;CARGAS!$U$29,A221&lt;=CARGAS!$U$30),tanque3,0)</f>
        <v>0</v>
      </c>
      <c r="I221" s="22">
        <f>IF(AND(A221&gt;CARGAS!$X$29,A221&lt;=CARGAS!$X$30),tanque4,0)</f>
        <v>0</v>
      </c>
      <c r="J221" s="22">
        <f>IF(AND(A221&gt;CARGAS!$AA$29,A221&lt;=CARGAS!$AA$30),tanque5,0)</f>
        <v>571.20000000000005</v>
      </c>
      <c r="K221" s="22">
        <f>IF(AND($A221&gt;CARGAS!$AD$29,$A221&lt;=CARGAS!$AD$30),tanque6,0)</f>
        <v>0</v>
      </c>
      <c r="L221" s="22">
        <f>IF(AND($A221&gt;CARGAS!$AG$29,$A221&lt;=CARGAS!$AG$30),tanque7,0)</f>
        <v>0</v>
      </c>
      <c r="M221" s="22">
        <f>IF(AND($A221&gt;CARGAS!$AJ$29,$A221&lt;=CARGAS!$AJ$30),tanque8,0)</f>
        <v>0</v>
      </c>
      <c r="N221" s="22">
        <f t="shared" si="24"/>
        <v>715.97438571428575</v>
      </c>
      <c r="O221" s="22">
        <f t="shared" si="25"/>
        <v>14.114910920708244</v>
      </c>
      <c r="P221" s="22">
        <f>O221*Equilibrio!Y$39*Equilibrio!Y$38*DADOS!C$4</f>
        <v>434.03351081177846</v>
      </c>
      <c r="Q221" s="22">
        <f t="shared" si="26"/>
        <v>281.94087490250729</v>
      </c>
      <c r="R221" s="22">
        <f t="shared" si="27"/>
        <v>12341.238836827319</v>
      </c>
      <c r="S221" s="22">
        <f t="shared" si="28"/>
        <v>-1400810.5769945858</v>
      </c>
      <c r="T221" s="22">
        <f t="shared" si="29"/>
        <v>157514.36485714285</v>
      </c>
    </row>
    <row r="222" spans="1:20" x14ac:dyDescent="0.25">
      <c r="A222" s="21">
        <v>221</v>
      </c>
      <c r="B222" s="22">
        <f>CARGAS!$C$40*Equilibrio!A222^2+CARGAS!$D$40*Equilibrio!A222+CARGAS!$E$40</f>
        <v>123.84482546938773</v>
      </c>
      <c r="C222" s="22">
        <f>CARGAS!$C$53*Equilibrio!A222^2+CARGAS!$D$53*Equilibrio!A222+CARGAS!$E$53</f>
        <v>20.640804244897961</v>
      </c>
      <c r="D222">
        <f>IF(posisup=1,IF(A222&lt;=CARGAS!$E$68,sup,0),IF(posisup=2,IF(AND(A222&lt;=CARGAS!$E$69,A222&gt;=CARGAS!$D$69),sup,0),IF(posisup=3,IF(AND(A222&lt;=CARGAS!$E$70,A222&gt;=CARGAS!$D$70),sup,0),0)))</f>
        <v>0</v>
      </c>
      <c r="E222">
        <f>IF(A222&lt;=CARGAS!$H$25,CARGAS!$I$20,0)</f>
        <v>0</v>
      </c>
      <c r="F222" s="22">
        <f>IF(AND(A222&gt;CARGAS!$O$29,A222&lt;=CARGAS!$O$30),tanque1,0)</f>
        <v>0</v>
      </c>
      <c r="G222" s="22">
        <f>IF(AND(A222&gt;CARGAS!$R$29,A222&lt;=CARGAS!$R$30),tanque2,0)</f>
        <v>0</v>
      </c>
      <c r="H222" s="22">
        <f>IF(AND(A222&gt;CARGAS!$U$29,A222&lt;=CARGAS!$U$30),tanque3,0)</f>
        <v>0</v>
      </c>
      <c r="I222" s="22">
        <f>IF(AND(A222&gt;CARGAS!$X$29,A222&lt;=CARGAS!$X$30),tanque4,0)</f>
        <v>0</v>
      </c>
      <c r="J222" s="22">
        <f>IF(AND(A222&gt;CARGAS!$AA$29,A222&lt;=CARGAS!$AA$30),tanque5,0)</f>
        <v>571.20000000000005</v>
      </c>
      <c r="K222" s="22">
        <f>IF(AND($A222&gt;CARGAS!$AD$29,$A222&lt;=CARGAS!$AD$30),tanque6,0)</f>
        <v>0</v>
      </c>
      <c r="L222" s="22">
        <f>IF(AND($A222&gt;CARGAS!$AG$29,$A222&lt;=CARGAS!$AG$30),tanque7,0)</f>
        <v>0</v>
      </c>
      <c r="M222" s="22">
        <f>IF(AND($A222&gt;CARGAS!$AJ$29,$A222&lt;=CARGAS!$AJ$30),tanque8,0)</f>
        <v>0</v>
      </c>
      <c r="N222" s="22">
        <f t="shared" si="24"/>
        <v>715.68562971428571</v>
      </c>
      <c r="O222" s="22">
        <f t="shared" si="25"/>
        <v>14.236873977134156</v>
      </c>
      <c r="P222" s="22">
        <f>O222*Equilibrio!Y$39*Equilibrio!Y$38*DADOS!C$4</f>
        <v>437.78387479687524</v>
      </c>
      <c r="Q222" s="22">
        <f t="shared" si="26"/>
        <v>277.90175491741047</v>
      </c>
      <c r="R222" s="22">
        <f t="shared" si="27"/>
        <v>12619.14059174473</v>
      </c>
      <c r="S222" s="22">
        <f t="shared" si="28"/>
        <v>-1388191.436402841</v>
      </c>
      <c r="T222" s="22">
        <f t="shared" si="29"/>
        <v>158166.52416685715</v>
      </c>
    </row>
    <row r="223" spans="1:20" x14ac:dyDescent="0.25">
      <c r="A223" s="21">
        <v>222</v>
      </c>
      <c r="B223" s="22">
        <f>CARGAS!$C$40*Equilibrio!A223^2+CARGAS!$D$40*Equilibrio!A223+CARGAS!$E$40</f>
        <v>123.5918806530612</v>
      </c>
      <c r="C223" s="22">
        <f>CARGAS!$C$53*Equilibrio!A223^2+CARGAS!$D$53*Equilibrio!A223+CARGAS!$E$53</f>
        <v>20.598646775510201</v>
      </c>
      <c r="D223">
        <f>IF(posisup=1,IF(A223&lt;=CARGAS!$E$68,sup,0),IF(posisup=2,IF(AND(A223&lt;=CARGAS!$E$69,A223&gt;=CARGAS!$D$69),sup,0),IF(posisup=3,IF(AND(A223&lt;=CARGAS!$E$70,A223&gt;=CARGAS!$D$70),sup,0),0)))</f>
        <v>0</v>
      </c>
      <c r="E223">
        <f>IF(A223&lt;=CARGAS!$H$25,CARGAS!$I$20,0)</f>
        <v>0</v>
      </c>
      <c r="F223" s="22">
        <f>IF(AND(A223&gt;CARGAS!$O$29,A223&lt;=CARGAS!$O$30),tanque1,0)</f>
        <v>0</v>
      </c>
      <c r="G223" s="22">
        <f>IF(AND(A223&gt;CARGAS!$R$29,A223&lt;=CARGAS!$R$30),tanque2,0)</f>
        <v>0</v>
      </c>
      <c r="H223" s="22">
        <f>IF(AND(A223&gt;CARGAS!$U$29,A223&lt;=CARGAS!$U$30),tanque3,0)</f>
        <v>0</v>
      </c>
      <c r="I223" s="22">
        <f>IF(AND(A223&gt;CARGAS!$X$29,A223&lt;=CARGAS!$X$30),tanque4,0)</f>
        <v>0</v>
      </c>
      <c r="J223" s="22">
        <f>IF(AND(A223&gt;CARGAS!$AA$29,A223&lt;=CARGAS!$AA$30),tanque5,0)</f>
        <v>571.20000000000005</v>
      </c>
      <c r="K223" s="22">
        <f>IF(AND($A223&gt;CARGAS!$AD$29,$A223&lt;=CARGAS!$AD$30),tanque6,0)</f>
        <v>0</v>
      </c>
      <c r="L223" s="22">
        <f>IF(AND($A223&gt;CARGAS!$AG$29,$A223&lt;=CARGAS!$AG$30),tanque7,0)</f>
        <v>0</v>
      </c>
      <c r="M223" s="22">
        <f>IF(AND($A223&gt;CARGAS!$AJ$29,$A223&lt;=CARGAS!$AJ$30),tanque8,0)</f>
        <v>0</v>
      </c>
      <c r="N223" s="22">
        <f t="shared" si="24"/>
        <v>715.39052742857143</v>
      </c>
      <c r="O223" s="22">
        <f t="shared" si="25"/>
        <v>14.36074879906389</v>
      </c>
      <c r="P223" s="22">
        <f>O223*Equilibrio!Y$39*Equilibrio!Y$38*DADOS!C$4</f>
        <v>441.59302557121458</v>
      </c>
      <c r="Q223" s="22">
        <f t="shared" si="26"/>
        <v>273.79750185735685</v>
      </c>
      <c r="R223" s="22">
        <f t="shared" si="27"/>
        <v>12892.938093602086</v>
      </c>
      <c r="S223" s="22">
        <f t="shared" si="28"/>
        <v>-1375298.4983092388</v>
      </c>
      <c r="T223" s="22">
        <f t="shared" si="29"/>
        <v>158816.69708914286</v>
      </c>
    </row>
    <row r="224" spans="1:20" x14ac:dyDescent="0.25">
      <c r="A224" s="21">
        <v>223</v>
      </c>
      <c r="B224" s="22">
        <f>CARGAS!$C$40*Equilibrio!A224^2+CARGAS!$D$40*Equilibrio!A224+CARGAS!$E$40</f>
        <v>123.33349616326527</v>
      </c>
      <c r="C224" s="22">
        <f>CARGAS!$C$53*Equilibrio!A224^2+CARGAS!$D$53*Equilibrio!A224+CARGAS!$E$53</f>
        <v>20.55558269387755</v>
      </c>
      <c r="D224">
        <f>IF(posisup=1,IF(A224&lt;=CARGAS!$E$68,sup,0),IF(posisup=2,IF(AND(A224&lt;=CARGAS!$E$69,A224&gt;=CARGAS!$D$69),sup,0),IF(posisup=3,IF(AND(A224&lt;=CARGAS!$E$70,A224&gt;=CARGAS!$D$70),sup,0),0)))</f>
        <v>0</v>
      </c>
      <c r="E224">
        <f>IF(A224&lt;=CARGAS!$H$25,CARGAS!$I$20,0)</f>
        <v>0</v>
      </c>
      <c r="F224" s="22">
        <f>IF(AND(A224&gt;CARGAS!$O$29,A224&lt;=CARGAS!$O$30),tanque1,0)</f>
        <v>0</v>
      </c>
      <c r="G224" s="22">
        <f>IF(AND(A224&gt;CARGAS!$R$29,A224&lt;=CARGAS!$R$30),tanque2,0)</f>
        <v>0</v>
      </c>
      <c r="H224" s="22">
        <f>IF(AND(A224&gt;CARGAS!$U$29,A224&lt;=CARGAS!$U$30),tanque3,0)</f>
        <v>0</v>
      </c>
      <c r="I224" s="22">
        <f>IF(AND(A224&gt;CARGAS!$X$29,A224&lt;=CARGAS!$X$30),tanque4,0)</f>
        <v>0</v>
      </c>
      <c r="J224" s="22">
        <f>IF(AND(A224&gt;CARGAS!$AA$29,A224&lt;=CARGAS!$AA$30),tanque5,0)</f>
        <v>571.20000000000005</v>
      </c>
      <c r="K224" s="22">
        <f>IF(AND($A224&gt;CARGAS!$AD$29,$A224&lt;=CARGAS!$AD$30),tanque6,0)</f>
        <v>0</v>
      </c>
      <c r="L224" s="22">
        <f>IF(AND($A224&gt;CARGAS!$AG$29,$A224&lt;=CARGAS!$AG$30),tanque7,0)</f>
        <v>0</v>
      </c>
      <c r="M224" s="22">
        <f>IF(AND($A224&gt;CARGAS!$AJ$29,$A224&lt;=CARGAS!$AJ$30),tanque8,0)</f>
        <v>0</v>
      </c>
      <c r="N224" s="22">
        <f t="shared" si="24"/>
        <v>715.08907885714279</v>
      </c>
      <c r="O224" s="22">
        <f t="shared" si="25"/>
        <v>14.486497869681624</v>
      </c>
      <c r="P224" s="22">
        <f>O224*Equilibrio!Y$39*Equilibrio!Y$38*DADOS!C$4</f>
        <v>445.45980949270989</v>
      </c>
      <c r="Q224" s="22">
        <f t="shared" si="26"/>
        <v>269.6292693644329</v>
      </c>
      <c r="R224" s="22">
        <f t="shared" si="27"/>
        <v>13162.56736296652</v>
      </c>
      <c r="S224" s="22">
        <f t="shared" si="28"/>
        <v>-1362135.9309462723</v>
      </c>
      <c r="T224" s="22">
        <f t="shared" si="29"/>
        <v>159464.86458514284</v>
      </c>
    </row>
    <row r="225" spans="1:20" x14ac:dyDescent="0.25">
      <c r="A225" s="21">
        <v>224</v>
      </c>
      <c r="B225" s="22">
        <f>CARGAS!$C$40*Equilibrio!A225^2+CARGAS!$D$40*Equilibrio!A225+CARGAS!$E$40</f>
        <v>123.06967199999997</v>
      </c>
      <c r="C225" s="22">
        <f>CARGAS!$C$53*Equilibrio!A225^2+CARGAS!$D$53*Equilibrio!A225+CARGAS!$E$53</f>
        <v>20.511612</v>
      </c>
      <c r="D225">
        <f>IF(posisup=1,IF(A225&lt;=CARGAS!$E$68,sup,0),IF(posisup=2,IF(AND(A225&lt;=CARGAS!$E$69,A225&gt;=CARGAS!$D$69),sup,0),IF(posisup=3,IF(AND(A225&lt;=CARGAS!$E$70,A225&gt;=CARGAS!$D$70),sup,0),0)))</f>
        <v>0</v>
      </c>
      <c r="E225">
        <f>IF(A225&lt;=CARGAS!$H$25,CARGAS!$I$20,0)</f>
        <v>0</v>
      </c>
      <c r="F225" s="22">
        <f>IF(AND(A225&gt;CARGAS!$O$29,A225&lt;=CARGAS!$O$30),tanque1,0)</f>
        <v>0</v>
      </c>
      <c r="G225" s="22">
        <f>IF(AND(A225&gt;CARGAS!$R$29,A225&lt;=CARGAS!$R$30),tanque2,0)</f>
        <v>0</v>
      </c>
      <c r="H225" s="22">
        <f>IF(AND(A225&gt;CARGAS!$U$29,A225&lt;=CARGAS!$U$30),tanque3,0)</f>
        <v>0</v>
      </c>
      <c r="I225" s="22">
        <f>IF(AND(A225&gt;CARGAS!$X$29,A225&lt;=CARGAS!$X$30),tanque4,0)</f>
        <v>0</v>
      </c>
      <c r="J225" s="22">
        <f>IF(AND(A225&gt;CARGAS!$AA$29,A225&lt;=CARGAS!$AA$30),tanque5,0)</f>
        <v>571.20000000000005</v>
      </c>
      <c r="K225" s="22">
        <f>IF(AND($A225&gt;CARGAS!$AD$29,$A225&lt;=CARGAS!$AD$30),tanque6,0)</f>
        <v>0</v>
      </c>
      <c r="L225" s="22">
        <f>IF(AND($A225&gt;CARGAS!$AG$29,$A225&lt;=CARGAS!$AG$30),tanque7,0)</f>
        <v>0</v>
      </c>
      <c r="M225" s="22">
        <f>IF(AND($A225&gt;CARGAS!$AJ$29,$A225&lt;=CARGAS!$AJ$30),tanque8,0)</f>
        <v>0</v>
      </c>
      <c r="N225" s="22">
        <f t="shared" si="24"/>
        <v>714.78128400000003</v>
      </c>
      <c r="O225" s="22">
        <f t="shared" si="25"/>
        <v>14.614083068168387</v>
      </c>
      <c r="P225" s="22">
        <f>O225*Equilibrio!Y$39*Equilibrio!Y$38*DADOS!C$4</f>
        <v>449.38305434617791</v>
      </c>
      <c r="Q225" s="22">
        <f t="shared" si="26"/>
        <v>265.39822965382211</v>
      </c>
      <c r="R225" s="22">
        <f t="shared" si="27"/>
        <v>13427.965592620341</v>
      </c>
      <c r="S225" s="22">
        <f t="shared" si="28"/>
        <v>-1348707.9653536519</v>
      </c>
      <c r="T225" s="22">
        <f t="shared" si="29"/>
        <v>160111.00761600002</v>
      </c>
    </row>
    <row r="226" spans="1:20" x14ac:dyDescent="0.25">
      <c r="A226" s="21">
        <v>225</v>
      </c>
      <c r="B226" s="22">
        <f>CARGAS!$C$40*Equilibrio!A226^2+CARGAS!$D$40*Equilibrio!A226+CARGAS!$E$40</f>
        <v>122.80040816326527</v>
      </c>
      <c r="C226" s="22">
        <f>CARGAS!$C$53*Equilibrio!A226^2+CARGAS!$D$53*Equilibrio!A226+CARGAS!$E$53</f>
        <v>20.466734693877552</v>
      </c>
      <c r="D226">
        <f>IF(posisup=1,IF(A226&lt;=CARGAS!$E$68,sup,0),IF(posisup=2,IF(AND(A226&lt;=CARGAS!$E$69,A226&gt;=CARGAS!$D$69),sup,0),IF(posisup=3,IF(AND(A226&lt;=CARGAS!$E$70,A226&gt;=CARGAS!$D$70),sup,0),0)))</f>
        <v>0</v>
      </c>
      <c r="E226">
        <f>IF(A226&lt;=CARGAS!$H$25,CARGAS!$I$20,0)</f>
        <v>0</v>
      </c>
      <c r="F226" s="22">
        <f>IF(AND(A226&gt;CARGAS!$O$29,A226&lt;=CARGAS!$O$30),tanque1,0)</f>
        <v>0</v>
      </c>
      <c r="G226" s="22">
        <f>IF(AND(A226&gt;CARGAS!$R$29,A226&lt;=CARGAS!$R$30),tanque2,0)</f>
        <v>0</v>
      </c>
      <c r="H226" s="22">
        <f>IF(AND(A226&gt;CARGAS!$U$29,A226&lt;=CARGAS!$U$30),tanque3,0)</f>
        <v>0</v>
      </c>
      <c r="I226" s="22">
        <f>IF(AND(A226&gt;CARGAS!$X$29,A226&lt;=CARGAS!$X$30),tanque4,0)</f>
        <v>0</v>
      </c>
      <c r="J226" s="22">
        <f>IF(AND(A226&gt;CARGAS!$AA$29,A226&lt;=CARGAS!$AA$30),tanque5,0)</f>
        <v>571.20000000000005</v>
      </c>
      <c r="K226" s="22">
        <f>IF(AND($A226&gt;CARGAS!$AD$29,$A226&lt;=CARGAS!$AD$30),tanque6,0)</f>
        <v>0</v>
      </c>
      <c r="L226" s="22">
        <f>IF(AND($A226&gt;CARGAS!$AG$29,$A226&lt;=CARGAS!$AG$30),tanque7,0)</f>
        <v>0</v>
      </c>
      <c r="M226" s="22">
        <f>IF(AND($A226&gt;CARGAS!$AJ$29,$A226&lt;=CARGAS!$AJ$30),tanque8,0)</f>
        <v>0</v>
      </c>
      <c r="N226" s="22">
        <f t="shared" si="24"/>
        <v>714.4671428571429</v>
      </c>
      <c r="O226" s="22">
        <f t="shared" si="25"/>
        <v>14.743465681987029</v>
      </c>
      <c r="P226" s="22">
        <f>O226*Equilibrio!Y$39*Equilibrio!Y$38*DADOS!C$4</f>
        <v>453.36156972110109</v>
      </c>
      <c r="Q226" s="22">
        <f t="shared" si="26"/>
        <v>261.10557313604181</v>
      </c>
      <c r="R226" s="22">
        <f t="shared" si="27"/>
        <v>13689.071165756382</v>
      </c>
      <c r="S226" s="22">
        <f t="shared" si="28"/>
        <v>-1335018.8941878956</v>
      </c>
      <c r="T226" s="22">
        <f t="shared" si="29"/>
        <v>160755.10714285716</v>
      </c>
    </row>
    <row r="227" spans="1:20" x14ac:dyDescent="0.25">
      <c r="A227" s="21">
        <v>226</v>
      </c>
      <c r="B227" s="22">
        <f>CARGAS!$C$40*Equilibrio!A227^2+CARGAS!$D$40*Equilibrio!A227+CARGAS!$E$40</f>
        <v>122.52570465306118</v>
      </c>
      <c r="C227" s="22">
        <f>CARGAS!$C$53*Equilibrio!A227^2+CARGAS!$D$53*Equilibrio!A227+CARGAS!$E$53</f>
        <v>20.4209507755102</v>
      </c>
      <c r="D227">
        <f>IF(posisup=1,IF(A227&lt;=CARGAS!$E$68,sup,0),IF(posisup=2,IF(AND(A227&lt;=CARGAS!$E$69,A227&gt;=CARGAS!$D$69),sup,0),IF(posisup=3,IF(AND(A227&lt;=CARGAS!$E$70,A227&gt;=CARGAS!$D$70),sup,0),0)))</f>
        <v>0</v>
      </c>
      <c r="E227">
        <f>IF(A227&lt;=CARGAS!$H$25,CARGAS!$I$20,0)</f>
        <v>0</v>
      </c>
      <c r="F227" s="22">
        <f>IF(AND(A227&gt;CARGAS!$O$29,A227&lt;=CARGAS!$O$30),tanque1,0)</f>
        <v>0</v>
      </c>
      <c r="G227" s="22">
        <f>IF(AND(A227&gt;CARGAS!$R$29,A227&lt;=CARGAS!$R$30),tanque2,0)</f>
        <v>0</v>
      </c>
      <c r="H227" s="22">
        <f>IF(AND(A227&gt;CARGAS!$U$29,A227&lt;=CARGAS!$U$30),tanque3,0)</f>
        <v>0</v>
      </c>
      <c r="I227" s="22">
        <f>IF(AND(A227&gt;CARGAS!$X$29,A227&lt;=CARGAS!$X$30),tanque4,0)</f>
        <v>0</v>
      </c>
      <c r="J227" s="22">
        <f>IF(AND(A227&gt;CARGAS!$AA$29,A227&lt;=CARGAS!$AA$30),tanque5,0)</f>
        <v>571.20000000000005</v>
      </c>
      <c r="K227" s="22">
        <f>IF(AND($A227&gt;CARGAS!$AD$29,$A227&lt;=CARGAS!$AD$30),tanque6,0)</f>
        <v>0</v>
      </c>
      <c r="L227" s="22">
        <f>IF(AND($A227&gt;CARGAS!$AG$29,$A227&lt;=CARGAS!$AG$30),tanque7,0)</f>
        <v>0</v>
      </c>
      <c r="M227" s="22">
        <f>IF(AND($A227&gt;CARGAS!$AJ$29,$A227&lt;=CARGAS!$AJ$30),tanque8,0)</f>
        <v>0</v>
      </c>
      <c r="N227" s="22">
        <f t="shared" si="24"/>
        <v>714.14665542857142</v>
      </c>
      <c r="O227" s="22">
        <f t="shared" si="25"/>
        <v>14.874606419357901</v>
      </c>
      <c r="P227" s="22">
        <f>O227*Equilibrio!Y$39*Equilibrio!Y$38*DADOS!C$4</f>
        <v>457.3941473952554</v>
      </c>
      <c r="Q227" s="22">
        <f t="shared" si="26"/>
        <v>256.75250803331602</v>
      </c>
      <c r="R227" s="22">
        <f t="shared" si="27"/>
        <v>13945.823673789699</v>
      </c>
      <c r="S227" s="22">
        <f t="shared" si="28"/>
        <v>-1321073.070514106</v>
      </c>
      <c r="T227" s="22">
        <f t="shared" si="29"/>
        <v>161397.14412685714</v>
      </c>
    </row>
    <row r="228" spans="1:20" x14ac:dyDescent="0.25">
      <c r="A228" s="21">
        <v>227</v>
      </c>
      <c r="B228" s="22">
        <f>CARGAS!$C$40*Equilibrio!A228^2+CARGAS!$D$40*Equilibrio!A228+CARGAS!$E$40</f>
        <v>122.24556146938772</v>
      </c>
      <c r="C228" s="22">
        <f>CARGAS!$C$53*Equilibrio!A228^2+CARGAS!$D$53*Equilibrio!A228+CARGAS!$E$53</f>
        <v>20.374260244897958</v>
      </c>
      <c r="D228">
        <f>IF(posisup=1,IF(A228&lt;=CARGAS!$E$68,sup,0),IF(posisup=2,IF(AND(A228&lt;=CARGAS!$E$69,A228&gt;=CARGAS!$D$69),sup,0),IF(posisup=3,IF(AND(A228&lt;=CARGAS!$E$70,A228&gt;=CARGAS!$D$70),sup,0),0)))</f>
        <v>0</v>
      </c>
      <c r="E228">
        <f>IF(A228&lt;=CARGAS!$H$25,CARGAS!$I$20,0)</f>
        <v>0</v>
      </c>
      <c r="F228" s="22">
        <f>IF(AND(A228&gt;CARGAS!$O$29,A228&lt;=CARGAS!$O$30),tanque1,0)</f>
        <v>0</v>
      </c>
      <c r="G228" s="22">
        <f>IF(AND(A228&gt;CARGAS!$R$29,A228&lt;=CARGAS!$R$30),tanque2,0)</f>
        <v>0</v>
      </c>
      <c r="H228" s="22">
        <f>IF(AND(A228&gt;CARGAS!$U$29,A228&lt;=CARGAS!$U$30),tanque3,0)</f>
        <v>0</v>
      </c>
      <c r="I228" s="22">
        <f>IF(AND(A228&gt;CARGAS!$X$29,A228&lt;=CARGAS!$X$30),tanque4,0)</f>
        <v>0</v>
      </c>
      <c r="J228" s="22">
        <f>IF(AND(A228&gt;CARGAS!$AA$29,A228&lt;=CARGAS!$AA$30),tanque5,0)</f>
        <v>0</v>
      </c>
      <c r="K228" s="22">
        <f>IF(AND($A228&gt;CARGAS!$AD$29,$A228&lt;=CARGAS!$AD$30),tanque6,0)</f>
        <v>399.84</v>
      </c>
      <c r="L228" s="22">
        <f>IF(AND($A228&gt;CARGAS!$AG$29,$A228&lt;=CARGAS!$AG$30),tanque7,0)</f>
        <v>0</v>
      </c>
      <c r="M228" s="22">
        <f>IF(AND($A228&gt;CARGAS!$AJ$29,$A228&lt;=CARGAS!$AJ$30),tanque8,0)</f>
        <v>0</v>
      </c>
      <c r="N228" s="22">
        <f t="shared" si="24"/>
        <v>542.45982171428568</v>
      </c>
      <c r="O228" s="22">
        <f t="shared" si="25"/>
        <v>15.00746542192118</v>
      </c>
      <c r="P228" s="22">
        <f>O228*Equilibrio!Y$39*Equilibrio!Y$38*DADOS!C$4</f>
        <v>461.47956172407623</v>
      </c>
      <c r="Q228" s="22">
        <f t="shared" si="26"/>
        <v>80.980259990209447</v>
      </c>
      <c r="R228" s="22">
        <f t="shared" si="27"/>
        <v>14026.803933779907</v>
      </c>
      <c r="S228" s="22">
        <f t="shared" si="28"/>
        <v>-1307046.266580326</v>
      </c>
      <c r="T228" s="22">
        <f t="shared" si="29"/>
        <v>123138.37952914285</v>
      </c>
    </row>
    <row r="229" spans="1:20" x14ac:dyDescent="0.25">
      <c r="A229" s="21">
        <v>228</v>
      </c>
      <c r="B229" s="22">
        <f>CARGAS!$C$40*Equilibrio!A229^2+CARGAS!$D$40*Equilibrio!A229+CARGAS!$E$40</f>
        <v>121.9599786122449</v>
      </c>
      <c r="C229" s="22">
        <f>CARGAS!$C$53*Equilibrio!A229^2+CARGAS!$D$53*Equilibrio!A229+CARGAS!$E$53</f>
        <v>20.326663102040815</v>
      </c>
      <c r="D229">
        <f>IF(posisup=1,IF(A229&lt;=CARGAS!$E$68,sup,0),IF(posisup=2,IF(AND(A229&lt;=CARGAS!$E$69,A229&gt;=CARGAS!$D$69),sup,0),IF(posisup=3,IF(AND(A229&lt;=CARGAS!$E$70,A229&gt;=CARGAS!$D$70),sup,0),0)))</f>
        <v>0</v>
      </c>
      <c r="E229">
        <f>IF(A229&lt;=CARGAS!$H$25,CARGAS!$I$20,0)</f>
        <v>0</v>
      </c>
      <c r="F229" s="22">
        <f>IF(AND(A229&gt;CARGAS!$O$29,A229&lt;=CARGAS!$O$30),tanque1,0)</f>
        <v>0</v>
      </c>
      <c r="G229" s="22">
        <f>IF(AND(A229&gt;CARGAS!$R$29,A229&lt;=CARGAS!$R$30),tanque2,0)</f>
        <v>0</v>
      </c>
      <c r="H229" s="22">
        <f>IF(AND(A229&gt;CARGAS!$U$29,A229&lt;=CARGAS!$U$30),tanque3,0)</f>
        <v>0</v>
      </c>
      <c r="I229" s="22">
        <f>IF(AND(A229&gt;CARGAS!$X$29,A229&lt;=CARGAS!$X$30),tanque4,0)</f>
        <v>0</v>
      </c>
      <c r="J229" s="22">
        <f>IF(AND(A229&gt;CARGAS!$AA$29,A229&lt;=CARGAS!$AA$30),tanque5,0)</f>
        <v>0</v>
      </c>
      <c r="K229" s="22">
        <f>IF(AND($A229&gt;CARGAS!$AD$29,$A229&lt;=CARGAS!$AD$30),tanque6,0)</f>
        <v>399.84</v>
      </c>
      <c r="L229" s="22">
        <f>IF(AND($A229&gt;CARGAS!$AG$29,$A229&lt;=CARGAS!$AG$30),tanque7,0)</f>
        <v>0</v>
      </c>
      <c r="M229" s="22">
        <f>IF(AND($A229&gt;CARGAS!$AJ$29,$A229&lt;=CARGAS!$AJ$30),tanque8,0)</f>
        <v>0</v>
      </c>
      <c r="N229" s="22">
        <f t="shared" ref="N229:N292" si="30">B229+C229+D229+F229+E229+G229+H229+I229+J229+K229+L229+M229</f>
        <v>542.12664171428571</v>
      </c>
      <c r="O229" s="22">
        <f t="shared" ref="O229:O292" si="31">IF($X$4=1,tmedio+((loa/2)-A229)*TAN(trimrad),IF($X$4=2,tmedio+$Z$3*COS(2*PI()*A229/$Z$2)+((loa/2)-A229)*TAN(trimrad),IF($X$4=3,tmedio-$Z$3*COS(2*PI()*A229/$Z$2)+((loa/2)-A229)*TAN(trimrad),tmedio+((loa/2)-A229)*TAN(trimrad))))</f>
        <v>15.142002277581764</v>
      </c>
      <c r="P229" s="22">
        <f>O229*Equilibrio!Y$39*Equilibrio!Y$38*DADOS!C$4</f>
        <v>465.6165700356392</v>
      </c>
      <c r="Q229" s="22">
        <f t="shared" ref="Q229:Q292" si="32">N229-P229</f>
        <v>76.510071678646511</v>
      </c>
      <c r="R229" s="22">
        <f t="shared" ref="R229:R292" si="33">R228+Q229</f>
        <v>14103.314005458555</v>
      </c>
      <c r="S229" s="22">
        <f t="shared" ref="S229:S292" si="34">S228+R229</f>
        <v>-1292942.9525748675</v>
      </c>
      <c r="T229" s="22">
        <f t="shared" ref="T229:T292" si="35">N229*A229</f>
        <v>123604.87431085714</v>
      </c>
    </row>
    <row r="230" spans="1:20" x14ac:dyDescent="0.25">
      <c r="A230" s="21">
        <v>229</v>
      </c>
      <c r="B230" s="22">
        <f>CARGAS!$C$40*Equilibrio!A230^2+CARGAS!$D$40*Equilibrio!A230+CARGAS!$E$40</f>
        <v>121.66895608163264</v>
      </c>
      <c r="C230" s="22">
        <f>CARGAS!$C$53*Equilibrio!A230^2+CARGAS!$D$53*Equilibrio!A230+CARGAS!$E$53</f>
        <v>20.278159346938775</v>
      </c>
      <c r="D230">
        <f>IF(posisup=1,IF(A230&lt;=CARGAS!$E$68,sup,0),IF(posisup=2,IF(AND(A230&lt;=CARGAS!$E$69,A230&gt;=CARGAS!$D$69),sup,0),IF(posisup=3,IF(AND(A230&lt;=CARGAS!$E$70,A230&gt;=CARGAS!$D$70),sup,0),0)))</f>
        <v>0</v>
      </c>
      <c r="E230">
        <f>IF(A230&lt;=CARGAS!$H$25,CARGAS!$I$20,0)</f>
        <v>0</v>
      </c>
      <c r="F230" s="22">
        <f>IF(AND(A230&gt;CARGAS!$O$29,A230&lt;=CARGAS!$O$30),tanque1,0)</f>
        <v>0</v>
      </c>
      <c r="G230" s="22">
        <f>IF(AND(A230&gt;CARGAS!$R$29,A230&lt;=CARGAS!$R$30),tanque2,0)</f>
        <v>0</v>
      </c>
      <c r="H230" s="22">
        <f>IF(AND(A230&gt;CARGAS!$U$29,A230&lt;=CARGAS!$U$30),tanque3,0)</f>
        <v>0</v>
      </c>
      <c r="I230" s="22">
        <f>IF(AND(A230&gt;CARGAS!$X$29,A230&lt;=CARGAS!$X$30),tanque4,0)</f>
        <v>0</v>
      </c>
      <c r="J230" s="22">
        <f>IF(AND(A230&gt;CARGAS!$AA$29,A230&lt;=CARGAS!$AA$30),tanque5,0)</f>
        <v>0</v>
      </c>
      <c r="K230" s="22">
        <f>IF(AND($A230&gt;CARGAS!$AD$29,$A230&lt;=CARGAS!$AD$30),tanque6,0)</f>
        <v>399.84</v>
      </c>
      <c r="L230" s="22">
        <f>IF(AND($A230&gt;CARGAS!$AG$29,$A230&lt;=CARGAS!$AG$30),tanque7,0)</f>
        <v>0</v>
      </c>
      <c r="M230" s="22">
        <f>IF(AND($A230&gt;CARGAS!$AJ$29,$A230&lt;=CARGAS!$AJ$30),tanque8,0)</f>
        <v>0</v>
      </c>
      <c r="N230" s="22">
        <f t="shared" si="30"/>
        <v>541.78711542857138</v>
      </c>
      <c r="O230" s="22">
        <f t="shared" si="31"/>
        <v>15.278176033532681</v>
      </c>
      <c r="P230" s="22">
        <f>O230*Equilibrio!Y$39*Equilibrio!Y$38*DADOS!C$4</f>
        <v>469.80391303112992</v>
      </c>
      <c r="Q230" s="22">
        <f t="shared" si="32"/>
        <v>71.98320239744146</v>
      </c>
      <c r="R230" s="22">
        <f t="shared" si="33"/>
        <v>14175.297207855996</v>
      </c>
      <c r="S230" s="22">
        <f t="shared" si="34"/>
        <v>-1278767.6553670114</v>
      </c>
      <c r="T230" s="22">
        <f t="shared" si="35"/>
        <v>124069.24943314285</v>
      </c>
    </row>
    <row r="231" spans="1:20" x14ac:dyDescent="0.25">
      <c r="A231" s="21">
        <v>230</v>
      </c>
      <c r="B231" s="22">
        <f>CARGAS!$C$40*Equilibrio!A231^2+CARGAS!$D$40*Equilibrio!A231+CARGAS!$E$40</f>
        <v>121.37249387755099</v>
      </c>
      <c r="C231" s="22">
        <f>CARGAS!$C$53*Equilibrio!A231^2+CARGAS!$D$53*Equilibrio!A231+CARGAS!$E$53</f>
        <v>20.228748979591831</v>
      </c>
      <c r="D231">
        <f>IF(posisup=1,IF(A231&lt;=CARGAS!$E$68,sup,0),IF(posisup=2,IF(AND(A231&lt;=CARGAS!$E$69,A231&gt;=CARGAS!$D$69),sup,0),IF(posisup=3,IF(AND(A231&lt;=CARGAS!$E$70,A231&gt;=CARGAS!$D$70),sup,0),0)))</f>
        <v>0</v>
      </c>
      <c r="E231">
        <f>IF(A231&lt;=CARGAS!$H$25,CARGAS!$I$20,0)</f>
        <v>0</v>
      </c>
      <c r="F231" s="22">
        <f>IF(AND(A231&gt;CARGAS!$O$29,A231&lt;=CARGAS!$O$30),tanque1,0)</f>
        <v>0</v>
      </c>
      <c r="G231" s="22">
        <f>IF(AND(A231&gt;CARGAS!$R$29,A231&lt;=CARGAS!$R$30),tanque2,0)</f>
        <v>0</v>
      </c>
      <c r="H231" s="22">
        <f>IF(AND(A231&gt;CARGAS!$U$29,A231&lt;=CARGAS!$U$30),tanque3,0)</f>
        <v>0</v>
      </c>
      <c r="I231" s="22">
        <f>IF(AND(A231&gt;CARGAS!$X$29,A231&lt;=CARGAS!$X$30),tanque4,0)</f>
        <v>0</v>
      </c>
      <c r="J231" s="22">
        <f>IF(AND(A231&gt;CARGAS!$AA$29,A231&lt;=CARGAS!$AA$30),tanque5,0)</f>
        <v>0</v>
      </c>
      <c r="K231" s="22">
        <f>IF(AND($A231&gt;CARGAS!$AD$29,$A231&lt;=CARGAS!$AD$30),tanque6,0)</f>
        <v>399.84</v>
      </c>
      <c r="L231" s="22">
        <f>IF(AND($A231&gt;CARGAS!$AG$29,$A231&lt;=CARGAS!$AG$30),tanque7,0)</f>
        <v>0</v>
      </c>
      <c r="M231" s="22">
        <f>IF(AND($A231&gt;CARGAS!$AJ$29,$A231&lt;=CARGAS!$AJ$30),tanque8,0)</f>
        <v>0</v>
      </c>
      <c r="N231" s="22">
        <f t="shared" si="30"/>
        <v>541.44124285714281</v>
      </c>
      <c r="O231" s="22">
        <f t="shared" si="31"/>
        <v>15.415945209452692</v>
      </c>
      <c r="P231" s="22">
        <f>O231*Equilibrio!Y$39*Equilibrio!Y$38*DADOS!C$4</f>
        <v>474.0403151906703</v>
      </c>
      <c r="Q231" s="22">
        <f t="shared" si="32"/>
        <v>67.400927666472512</v>
      </c>
      <c r="R231" s="22">
        <f t="shared" si="33"/>
        <v>14242.698135522469</v>
      </c>
      <c r="S231" s="22">
        <f t="shared" si="34"/>
        <v>-1264524.957231489</v>
      </c>
      <c r="T231" s="22">
        <f t="shared" si="35"/>
        <v>124531.48585714285</v>
      </c>
    </row>
    <row r="232" spans="1:20" x14ac:dyDescent="0.25">
      <c r="A232" s="21">
        <v>231</v>
      </c>
      <c r="B232" s="22">
        <f>CARGAS!$C$40*Equilibrio!A232^2+CARGAS!$D$40*Equilibrio!A232+CARGAS!$E$40</f>
        <v>121.07059199999998</v>
      </c>
      <c r="C232" s="22">
        <f>CARGAS!$C$53*Equilibrio!A232^2+CARGAS!$D$53*Equilibrio!A232+CARGAS!$E$53</f>
        <v>20.178431999999997</v>
      </c>
      <c r="D232">
        <f>IF(posisup=1,IF(A232&lt;=CARGAS!$E$68,sup,0),IF(posisup=2,IF(AND(A232&lt;=CARGAS!$E$69,A232&gt;=CARGAS!$D$69),sup,0),IF(posisup=3,IF(AND(A232&lt;=CARGAS!$E$70,A232&gt;=CARGAS!$D$70),sup,0),0)))</f>
        <v>0</v>
      </c>
      <c r="E232">
        <f>IF(A232&lt;=CARGAS!$H$25,CARGAS!$I$20,0)</f>
        <v>0</v>
      </c>
      <c r="F232" s="22">
        <f>IF(AND(A232&gt;CARGAS!$O$29,A232&lt;=CARGAS!$O$30),tanque1,0)</f>
        <v>0</v>
      </c>
      <c r="G232" s="22">
        <f>IF(AND(A232&gt;CARGAS!$R$29,A232&lt;=CARGAS!$R$30),tanque2,0)</f>
        <v>0</v>
      </c>
      <c r="H232" s="22">
        <f>IF(AND(A232&gt;CARGAS!$U$29,A232&lt;=CARGAS!$U$30),tanque3,0)</f>
        <v>0</v>
      </c>
      <c r="I232" s="22">
        <f>IF(AND(A232&gt;CARGAS!$X$29,A232&lt;=CARGAS!$X$30),tanque4,0)</f>
        <v>0</v>
      </c>
      <c r="J232" s="22">
        <f>IF(AND(A232&gt;CARGAS!$AA$29,A232&lt;=CARGAS!$AA$30),tanque5,0)</f>
        <v>0</v>
      </c>
      <c r="K232" s="22">
        <f>IF(AND($A232&gt;CARGAS!$AD$29,$A232&lt;=CARGAS!$AD$30),tanque6,0)</f>
        <v>399.84</v>
      </c>
      <c r="L232" s="22">
        <f>IF(AND($A232&gt;CARGAS!$AG$29,$A232&lt;=CARGAS!$AG$30),tanque7,0)</f>
        <v>0</v>
      </c>
      <c r="M232" s="22">
        <f>IF(AND($A232&gt;CARGAS!$AJ$29,$A232&lt;=CARGAS!$AJ$30),tanque8,0)</f>
        <v>0</v>
      </c>
      <c r="N232" s="22">
        <f t="shared" si="30"/>
        <v>541.08902399999988</v>
      </c>
      <c r="O232" s="22">
        <f t="shared" si="31"/>
        <v>15.555267810873902</v>
      </c>
      <c r="P232" s="22">
        <f>O232*Equilibrio!Y$39*Equilibrio!Y$38*DADOS!C$4</f>
        <v>478.32448518437246</v>
      </c>
      <c r="Q232" s="22">
        <f t="shared" si="32"/>
        <v>62.764538815627418</v>
      </c>
      <c r="R232" s="22">
        <f t="shared" si="33"/>
        <v>14305.462674338096</v>
      </c>
      <c r="S232" s="22">
        <f t="shared" si="34"/>
        <v>-1250219.4945571509</v>
      </c>
      <c r="T232" s="22">
        <f t="shared" si="35"/>
        <v>124991.56454399998</v>
      </c>
    </row>
    <row r="233" spans="1:20" x14ac:dyDescent="0.25">
      <c r="A233" s="21">
        <v>232</v>
      </c>
      <c r="B233" s="22">
        <f>CARGAS!$C$40*Equilibrio!A233^2+CARGAS!$D$40*Equilibrio!A233+CARGAS!$E$40</f>
        <v>120.76325044897956</v>
      </c>
      <c r="C233" s="22">
        <f>CARGAS!$C$53*Equilibrio!A233^2+CARGAS!$D$53*Equilibrio!A233+CARGAS!$E$53</f>
        <v>20.127208408163266</v>
      </c>
      <c r="D233">
        <f>IF(posisup=1,IF(A233&lt;=CARGAS!$E$68,sup,0),IF(posisup=2,IF(AND(A233&lt;=CARGAS!$E$69,A233&gt;=CARGAS!$D$69),sup,0),IF(posisup=3,IF(AND(A233&lt;=CARGAS!$E$70,A233&gt;=CARGAS!$D$70),sup,0),0)))</f>
        <v>0</v>
      </c>
      <c r="E233">
        <f>IF(A233&lt;=CARGAS!$H$25,CARGAS!$I$20,0)</f>
        <v>0</v>
      </c>
      <c r="F233" s="22">
        <f>IF(AND(A233&gt;CARGAS!$O$29,A233&lt;=CARGAS!$O$30),tanque1,0)</f>
        <v>0</v>
      </c>
      <c r="G233" s="22">
        <f>IF(AND(A233&gt;CARGAS!$R$29,A233&lt;=CARGAS!$R$30),tanque2,0)</f>
        <v>0</v>
      </c>
      <c r="H233" s="22">
        <f>IF(AND(A233&gt;CARGAS!$U$29,A233&lt;=CARGAS!$U$30),tanque3,0)</f>
        <v>0</v>
      </c>
      <c r="I233" s="22">
        <f>IF(AND(A233&gt;CARGAS!$X$29,A233&lt;=CARGAS!$X$30),tanque4,0)</f>
        <v>0</v>
      </c>
      <c r="J233" s="22">
        <f>IF(AND(A233&gt;CARGAS!$AA$29,A233&lt;=CARGAS!$AA$30),tanque5,0)</f>
        <v>0</v>
      </c>
      <c r="K233" s="22">
        <f>IF(AND($A233&gt;CARGAS!$AD$29,$A233&lt;=CARGAS!$AD$30),tanque6,0)</f>
        <v>399.84</v>
      </c>
      <c r="L233" s="22">
        <f>IF(AND($A233&gt;CARGAS!$AG$29,$A233&lt;=CARGAS!$AG$30),tanque7,0)</f>
        <v>0</v>
      </c>
      <c r="M233" s="22">
        <f>IF(AND($A233&gt;CARGAS!$AJ$29,$A233&lt;=CARGAS!$AJ$30),tanque8,0)</f>
        <v>0</v>
      </c>
      <c r="N233" s="22">
        <f t="shared" si="30"/>
        <v>540.73045885714282</v>
      </c>
      <c r="O233" s="22">
        <f t="shared" si="31"/>
        <v>15.696101342715071</v>
      </c>
      <c r="P233" s="22">
        <f>O233*Equilibrio!Y$39*Equilibrio!Y$38*DADOS!C$4</f>
        <v>482.65511628848839</v>
      </c>
      <c r="Q233" s="22">
        <f t="shared" si="32"/>
        <v>58.075342568654435</v>
      </c>
      <c r="R233" s="22">
        <f t="shared" si="33"/>
        <v>14363.53801690675</v>
      </c>
      <c r="S233" s="22">
        <f t="shared" si="34"/>
        <v>-1235855.9565402442</v>
      </c>
      <c r="T233" s="22">
        <f t="shared" si="35"/>
        <v>125449.46645485713</v>
      </c>
    </row>
    <row r="234" spans="1:20" x14ac:dyDescent="0.25">
      <c r="A234" s="21">
        <v>233</v>
      </c>
      <c r="B234" s="22">
        <f>CARGAS!$C$40*Equilibrio!A234^2+CARGAS!$D$40*Equilibrio!A234+CARGAS!$E$40</f>
        <v>120.45046922448978</v>
      </c>
      <c r="C234" s="22">
        <f>CARGAS!$C$53*Equilibrio!A234^2+CARGAS!$D$53*Equilibrio!A234+CARGAS!$E$53</f>
        <v>20.075078204081635</v>
      </c>
      <c r="D234">
        <f>IF(posisup=1,IF(A234&lt;=CARGAS!$E$68,sup,0),IF(posisup=2,IF(AND(A234&lt;=CARGAS!$E$69,A234&gt;=CARGAS!$D$69),sup,0),IF(posisup=3,IF(AND(A234&lt;=CARGAS!$E$70,A234&gt;=CARGAS!$D$70),sup,0),0)))</f>
        <v>0</v>
      </c>
      <c r="E234">
        <f>IF(A234&lt;=CARGAS!$H$25,CARGAS!$I$20,0)</f>
        <v>0</v>
      </c>
      <c r="F234" s="22">
        <f>IF(AND(A234&gt;CARGAS!$O$29,A234&lt;=CARGAS!$O$30),tanque1,0)</f>
        <v>0</v>
      </c>
      <c r="G234" s="22">
        <f>IF(AND(A234&gt;CARGAS!$R$29,A234&lt;=CARGAS!$R$30),tanque2,0)</f>
        <v>0</v>
      </c>
      <c r="H234" s="22">
        <f>IF(AND(A234&gt;CARGAS!$U$29,A234&lt;=CARGAS!$U$30),tanque3,0)</f>
        <v>0</v>
      </c>
      <c r="I234" s="22">
        <f>IF(AND(A234&gt;CARGAS!$X$29,A234&lt;=CARGAS!$X$30),tanque4,0)</f>
        <v>0</v>
      </c>
      <c r="J234" s="22">
        <f>IF(AND(A234&gt;CARGAS!$AA$29,A234&lt;=CARGAS!$AA$30),tanque5,0)</f>
        <v>0</v>
      </c>
      <c r="K234" s="22">
        <f>IF(AND($A234&gt;CARGAS!$AD$29,$A234&lt;=CARGAS!$AD$30),tanque6,0)</f>
        <v>399.84</v>
      </c>
      <c r="L234" s="22">
        <f>IF(AND($A234&gt;CARGAS!$AG$29,$A234&lt;=CARGAS!$AG$30),tanque7,0)</f>
        <v>0</v>
      </c>
      <c r="M234" s="22">
        <f>IF(AND($A234&gt;CARGAS!$AJ$29,$A234&lt;=CARGAS!$AJ$30),tanque8,0)</f>
        <v>0</v>
      </c>
      <c r="N234" s="22">
        <f t="shared" si="30"/>
        <v>540.3655474285714</v>
      </c>
      <c r="O234" s="22">
        <f t="shared" si="31"/>
        <v>15.838402822976288</v>
      </c>
      <c r="P234" s="22">
        <f>O234*Equilibrio!Y$39*Equilibrio!Y$38*DADOS!C$4</f>
        <v>487.03088680652087</v>
      </c>
      <c r="Q234" s="22">
        <f t="shared" si="32"/>
        <v>53.334660622050535</v>
      </c>
      <c r="R234" s="22">
        <f t="shared" si="33"/>
        <v>14416.872677528801</v>
      </c>
      <c r="S234" s="22">
        <f t="shared" si="34"/>
        <v>-1221439.0838627154</v>
      </c>
      <c r="T234" s="22">
        <f t="shared" si="35"/>
        <v>125905.17255085714</v>
      </c>
    </row>
    <row r="235" spans="1:20" x14ac:dyDescent="0.25">
      <c r="A235" s="21">
        <v>234</v>
      </c>
      <c r="B235" s="22">
        <f>CARGAS!$C$40*Equilibrio!A235^2+CARGAS!$D$40*Equilibrio!A235+CARGAS!$E$40</f>
        <v>120.13224832653057</v>
      </c>
      <c r="C235" s="22">
        <f>CARGAS!$C$53*Equilibrio!A235^2+CARGAS!$D$53*Equilibrio!A235+CARGAS!$E$53</f>
        <v>20.022041387755099</v>
      </c>
      <c r="D235">
        <f>IF(posisup=1,IF(A235&lt;=CARGAS!$E$68,sup,0),IF(posisup=2,IF(AND(A235&lt;=CARGAS!$E$69,A235&gt;=CARGAS!$D$69),sup,0),IF(posisup=3,IF(AND(A235&lt;=CARGAS!$E$70,A235&gt;=CARGAS!$D$70),sup,0),0)))</f>
        <v>0</v>
      </c>
      <c r="E235">
        <f>IF(A235&lt;=CARGAS!$H$25,CARGAS!$I$20,0)</f>
        <v>0</v>
      </c>
      <c r="F235" s="22">
        <f>IF(AND(A235&gt;CARGAS!$O$29,A235&lt;=CARGAS!$O$30),tanque1,0)</f>
        <v>0</v>
      </c>
      <c r="G235" s="22">
        <f>IF(AND(A235&gt;CARGAS!$R$29,A235&lt;=CARGAS!$R$30),tanque2,0)</f>
        <v>0</v>
      </c>
      <c r="H235" s="22">
        <f>IF(AND(A235&gt;CARGAS!$U$29,A235&lt;=CARGAS!$U$30),tanque3,0)</f>
        <v>0</v>
      </c>
      <c r="I235" s="22">
        <f>IF(AND(A235&gt;CARGAS!$X$29,A235&lt;=CARGAS!$X$30),tanque4,0)</f>
        <v>0</v>
      </c>
      <c r="J235" s="22">
        <f>IF(AND(A235&gt;CARGAS!$AA$29,A235&lt;=CARGAS!$AA$30),tanque5,0)</f>
        <v>0</v>
      </c>
      <c r="K235" s="22">
        <f>IF(AND($A235&gt;CARGAS!$AD$29,$A235&lt;=CARGAS!$AD$30),tanque6,0)</f>
        <v>399.84</v>
      </c>
      <c r="L235" s="22">
        <f>IF(AND($A235&gt;CARGAS!$AG$29,$A235&lt;=CARGAS!$AG$30),tanque7,0)</f>
        <v>0</v>
      </c>
      <c r="M235" s="22">
        <f>IF(AND($A235&gt;CARGAS!$AJ$29,$A235&lt;=CARGAS!$AJ$30),tanque8,0)</f>
        <v>0</v>
      </c>
      <c r="N235" s="22">
        <f t="shared" si="30"/>
        <v>539.99428971428563</v>
      </c>
      <c r="O235" s="22">
        <f t="shared" si="31"/>
        <v>15.982128796590496</v>
      </c>
      <c r="P235" s="22">
        <f>O235*Equilibrio!Y$39*Equilibrio!Y$38*DADOS!C$4</f>
        <v>491.45046049515764</v>
      </c>
      <c r="Q235" s="22">
        <f t="shared" si="32"/>
        <v>48.543829219127986</v>
      </c>
      <c r="R235" s="22">
        <f t="shared" si="33"/>
        <v>14465.41650674793</v>
      </c>
      <c r="S235" s="22">
        <f t="shared" si="34"/>
        <v>-1206973.6673559675</v>
      </c>
      <c r="T235" s="22">
        <f t="shared" si="35"/>
        <v>126358.66379314284</v>
      </c>
    </row>
    <row r="236" spans="1:20" x14ac:dyDescent="0.25">
      <c r="A236" s="21">
        <v>235</v>
      </c>
      <c r="B236" s="22">
        <f>CARGAS!$C$40*Equilibrio!A236^2+CARGAS!$D$40*Equilibrio!A236+CARGAS!$E$40</f>
        <v>119.808587755102</v>
      </c>
      <c r="C236" s="22">
        <f>CARGAS!$C$53*Equilibrio!A236^2+CARGAS!$D$53*Equilibrio!A236+CARGAS!$E$53</f>
        <v>19.96809795918367</v>
      </c>
      <c r="D236">
        <f>IF(posisup=1,IF(A236&lt;=CARGAS!$E$68,sup,0),IF(posisup=2,IF(AND(A236&lt;=CARGAS!$E$69,A236&gt;=CARGAS!$D$69),sup,0),IF(posisup=3,IF(AND(A236&lt;=CARGAS!$E$70,A236&gt;=CARGAS!$D$70),sup,0),0)))</f>
        <v>0</v>
      </c>
      <c r="E236">
        <f>IF(A236&lt;=CARGAS!$H$25,CARGAS!$I$20,0)</f>
        <v>0</v>
      </c>
      <c r="F236" s="22">
        <f>IF(AND(A236&gt;CARGAS!$O$29,A236&lt;=CARGAS!$O$30),tanque1,0)</f>
        <v>0</v>
      </c>
      <c r="G236" s="22">
        <f>IF(AND(A236&gt;CARGAS!$R$29,A236&lt;=CARGAS!$R$30),tanque2,0)</f>
        <v>0</v>
      </c>
      <c r="H236" s="22">
        <f>IF(AND(A236&gt;CARGAS!$U$29,A236&lt;=CARGAS!$U$30),tanque3,0)</f>
        <v>0</v>
      </c>
      <c r="I236" s="22">
        <f>IF(AND(A236&gt;CARGAS!$X$29,A236&lt;=CARGAS!$X$30),tanque4,0)</f>
        <v>0</v>
      </c>
      <c r="J236" s="22">
        <f>IF(AND(A236&gt;CARGAS!$AA$29,A236&lt;=CARGAS!$AA$30),tanque5,0)</f>
        <v>0</v>
      </c>
      <c r="K236" s="22">
        <f>IF(AND($A236&gt;CARGAS!$AD$29,$A236&lt;=CARGAS!$AD$30),tanque6,0)</f>
        <v>399.84</v>
      </c>
      <c r="L236" s="22">
        <f>IF(AND($A236&gt;CARGAS!$AG$29,$A236&lt;=CARGAS!$AG$30),tanque7,0)</f>
        <v>0</v>
      </c>
      <c r="M236" s="22">
        <f>IF(AND($A236&gt;CARGAS!$AJ$29,$A236&lt;=CARGAS!$AJ$30),tanque8,0)</f>
        <v>0</v>
      </c>
      <c r="N236" s="22">
        <f t="shared" si="30"/>
        <v>539.61668571428561</v>
      </c>
      <c r="O236" s="22">
        <f t="shared" si="31"/>
        <v>16.12723534942749</v>
      </c>
      <c r="P236" s="22">
        <f>O236*Equilibrio!Y$39*Equilibrio!Y$38*DADOS!C$4</f>
        <v>495.91248699489529</v>
      </c>
      <c r="Q236" s="22">
        <f t="shared" si="32"/>
        <v>43.70419871939032</v>
      </c>
      <c r="R236" s="22">
        <f t="shared" si="33"/>
        <v>14509.12070546732</v>
      </c>
      <c r="S236" s="22">
        <f t="shared" si="34"/>
        <v>-1192464.5466505</v>
      </c>
      <c r="T236" s="22">
        <f t="shared" si="35"/>
        <v>126809.92114285711</v>
      </c>
    </row>
    <row r="237" spans="1:20" x14ac:dyDescent="0.25">
      <c r="A237" s="21">
        <v>236</v>
      </c>
      <c r="B237" s="22">
        <f>CARGAS!$C$40*Equilibrio!A237^2+CARGAS!$D$40*Equilibrio!A237+CARGAS!$E$40</f>
        <v>119.47948751020408</v>
      </c>
      <c r="C237" s="22">
        <f>CARGAS!$C$53*Equilibrio!A237^2+CARGAS!$D$53*Equilibrio!A237+CARGAS!$E$53</f>
        <v>19.913247918367347</v>
      </c>
      <c r="D237">
        <f>IF(posisup=1,IF(A237&lt;=CARGAS!$E$68,sup,0),IF(posisup=2,IF(AND(A237&lt;=CARGAS!$E$69,A237&gt;=CARGAS!$D$69),sup,0),IF(posisup=3,IF(AND(A237&lt;=CARGAS!$E$70,A237&gt;=CARGAS!$D$70),sup,0),0)))</f>
        <v>0</v>
      </c>
      <c r="E237">
        <f>IF(A237&lt;=CARGAS!$H$25,CARGAS!$I$20,0)</f>
        <v>0</v>
      </c>
      <c r="F237" s="22">
        <f>IF(AND(A237&gt;CARGAS!$O$29,A237&lt;=CARGAS!$O$30),tanque1,0)</f>
        <v>0</v>
      </c>
      <c r="G237" s="22">
        <f>IF(AND(A237&gt;CARGAS!$R$29,A237&lt;=CARGAS!$R$30),tanque2,0)</f>
        <v>0</v>
      </c>
      <c r="H237" s="22">
        <f>IF(AND(A237&gt;CARGAS!$U$29,A237&lt;=CARGAS!$U$30),tanque3,0)</f>
        <v>0</v>
      </c>
      <c r="I237" s="22">
        <f>IF(AND(A237&gt;CARGAS!$X$29,A237&lt;=CARGAS!$X$30),tanque4,0)</f>
        <v>0</v>
      </c>
      <c r="J237" s="22">
        <f>IF(AND(A237&gt;CARGAS!$AA$29,A237&lt;=CARGAS!$AA$30),tanque5,0)</f>
        <v>0</v>
      </c>
      <c r="K237" s="22">
        <f>IF(AND($A237&gt;CARGAS!$AD$29,$A237&lt;=CARGAS!$AD$30),tanque6,0)</f>
        <v>399.84</v>
      </c>
      <c r="L237" s="22">
        <f>IF(AND($A237&gt;CARGAS!$AG$29,$A237&lt;=CARGAS!$AG$30),tanque7,0)</f>
        <v>0</v>
      </c>
      <c r="M237" s="22">
        <f>IF(AND($A237&gt;CARGAS!$AJ$29,$A237&lt;=CARGAS!$AJ$30),tanque8,0)</f>
        <v>0</v>
      </c>
      <c r="N237" s="22">
        <f t="shared" si="30"/>
        <v>539.23273542857146</v>
      </c>
      <c r="O237" s="22">
        <f t="shared" si="31"/>
        <v>16.273678122445915</v>
      </c>
      <c r="P237" s="22">
        <f>O237*Equilibrio!Y$39*Equilibrio!Y$38*DADOS!C$4</f>
        <v>500.41560226521187</v>
      </c>
      <c r="Q237" s="22">
        <f t="shared" si="32"/>
        <v>38.817133163359586</v>
      </c>
      <c r="R237" s="22">
        <f t="shared" si="33"/>
        <v>14547.93783863068</v>
      </c>
      <c r="S237" s="22">
        <f t="shared" si="34"/>
        <v>-1177916.6088118693</v>
      </c>
      <c r="T237" s="22">
        <f t="shared" si="35"/>
        <v>127258.92556114287</v>
      </c>
    </row>
    <row r="238" spans="1:20" x14ac:dyDescent="0.25">
      <c r="A238" s="21">
        <v>237</v>
      </c>
      <c r="B238" s="22">
        <f>CARGAS!$C$40*Equilibrio!A238^2+CARGAS!$D$40*Equilibrio!A238+CARGAS!$E$40</f>
        <v>119.14494759183671</v>
      </c>
      <c r="C238" s="22">
        <f>CARGAS!$C$53*Equilibrio!A238^2+CARGAS!$D$53*Equilibrio!A238+CARGAS!$E$53</f>
        <v>19.857491265306123</v>
      </c>
      <c r="D238">
        <f>IF(posisup=1,IF(A238&lt;=CARGAS!$E$68,sup,0),IF(posisup=2,IF(AND(A238&lt;=CARGAS!$E$69,A238&gt;=CARGAS!$D$69),sup,0),IF(posisup=3,IF(AND(A238&lt;=CARGAS!$E$70,A238&gt;=CARGAS!$D$70),sup,0),0)))</f>
        <v>0</v>
      </c>
      <c r="E238">
        <f>IF(A238&lt;=CARGAS!$H$25,CARGAS!$I$20,0)</f>
        <v>0</v>
      </c>
      <c r="F238" s="22">
        <f>IF(AND(A238&gt;CARGAS!$O$29,A238&lt;=CARGAS!$O$30),tanque1,0)</f>
        <v>0</v>
      </c>
      <c r="G238" s="22">
        <f>IF(AND(A238&gt;CARGAS!$R$29,A238&lt;=CARGAS!$R$30),tanque2,0)</f>
        <v>0</v>
      </c>
      <c r="H238" s="22">
        <f>IF(AND(A238&gt;CARGAS!$U$29,A238&lt;=CARGAS!$U$30),tanque3,0)</f>
        <v>0</v>
      </c>
      <c r="I238" s="22">
        <f>IF(AND(A238&gt;CARGAS!$X$29,A238&lt;=CARGAS!$X$30),tanque4,0)</f>
        <v>0</v>
      </c>
      <c r="J238" s="22">
        <f>IF(AND(A238&gt;CARGAS!$AA$29,A238&lt;=CARGAS!$AA$30),tanque5,0)</f>
        <v>0</v>
      </c>
      <c r="K238" s="22">
        <f>IF(AND($A238&gt;CARGAS!$AD$29,$A238&lt;=CARGAS!$AD$30),tanque6,0)</f>
        <v>399.84</v>
      </c>
      <c r="L238" s="22">
        <f>IF(AND($A238&gt;CARGAS!$AG$29,$A238&lt;=CARGAS!$AG$30),tanque7,0)</f>
        <v>0</v>
      </c>
      <c r="M238" s="22">
        <f>IF(AND($A238&gt;CARGAS!$AJ$29,$A238&lt;=CARGAS!$AJ$30),tanque8,0)</f>
        <v>0</v>
      </c>
      <c r="N238" s="22">
        <f t="shared" si="30"/>
        <v>538.84243885714284</v>
      </c>
      <c r="O238" s="22">
        <f t="shared" si="31"/>
        <v>16.421412325988552</v>
      </c>
      <c r="P238" s="22">
        <f>O238*Equilibrio!Y$39*Equilibrio!Y$38*DADOS!C$4</f>
        <v>504.9584290241479</v>
      </c>
      <c r="Q238" s="22">
        <f t="shared" si="32"/>
        <v>33.884009832994934</v>
      </c>
      <c r="R238" s="22">
        <f t="shared" si="33"/>
        <v>14581.821848463675</v>
      </c>
      <c r="S238" s="22">
        <f t="shared" si="34"/>
        <v>-1163334.7869634056</v>
      </c>
      <c r="T238" s="22">
        <f t="shared" si="35"/>
        <v>127705.65800914285</v>
      </c>
    </row>
    <row r="239" spans="1:20" x14ac:dyDescent="0.25">
      <c r="A239" s="21">
        <v>238</v>
      </c>
      <c r="B239" s="22">
        <f>CARGAS!$C$40*Equilibrio!A239^2+CARGAS!$D$40*Equilibrio!A239+CARGAS!$E$40</f>
        <v>118.80496799999997</v>
      </c>
      <c r="C239" s="22">
        <f>CARGAS!$C$53*Equilibrio!A239^2+CARGAS!$D$53*Equilibrio!A239+CARGAS!$E$53</f>
        <v>19.800827999999996</v>
      </c>
      <c r="D239">
        <f>IF(posisup=1,IF(A239&lt;=CARGAS!$E$68,sup,0),IF(posisup=2,IF(AND(A239&lt;=CARGAS!$E$69,A239&gt;=CARGAS!$D$69),sup,0),IF(posisup=3,IF(AND(A239&lt;=CARGAS!$E$70,A239&gt;=CARGAS!$D$70),sup,0),0)))</f>
        <v>0</v>
      </c>
      <c r="E239">
        <f>IF(A239&lt;=CARGAS!$H$25,CARGAS!$I$20,0)</f>
        <v>0</v>
      </c>
      <c r="F239" s="22">
        <f>IF(AND(A239&gt;CARGAS!$O$29,A239&lt;=CARGAS!$O$30),tanque1,0)</f>
        <v>0</v>
      </c>
      <c r="G239" s="22">
        <f>IF(AND(A239&gt;CARGAS!$R$29,A239&lt;=CARGAS!$R$30),tanque2,0)</f>
        <v>0</v>
      </c>
      <c r="H239" s="22">
        <f>IF(AND(A239&gt;CARGAS!$U$29,A239&lt;=CARGAS!$U$30),tanque3,0)</f>
        <v>0</v>
      </c>
      <c r="I239" s="22">
        <f>IF(AND(A239&gt;CARGAS!$X$29,A239&lt;=CARGAS!$X$30),tanque4,0)</f>
        <v>0</v>
      </c>
      <c r="J239" s="22">
        <f>IF(AND(A239&gt;CARGAS!$AA$29,A239&lt;=CARGAS!$AA$30),tanque5,0)</f>
        <v>0</v>
      </c>
      <c r="K239" s="22">
        <f>IF(AND($A239&gt;CARGAS!$AD$29,$A239&lt;=CARGAS!$AD$30),tanque6,0)</f>
        <v>399.84</v>
      </c>
      <c r="L239" s="22">
        <f>IF(AND($A239&gt;CARGAS!$AG$29,$A239&lt;=CARGAS!$AG$30),tanque7,0)</f>
        <v>0</v>
      </c>
      <c r="M239" s="22">
        <f>IF(AND($A239&gt;CARGAS!$AJ$29,$A239&lt;=CARGAS!$AJ$30),tanque8,0)</f>
        <v>0</v>
      </c>
      <c r="N239" s="22">
        <f t="shared" si="30"/>
        <v>538.44579599999997</v>
      </c>
      <c r="O239" s="22">
        <f t="shared" si="31"/>
        <v>16.570392754216428</v>
      </c>
      <c r="P239" s="22">
        <f>O239*Equilibrio!Y$39*Equilibrio!Y$38*DADOS!C$4</f>
        <v>509.53957719215515</v>
      </c>
      <c r="Q239" s="22">
        <f t="shared" si="32"/>
        <v>28.906218807844823</v>
      </c>
      <c r="R239" s="22">
        <f t="shared" si="33"/>
        <v>14610.728067271519</v>
      </c>
      <c r="S239" s="22">
        <f t="shared" si="34"/>
        <v>-1148724.0588961341</v>
      </c>
      <c r="T239" s="22">
        <f t="shared" si="35"/>
        <v>128150.09944799999</v>
      </c>
    </row>
    <row r="240" spans="1:20" x14ac:dyDescent="0.25">
      <c r="A240" s="21">
        <v>239</v>
      </c>
      <c r="B240" s="22">
        <f>CARGAS!$C$40*Equilibrio!A240^2+CARGAS!$D$40*Equilibrio!A240+CARGAS!$E$40</f>
        <v>118.45954873469387</v>
      </c>
      <c r="C240" s="22">
        <f>CARGAS!$C$53*Equilibrio!A240^2+CARGAS!$D$53*Equilibrio!A240+CARGAS!$E$53</f>
        <v>19.743258122448978</v>
      </c>
      <c r="D240">
        <f>IF(posisup=1,IF(A240&lt;=CARGAS!$E$68,sup,0),IF(posisup=2,IF(AND(A240&lt;=CARGAS!$E$69,A240&gt;=CARGAS!$D$69),sup,0),IF(posisup=3,IF(AND(A240&lt;=CARGAS!$E$70,A240&gt;=CARGAS!$D$70),sup,0),0)))</f>
        <v>0</v>
      </c>
      <c r="E240">
        <f>IF(A240&lt;=CARGAS!$H$25,CARGAS!$I$20,0)</f>
        <v>0</v>
      </c>
      <c r="F240" s="22">
        <f>IF(AND(A240&gt;CARGAS!$O$29,A240&lt;=CARGAS!$O$30),tanque1,0)</f>
        <v>0</v>
      </c>
      <c r="G240" s="22">
        <f>IF(AND(A240&gt;CARGAS!$R$29,A240&lt;=CARGAS!$R$30),tanque2,0)</f>
        <v>0</v>
      </c>
      <c r="H240" s="22">
        <f>IF(AND(A240&gt;CARGAS!$U$29,A240&lt;=CARGAS!$U$30),tanque3,0)</f>
        <v>0</v>
      </c>
      <c r="I240" s="22">
        <f>IF(AND(A240&gt;CARGAS!$X$29,A240&lt;=CARGAS!$X$30),tanque4,0)</f>
        <v>0</v>
      </c>
      <c r="J240" s="22">
        <f>IF(AND(A240&gt;CARGAS!$AA$29,A240&lt;=CARGAS!$AA$30),tanque5,0)</f>
        <v>0</v>
      </c>
      <c r="K240" s="22">
        <f>IF(AND($A240&gt;CARGAS!$AD$29,$A240&lt;=CARGAS!$AD$30),tanque6,0)</f>
        <v>399.84</v>
      </c>
      <c r="L240" s="22">
        <f>IF(AND($A240&gt;CARGAS!$AG$29,$A240&lt;=CARGAS!$AG$30),tanque7,0)</f>
        <v>0</v>
      </c>
      <c r="M240" s="22">
        <f>IF(AND($A240&gt;CARGAS!$AJ$29,$A240&lt;=CARGAS!$AJ$30),tanque8,0)</f>
        <v>0</v>
      </c>
      <c r="N240" s="22">
        <f t="shared" si="30"/>
        <v>538.04280685714275</v>
      </c>
      <c r="O240" s="22">
        <f t="shared" si="31"/>
        <v>16.720573799677044</v>
      </c>
      <c r="P240" s="22">
        <f>O240*Equilibrio!Y$39*Equilibrio!Y$38*DADOS!C$4</f>
        <v>514.15764434006906</v>
      </c>
      <c r="Q240" s="22">
        <f t="shared" si="32"/>
        <v>23.885162517073695</v>
      </c>
      <c r="R240" s="22">
        <f t="shared" si="33"/>
        <v>14634.613229788592</v>
      </c>
      <c r="S240" s="22">
        <f t="shared" si="34"/>
        <v>-1134089.4456663455</v>
      </c>
      <c r="T240" s="22">
        <f t="shared" si="35"/>
        <v>128592.23083885711</v>
      </c>
    </row>
    <row r="241" spans="1:20" x14ac:dyDescent="0.25">
      <c r="A241" s="21">
        <v>240</v>
      </c>
      <c r="B241" s="22">
        <f>CARGAS!$C$40*Equilibrio!A241^2+CARGAS!$D$40*Equilibrio!A241+CARGAS!$E$40</f>
        <v>118.10868979591834</v>
      </c>
      <c r="C241" s="22">
        <f>CARGAS!$C$53*Equilibrio!A241^2+CARGAS!$D$53*Equilibrio!A241+CARGAS!$E$53</f>
        <v>19.68478163265306</v>
      </c>
      <c r="D241">
        <f>IF(posisup=1,IF(A241&lt;=CARGAS!$E$68,sup,0),IF(posisup=2,IF(AND(A241&lt;=CARGAS!$E$69,A241&gt;=CARGAS!$D$69),sup,0),IF(posisup=3,IF(AND(A241&lt;=CARGAS!$E$70,A241&gt;=CARGAS!$D$70),sup,0),0)))</f>
        <v>0</v>
      </c>
      <c r="E241">
        <f>IF(A241&lt;=CARGAS!$H$25,CARGAS!$I$20,0)</f>
        <v>0</v>
      </c>
      <c r="F241" s="22">
        <f>IF(AND(A241&gt;CARGAS!$O$29,A241&lt;=CARGAS!$O$30),tanque1,0)</f>
        <v>0</v>
      </c>
      <c r="G241" s="22">
        <f>IF(AND(A241&gt;CARGAS!$R$29,A241&lt;=CARGAS!$R$30),tanque2,0)</f>
        <v>0</v>
      </c>
      <c r="H241" s="22">
        <f>IF(AND(A241&gt;CARGAS!$U$29,A241&lt;=CARGAS!$U$30),tanque3,0)</f>
        <v>0</v>
      </c>
      <c r="I241" s="22">
        <f>IF(AND(A241&gt;CARGAS!$X$29,A241&lt;=CARGAS!$X$30),tanque4,0)</f>
        <v>0</v>
      </c>
      <c r="J241" s="22">
        <f>IF(AND(A241&gt;CARGAS!$AA$29,A241&lt;=CARGAS!$AA$30),tanque5,0)</f>
        <v>0</v>
      </c>
      <c r="K241" s="22">
        <f>IF(AND($A241&gt;CARGAS!$AD$29,$A241&lt;=CARGAS!$AD$30),tanque6,0)</f>
        <v>399.84</v>
      </c>
      <c r="L241" s="22">
        <f>IF(AND($A241&gt;CARGAS!$AG$29,$A241&lt;=CARGAS!$AG$30),tanque7,0)</f>
        <v>0</v>
      </c>
      <c r="M241" s="22">
        <f>IF(AND($A241&gt;CARGAS!$AJ$29,$A241&lt;=CARGAS!$AJ$30),tanque8,0)</f>
        <v>0</v>
      </c>
      <c r="N241" s="22">
        <f t="shared" si="30"/>
        <v>537.6334714285714</v>
      </c>
      <c r="O241" s="22">
        <f t="shared" si="31"/>
        <v>16.871909468002038</v>
      </c>
      <c r="P241" s="22">
        <f>O241*Equilibrio!Y$39*Equilibrio!Y$38*DADOS!C$4</f>
        <v>518.81121614106269</v>
      </c>
      <c r="Q241" s="22">
        <f t="shared" si="32"/>
        <v>18.82225528750871</v>
      </c>
      <c r="R241" s="22">
        <f t="shared" si="33"/>
        <v>14653.435485076101</v>
      </c>
      <c r="S241" s="22">
        <f t="shared" si="34"/>
        <v>-1119436.0101812694</v>
      </c>
      <c r="T241" s="22">
        <f t="shared" si="35"/>
        <v>129032.03314285714</v>
      </c>
    </row>
    <row r="242" spans="1:20" x14ac:dyDescent="0.25">
      <c r="A242" s="21">
        <v>241</v>
      </c>
      <c r="B242" s="22">
        <f>CARGAS!$C$40*Equilibrio!A242^2+CARGAS!$D$40*Equilibrio!A242+CARGAS!$E$40</f>
        <v>117.75239118367344</v>
      </c>
      <c r="C242" s="22">
        <f>CARGAS!$C$53*Equilibrio!A242^2+CARGAS!$D$53*Equilibrio!A242+CARGAS!$E$53</f>
        <v>19.625398530612248</v>
      </c>
      <c r="D242">
        <f>IF(posisup=1,IF(A242&lt;=CARGAS!$E$68,sup,0),IF(posisup=2,IF(AND(A242&lt;=CARGAS!$E$69,A242&gt;=CARGAS!$D$69),sup,0),IF(posisup=3,IF(AND(A242&lt;=CARGAS!$E$70,A242&gt;=CARGAS!$D$70),sup,0),0)))</f>
        <v>0</v>
      </c>
      <c r="E242">
        <f>IF(A242&lt;=CARGAS!$H$25,CARGAS!$I$20,0)</f>
        <v>0</v>
      </c>
      <c r="F242" s="22">
        <f>IF(AND(A242&gt;CARGAS!$O$29,A242&lt;=CARGAS!$O$30),tanque1,0)</f>
        <v>0</v>
      </c>
      <c r="G242" s="22">
        <f>IF(AND(A242&gt;CARGAS!$R$29,A242&lt;=CARGAS!$R$30),tanque2,0)</f>
        <v>0</v>
      </c>
      <c r="H242" s="22">
        <f>IF(AND(A242&gt;CARGAS!$U$29,A242&lt;=CARGAS!$U$30),tanque3,0)</f>
        <v>0</v>
      </c>
      <c r="I242" s="22">
        <f>IF(AND(A242&gt;CARGAS!$X$29,A242&lt;=CARGAS!$X$30),tanque4,0)</f>
        <v>0</v>
      </c>
      <c r="J242" s="22">
        <f>IF(AND(A242&gt;CARGAS!$AA$29,A242&lt;=CARGAS!$AA$30),tanque5,0)</f>
        <v>0</v>
      </c>
      <c r="K242" s="22">
        <f>IF(AND($A242&gt;CARGAS!$AD$29,$A242&lt;=CARGAS!$AD$30),tanque6,0)</f>
        <v>399.84</v>
      </c>
      <c r="L242" s="22">
        <f>IF(AND($A242&gt;CARGAS!$AG$29,$A242&lt;=CARGAS!$AG$30),tanque7,0)</f>
        <v>0</v>
      </c>
      <c r="M242" s="22">
        <f>IF(AND($A242&gt;CARGAS!$AJ$29,$A242&lt;=CARGAS!$AJ$30),tanque8,0)</f>
        <v>0</v>
      </c>
      <c r="N242" s="22">
        <f t="shared" si="30"/>
        <v>537.21778971428569</v>
      </c>
      <c r="O242" s="22">
        <f t="shared" si="31"/>
        <v>17.024353392729473</v>
      </c>
      <c r="P242" s="22">
        <f>O242*Equilibrio!Y$39*Equilibrio!Y$38*DADOS!C$4</f>
        <v>523.49886682643125</v>
      </c>
      <c r="Q242" s="22">
        <f t="shared" si="32"/>
        <v>13.718922887854433</v>
      </c>
      <c r="R242" s="22">
        <f t="shared" si="33"/>
        <v>14667.154407963955</v>
      </c>
      <c r="S242" s="22">
        <f t="shared" si="34"/>
        <v>-1104768.8557733055</v>
      </c>
      <c r="T242" s="22">
        <f t="shared" si="35"/>
        <v>129469.48732114285</v>
      </c>
    </row>
    <row r="243" spans="1:20" x14ac:dyDescent="0.25">
      <c r="A243" s="21">
        <v>242</v>
      </c>
      <c r="B243" s="22">
        <f>CARGAS!$C$40*Equilibrio!A243^2+CARGAS!$D$40*Equilibrio!A243+CARGAS!$E$40</f>
        <v>117.39065289795917</v>
      </c>
      <c r="C243" s="22">
        <f>CARGAS!$C$53*Equilibrio!A243^2+CARGAS!$D$53*Equilibrio!A243+CARGAS!$E$53</f>
        <v>19.565108816326529</v>
      </c>
      <c r="D243">
        <f>IF(posisup=1,IF(A243&lt;=CARGAS!$E$68,sup,0),IF(posisup=2,IF(AND(A243&lt;=CARGAS!$E$69,A243&gt;=CARGAS!$D$69),sup,0),IF(posisup=3,IF(AND(A243&lt;=CARGAS!$E$70,A243&gt;=CARGAS!$D$70),sup,0),0)))</f>
        <v>0</v>
      </c>
      <c r="E243">
        <f>IF(A243&lt;=CARGAS!$H$25,CARGAS!$I$20,0)</f>
        <v>0</v>
      </c>
      <c r="F243" s="22">
        <f>IF(AND(A243&gt;CARGAS!$O$29,A243&lt;=CARGAS!$O$30),tanque1,0)</f>
        <v>0</v>
      </c>
      <c r="G243" s="22">
        <f>IF(AND(A243&gt;CARGAS!$R$29,A243&lt;=CARGAS!$R$30),tanque2,0)</f>
        <v>0</v>
      </c>
      <c r="H243" s="22">
        <f>IF(AND(A243&gt;CARGAS!$U$29,A243&lt;=CARGAS!$U$30),tanque3,0)</f>
        <v>0</v>
      </c>
      <c r="I243" s="22">
        <f>IF(AND(A243&gt;CARGAS!$X$29,A243&lt;=CARGAS!$X$30),tanque4,0)</f>
        <v>0</v>
      </c>
      <c r="J243" s="22">
        <f>IF(AND(A243&gt;CARGAS!$AA$29,A243&lt;=CARGAS!$AA$30),tanque5,0)</f>
        <v>0</v>
      </c>
      <c r="K243" s="22">
        <f>IF(AND($A243&gt;CARGAS!$AD$29,$A243&lt;=CARGAS!$AD$30),tanque6,0)</f>
        <v>399.84</v>
      </c>
      <c r="L243" s="22">
        <f>IF(AND($A243&gt;CARGAS!$AG$29,$A243&lt;=CARGAS!$AG$30),tanque7,0)</f>
        <v>0</v>
      </c>
      <c r="M243" s="22">
        <f>IF(AND($A243&gt;CARGAS!$AJ$29,$A243&lt;=CARGAS!$AJ$30),tanque8,0)</f>
        <v>0</v>
      </c>
      <c r="N243" s="22">
        <f t="shared" si="30"/>
        <v>536.79576171428562</v>
      </c>
      <c r="O243" s="22">
        <f t="shared" si="31"/>
        <v>17.177858850246118</v>
      </c>
      <c r="P243" s="22">
        <f>O243*Equilibrio!Y$39*Equilibrio!Y$38*DADOS!C$4</f>
        <v>528.21915964506809</v>
      </c>
      <c r="Q243" s="22">
        <f t="shared" si="32"/>
        <v>8.5766020692175289</v>
      </c>
      <c r="R243" s="22">
        <f t="shared" si="33"/>
        <v>14675.731010033172</v>
      </c>
      <c r="S243" s="22">
        <f t="shared" si="34"/>
        <v>-1090093.1247632722</v>
      </c>
      <c r="T243" s="22">
        <f t="shared" si="35"/>
        <v>129904.57433485711</v>
      </c>
    </row>
    <row r="244" spans="1:20" x14ac:dyDescent="0.25">
      <c r="A244" s="21">
        <v>243</v>
      </c>
      <c r="B244" s="22">
        <f>CARGAS!$C$40*Equilibrio!A244^2+CARGAS!$D$40*Equilibrio!A244+CARGAS!$E$40</f>
        <v>117.02347493877548</v>
      </c>
      <c r="C244" s="22">
        <f>CARGAS!$C$53*Equilibrio!A244^2+CARGAS!$D$53*Equilibrio!A244+CARGAS!$E$53</f>
        <v>19.503912489795916</v>
      </c>
      <c r="D244">
        <f>IF(posisup=1,IF(A244&lt;=CARGAS!$E$68,sup,0),IF(posisup=2,IF(AND(A244&lt;=CARGAS!$E$69,A244&gt;=CARGAS!$D$69),sup,0),IF(posisup=3,IF(AND(A244&lt;=CARGAS!$E$70,A244&gt;=CARGAS!$D$70),sup,0),0)))</f>
        <v>0</v>
      </c>
      <c r="E244">
        <f>IF(A244&lt;=CARGAS!$H$25,CARGAS!$I$20,0)</f>
        <v>0</v>
      </c>
      <c r="F244" s="22">
        <f>IF(AND(A244&gt;CARGAS!$O$29,A244&lt;=CARGAS!$O$30),tanque1,0)</f>
        <v>0</v>
      </c>
      <c r="G244" s="22">
        <f>IF(AND(A244&gt;CARGAS!$R$29,A244&lt;=CARGAS!$R$30),tanque2,0)</f>
        <v>0</v>
      </c>
      <c r="H244" s="22">
        <f>IF(AND(A244&gt;CARGAS!$U$29,A244&lt;=CARGAS!$U$30),tanque3,0)</f>
        <v>0</v>
      </c>
      <c r="I244" s="22">
        <f>IF(AND(A244&gt;CARGAS!$X$29,A244&lt;=CARGAS!$X$30),tanque4,0)</f>
        <v>0</v>
      </c>
      <c r="J244" s="22">
        <f>IF(AND(A244&gt;CARGAS!$AA$29,A244&lt;=CARGAS!$AA$30),tanque5,0)</f>
        <v>0</v>
      </c>
      <c r="K244" s="22">
        <f>IF(AND($A244&gt;CARGAS!$AD$29,$A244&lt;=CARGAS!$AD$30),tanque6,0)</f>
        <v>399.84</v>
      </c>
      <c r="L244" s="22">
        <f>IF(AND($A244&gt;CARGAS!$AG$29,$A244&lt;=CARGAS!$AG$30),tanque7,0)</f>
        <v>0</v>
      </c>
      <c r="M244" s="22">
        <f>IF(AND($A244&gt;CARGAS!$AJ$29,$A244&lt;=CARGAS!$AJ$30),tanque8,0)</f>
        <v>0</v>
      </c>
      <c r="N244" s="22">
        <f t="shared" si="30"/>
        <v>536.36738742857142</v>
      </c>
      <c r="O244" s="22">
        <f t="shared" si="31"/>
        <v>17.332378774844802</v>
      </c>
      <c r="P244" s="22">
        <f>O244*Equilibrio!Y$39*Equilibrio!Y$38*DADOS!C$4</f>
        <v>532.97064732647755</v>
      </c>
      <c r="Q244" s="22">
        <f t="shared" si="32"/>
        <v>3.3967401020938723</v>
      </c>
      <c r="R244" s="22">
        <f t="shared" si="33"/>
        <v>14679.127750135267</v>
      </c>
      <c r="S244" s="22">
        <f t="shared" si="34"/>
        <v>-1075413.997013137</v>
      </c>
      <c r="T244" s="22">
        <f t="shared" si="35"/>
        <v>130337.27514514285</v>
      </c>
    </row>
    <row r="245" spans="1:20" x14ac:dyDescent="0.25">
      <c r="A245" s="21">
        <v>244</v>
      </c>
      <c r="B245" s="22">
        <f>CARGAS!$C$40*Equilibrio!A245^2+CARGAS!$D$40*Equilibrio!A245+CARGAS!$E$40</f>
        <v>116.65085730612245</v>
      </c>
      <c r="C245" s="22">
        <f>CARGAS!$C$53*Equilibrio!A245^2+CARGAS!$D$53*Equilibrio!A245+CARGAS!$E$53</f>
        <v>19.441809551020409</v>
      </c>
      <c r="D245">
        <f>IF(posisup=1,IF(A245&lt;=CARGAS!$E$68,sup,0),IF(posisup=2,IF(AND(A245&lt;=CARGAS!$E$69,A245&gt;=CARGAS!$D$69),sup,0),IF(posisup=3,IF(AND(A245&lt;=CARGAS!$E$70,A245&gt;=CARGAS!$D$70),sup,0),0)))</f>
        <v>0</v>
      </c>
      <c r="E245">
        <f>IF(A245&lt;=CARGAS!$H$25,CARGAS!$I$20,0)</f>
        <v>0</v>
      </c>
      <c r="F245" s="22">
        <f>IF(AND(A245&gt;CARGAS!$O$29,A245&lt;=CARGAS!$O$30),tanque1,0)</f>
        <v>0</v>
      </c>
      <c r="G245" s="22">
        <f>IF(AND(A245&gt;CARGAS!$R$29,A245&lt;=CARGAS!$R$30),tanque2,0)</f>
        <v>0</v>
      </c>
      <c r="H245" s="22">
        <f>IF(AND(A245&gt;CARGAS!$U$29,A245&lt;=CARGAS!$U$30),tanque3,0)</f>
        <v>0</v>
      </c>
      <c r="I245" s="22">
        <f>IF(AND(A245&gt;CARGAS!$X$29,A245&lt;=CARGAS!$X$30),tanque4,0)</f>
        <v>0</v>
      </c>
      <c r="J245" s="22">
        <f>IF(AND(A245&gt;CARGAS!$AA$29,A245&lt;=CARGAS!$AA$30),tanque5,0)</f>
        <v>0</v>
      </c>
      <c r="K245" s="22">
        <f>IF(AND($A245&gt;CARGAS!$AD$29,$A245&lt;=CARGAS!$AD$30),tanque6,0)</f>
        <v>399.84</v>
      </c>
      <c r="L245" s="22">
        <f>IF(AND($A245&gt;CARGAS!$AG$29,$A245&lt;=CARGAS!$AG$30),tanque7,0)</f>
        <v>0</v>
      </c>
      <c r="M245" s="22">
        <f>IF(AND($A245&gt;CARGAS!$AJ$29,$A245&lt;=CARGAS!$AJ$30),tanque8,0)</f>
        <v>0</v>
      </c>
      <c r="N245" s="22">
        <f t="shared" si="30"/>
        <v>535.93266685714286</v>
      </c>
      <c r="O245" s="22">
        <f t="shared" si="31"/>
        <v>17.487865773891993</v>
      </c>
      <c r="P245" s="22">
        <f>O245*Equilibrio!Y$39*Equilibrio!Y$38*DADOS!C$4</f>
        <v>537.75187254717878</v>
      </c>
      <c r="Q245" s="22">
        <f t="shared" si="32"/>
        <v>-1.8192056900359148</v>
      </c>
      <c r="R245" s="22">
        <f t="shared" si="33"/>
        <v>14677.308544445232</v>
      </c>
      <c r="S245" s="22">
        <f t="shared" si="34"/>
        <v>-1060736.6884686917</v>
      </c>
      <c r="T245" s="22">
        <f t="shared" si="35"/>
        <v>130767.57071314286</v>
      </c>
    </row>
    <row r="246" spans="1:20" x14ac:dyDescent="0.25">
      <c r="A246" s="21">
        <v>245</v>
      </c>
      <c r="B246" s="22">
        <f>CARGAS!$C$40*Equilibrio!A246^2+CARGAS!$D$40*Equilibrio!A246+CARGAS!$E$40</f>
        <v>116.27279999999999</v>
      </c>
      <c r="C246" s="22">
        <f>CARGAS!$C$53*Equilibrio!A246^2+CARGAS!$D$53*Equilibrio!A246+CARGAS!$E$53</f>
        <v>19.378800000000002</v>
      </c>
      <c r="D246">
        <f>IF(posisup=1,IF(A246&lt;=CARGAS!$E$68,sup,0),IF(posisup=2,IF(AND(A246&lt;=CARGAS!$E$69,A246&gt;=CARGAS!$D$69),sup,0),IF(posisup=3,IF(AND(A246&lt;=CARGAS!$E$70,A246&gt;=CARGAS!$D$70),sup,0),0)))</f>
        <v>0</v>
      </c>
      <c r="E246">
        <f>IF(A246&lt;=CARGAS!$H$25,CARGAS!$I$20,0)</f>
        <v>0</v>
      </c>
      <c r="F246" s="22">
        <f>IF(AND(A246&gt;CARGAS!$O$29,A246&lt;=CARGAS!$O$30),tanque1,0)</f>
        <v>0</v>
      </c>
      <c r="G246" s="22">
        <f>IF(AND(A246&gt;CARGAS!$R$29,A246&lt;=CARGAS!$R$30),tanque2,0)</f>
        <v>0</v>
      </c>
      <c r="H246" s="22">
        <f>IF(AND(A246&gt;CARGAS!$U$29,A246&lt;=CARGAS!$U$30),tanque3,0)</f>
        <v>0</v>
      </c>
      <c r="I246" s="22">
        <f>IF(AND(A246&gt;CARGAS!$X$29,A246&lt;=CARGAS!$X$30),tanque4,0)</f>
        <v>0</v>
      </c>
      <c r="J246" s="22">
        <f>IF(AND(A246&gt;CARGAS!$AA$29,A246&lt;=CARGAS!$AA$30),tanque5,0)</f>
        <v>0</v>
      </c>
      <c r="K246" s="22">
        <f>IF(AND($A246&gt;CARGAS!$AD$29,$A246&lt;=CARGAS!$AD$30),tanque6,0)</f>
        <v>399.84</v>
      </c>
      <c r="L246" s="22">
        <f>IF(AND($A246&gt;CARGAS!$AG$29,$A246&lt;=CARGAS!$AG$30),tanque7,0)</f>
        <v>0</v>
      </c>
      <c r="M246" s="22">
        <f>IF(AND($A246&gt;CARGAS!$AJ$29,$A246&lt;=CARGAS!$AJ$30),tanque8,0)</f>
        <v>0</v>
      </c>
      <c r="N246" s="22">
        <f t="shared" si="30"/>
        <v>535.49159999999995</v>
      </c>
      <c r="O246" s="22">
        <f t="shared" si="31"/>
        <v>17.644272143100721</v>
      </c>
      <c r="P246" s="22">
        <f>O246*Equilibrio!Y$39*Equilibrio!Y$38*DADOS!C$4</f>
        <v>542.56136840034708</v>
      </c>
      <c r="Q246" s="22">
        <f t="shared" si="32"/>
        <v>-7.0697684003471295</v>
      </c>
      <c r="R246" s="22">
        <f t="shared" si="33"/>
        <v>14670.238776044884</v>
      </c>
      <c r="S246" s="22">
        <f t="shared" si="34"/>
        <v>-1046066.4496926467</v>
      </c>
      <c r="T246" s="22">
        <f t="shared" si="35"/>
        <v>131195.44199999998</v>
      </c>
    </row>
    <row r="247" spans="1:20" x14ac:dyDescent="0.25">
      <c r="A247" s="21">
        <v>246</v>
      </c>
      <c r="B247" s="22">
        <f>CARGAS!$C$40*Equilibrio!A247^2+CARGAS!$D$40*Equilibrio!A247+CARGAS!$E$40</f>
        <v>115.88930302040816</v>
      </c>
      <c r="C247" s="22">
        <f>CARGAS!$C$53*Equilibrio!A247^2+CARGAS!$D$53*Equilibrio!A247+CARGAS!$E$53</f>
        <v>19.31488383673469</v>
      </c>
      <c r="D247">
        <f>IF(posisup=1,IF(A247&lt;=CARGAS!$E$68,sup,0),IF(posisup=2,IF(AND(A247&lt;=CARGAS!$E$69,A247&gt;=CARGAS!$D$69),sup,0),IF(posisup=3,IF(AND(A247&lt;=CARGAS!$E$70,A247&gt;=CARGAS!$D$70),sup,0),0)))</f>
        <v>0</v>
      </c>
      <c r="E247">
        <f>IF(A247&lt;=CARGAS!$H$25,CARGAS!$I$20,0)</f>
        <v>0</v>
      </c>
      <c r="F247" s="22">
        <f>IF(AND(A247&gt;CARGAS!$O$29,A247&lt;=CARGAS!$O$30),tanque1,0)</f>
        <v>0</v>
      </c>
      <c r="G247" s="22">
        <f>IF(AND(A247&gt;CARGAS!$R$29,A247&lt;=CARGAS!$R$30),tanque2,0)</f>
        <v>0</v>
      </c>
      <c r="H247" s="22">
        <f>IF(AND(A247&gt;CARGAS!$U$29,A247&lt;=CARGAS!$U$30),tanque3,0)</f>
        <v>0</v>
      </c>
      <c r="I247" s="22">
        <f>IF(AND(A247&gt;CARGAS!$X$29,A247&lt;=CARGAS!$X$30),tanque4,0)</f>
        <v>0</v>
      </c>
      <c r="J247" s="22">
        <f>IF(AND(A247&gt;CARGAS!$AA$29,A247&lt;=CARGAS!$AA$30),tanque5,0)</f>
        <v>0</v>
      </c>
      <c r="K247" s="22">
        <f>IF(AND($A247&gt;CARGAS!$AD$29,$A247&lt;=CARGAS!$AD$30),tanque6,0)</f>
        <v>399.84</v>
      </c>
      <c r="L247" s="22">
        <f>IF(AND($A247&gt;CARGAS!$AG$29,$A247&lt;=CARGAS!$AG$30),tanque7,0)</f>
        <v>0</v>
      </c>
      <c r="M247" s="22">
        <f>IF(AND($A247&gt;CARGAS!$AJ$29,$A247&lt;=CARGAS!$AJ$30),tanque8,0)</f>
        <v>0</v>
      </c>
      <c r="N247" s="22">
        <f t="shared" si="30"/>
        <v>535.04418685714279</v>
      </c>
      <c r="O247" s="22">
        <f t="shared" si="31"/>
        <v>17.801549881903995</v>
      </c>
      <c r="P247" s="22">
        <f>O247*Equilibrio!Y$39*Equilibrio!Y$38*DADOS!C$4</f>
        <v>547.39765886854775</v>
      </c>
      <c r="Q247" s="22">
        <f t="shared" si="32"/>
        <v>-12.353472011404961</v>
      </c>
      <c r="R247" s="22">
        <f t="shared" si="33"/>
        <v>14657.885304033478</v>
      </c>
      <c r="S247" s="22">
        <f t="shared" si="34"/>
        <v>-1031408.5643886132</v>
      </c>
      <c r="T247" s="22">
        <f t="shared" si="35"/>
        <v>131620.86996685714</v>
      </c>
    </row>
    <row r="248" spans="1:20" x14ac:dyDescent="0.25">
      <c r="A248" s="21">
        <v>247</v>
      </c>
      <c r="B248" s="22">
        <f>CARGAS!$C$40*Equilibrio!A248^2+CARGAS!$D$40*Equilibrio!A248+CARGAS!$E$40</f>
        <v>115.50036636734694</v>
      </c>
      <c r="C248" s="22">
        <f>CARGAS!$C$53*Equilibrio!A248^2+CARGAS!$D$53*Equilibrio!A248+CARGAS!$E$53</f>
        <v>19.250061061224489</v>
      </c>
      <c r="D248">
        <f>IF(posisup=1,IF(A248&lt;=CARGAS!$E$68,sup,0),IF(posisup=2,IF(AND(A248&lt;=CARGAS!$E$69,A248&gt;=CARGAS!$D$69),sup,0),IF(posisup=3,IF(AND(A248&lt;=CARGAS!$E$70,A248&gt;=CARGAS!$D$70),sup,0),0)))</f>
        <v>0</v>
      </c>
      <c r="E248">
        <f>IF(A248&lt;=CARGAS!$H$25,CARGAS!$I$20,0)</f>
        <v>0</v>
      </c>
      <c r="F248" s="22">
        <f>IF(AND(A248&gt;CARGAS!$O$29,A248&lt;=CARGAS!$O$30),tanque1,0)</f>
        <v>0</v>
      </c>
      <c r="G248" s="22">
        <f>IF(AND(A248&gt;CARGAS!$R$29,A248&lt;=CARGAS!$R$30),tanque2,0)</f>
        <v>0</v>
      </c>
      <c r="H248" s="22">
        <f>IF(AND(A248&gt;CARGAS!$U$29,A248&lt;=CARGAS!$U$30),tanque3,0)</f>
        <v>0</v>
      </c>
      <c r="I248" s="22">
        <f>IF(AND(A248&gt;CARGAS!$X$29,A248&lt;=CARGAS!$X$30),tanque4,0)</f>
        <v>0</v>
      </c>
      <c r="J248" s="22">
        <f>IF(AND(A248&gt;CARGAS!$AA$29,A248&lt;=CARGAS!$AA$30),tanque5,0)</f>
        <v>0</v>
      </c>
      <c r="K248" s="22">
        <f>IF(AND($A248&gt;CARGAS!$AD$29,$A248&lt;=CARGAS!$AD$30),tanque6,0)</f>
        <v>399.84</v>
      </c>
      <c r="L248" s="22">
        <f>IF(AND($A248&gt;CARGAS!$AG$29,$A248&lt;=CARGAS!$AG$30),tanque7,0)</f>
        <v>0</v>
      </c>
      <c r="M248" s="22">
        <f>IF(AND($A248&gt;CARGAS!$AJ$29,$A248&lt;=CARGAS!$AJ$30),tanque8,0)</f>
        <v>0</v>
      </c>
      <c r="N248" s="22">
        <f t="shared" si="30"/>
        <v>534.59042742857139</v>
      </c>
      <c r="O248" s="22">
        <f t="shared" si="31"/>
        <v>17.95965070892365</v>
      </c>
      <c r="P248" s="22">
        <f>O248*Equilibrio!Y$39*Equilibrio!Y$38*DADOS!C$4</f>
        <v>552.25925929940229</v>
      </c>
      <c r="Q248" s="22">
        <f t="shared" si="32"/>
        <v>-17.6688318708309</v>
      </c>
      <c r="R248" s="22">
        <f t="shared" si="33"/>
        <v>14640.216472162647</v>
      </c>
      <c r="S248" s="22">
        <f t="shared" si="34"/>
        <v>-1016768.3479164506</v>
      </c>
      <c r="T248" s="22">
        <f t="shared" si="35"/>
        <v>132043.83557485713</v>
      </c>
    </row>
    <row r="249" spans="1:20" x14ac:dyDescent="0.25">
      <c r="A249" s="21">
        <v>248</v>
      </c>
      <c r="B249" s="22">
        <f>CARGAS!$C$40*Equilibrio!A249^2+CARGAS!$D$40*Equilibrio!A249+CARGAS!$E$40</f>
        <v>115.10599004081632</v>
      </c>
      <c r="C249" s="22">
        <f>CARGAS!$C$53*Equilibrio!A249^2+CARGAS!$D$53*Equilibrio!A249+CARGAS!$E$53</f>
        <v>19.184331673469387</v>
      </c>
      <c r="D249">
        <f>IF(posisup=1,IF(A249&lt;=CARGAS!$E$68,sup,0),IF(posisup=2,IF(AND(A249&lt;=CARGAS!$E$69,A249&gt;=CARGAS!$D$69),sup,0),IF(posisup=3,IF(AND(A249&lt;=CARGAS!$E$70,A249&gt;=CARGAS!$D$70),sup,0),0)))</f>
        <v>0</v>
      </c>
      <c r="E249">
        <f>IF(A249&lt;=CARGAS!$H$25,CARGAS!$I$20,0)</f>
        <v>0</v>
      </c>
      <c r="F249" s="22">
        <f>IF(AND(A249&gt;CARGAS!$O$29,A249&lt;=CARGAS!$O$30),tanque1,0)</f>
        <v>0</v>
      </c>
      <c r="G249" s="22">
        <f>IF(AND(A249&gt;CARGAS!$R$29,A249&lt;=CARGAS!$R$30),tanque2,0)</f>
        <v>0</v>
      </c>
      <c r="H249" s="22">
        <f>IF(AND(A249&gt;CARGAS!$U$29,A249&lt;=CARGAS!$U$30),tanque3,0)</f>
        <v>0</v>
      </c>
      <c r="I249" s="22">
        <f>IF(AND(A249&gt;CARGAS!$X$29,A249&lt;=CARGAS!$X$30),tanque4,0)</f>
        <v>0</v>
      </c>
      <c r="J249" s="22">
        <f>IF(AND(A249&gt;CARGAS!$AA$29,A249&lt;=CARGAS!$AA$30),tanque5,0)</f>
        <v>0</v>
      </c>
      <c r="K249" s="22">
        <f>IF(AND($A249&gt;CARGAS!$AD$29,$A249&lt;=CARGAS!$AD$30),tanque6,0)</f>
        <v>399.84</v>
      </c>
      <c r="L249" s="22">
        <f>IF(AND($A249&gt;CARGAS!$AG$29,$A249&lt;=CARGAS!$AG$30),tanque7,0)</f>
        <v>0</v>
      </c>
      <c r="M249" s="22">
        <f>IF(AND($A249&gt;CARGAS!$AJ$29,$A249&lt;=CARGAS!$AJ$30),tanque8,0)</f>
        <v>0</v>
      </c>
      <c r="N249" s="22">
        <f t="shared" si="30"/>
        <v>534.13032171428563</v>
      </c>
      <c r="O249" s="22">
        <f t="shared" si="31"/>
        <v>18.118526077529697</v>
      </c>
      <c r="P249" s="22">
        <f>O249*Equilibrio!Y$39*Equilibrio!Y$38*DADOS!C$4</f>
        <v>557.14467688403818</v>
      </c>
      <c r="Q249" s="22">
        <f t="shared" si="32"/>
        <v>-23.014355169752548</v>
      </c>
      <c r="R249" s="22">
        <f t="shared" si="33"/>
        <v>14617.202116992894</v>
      </c>
      <c r="S249" s="22">
        <f t="shared" si="34"/>
        <v>-1002151.1457994577</v>
      </c>
      <c r="T249" s="22">
        <f t="shared" si="35"/>
        <v>132464.31978514284</v>
      </c>
    </row>
    <row r="250" spans="1:20" x14ac:dyDescent="0.25">
      <c r="A250" s="21">
        <v>249</v>
      </c>
      <c r="B250" s="22">
        <f>CARGAS!$C$40*Equilibrio!A250^2+CARGAS!$D$40*Equilibrio!A250+CARGAS!$E$40</f>
        <v>114.70617404081631</v>
      </c>
      <c r="C250" s="22">
        <f>CARGAS!$C$53*Equilibrio!A250^2+CARGAS!$D$53*Equilibrio!A250+CARGAS!$E$53</f>
        <v>19.117695673469388</v>
      </c>
      <c r="D250">
        <f>IF(posisup=1,IF(A250&lt;=CARGAS!$E$68,sup,0),IF(posisup=2,IF(AND(A250&lt;=CARGAS!$E$69,A250&gt;=CARGAS!$D$69),sup,0),IF(posisup=3,IF(AND(A250&lt;=CARGAS!$E$70,A250&gt;=CARGAS!$D$70),sup,0),0)))</f>
        <v>0</v>
      </c>
      <c r="E250">
        <f>IF(A250&lt;=CARGAS!$H$25,CARGAS!$I$20,0)</f>
        <v>0</v>
      </c>
      <c r="F250" s="22">
        <f>IF(AND(A250&gt;CARGAS!$O$29,A250&lt;=CARGAS!$O$30),tanque1,0)</f>
        <v>0</v>
      </c>
      <c r="G250" s="22">
        <f>IF(AND(A250&gt;CARGAS!$R$29,A250&lt;=CARGAS!$R$30),tanque2,0)</f>
        <v>0</v>
      </c>
      <c r="H250" s="22">
        <f>IF(AND(A250&gt;CARGAS!$U$29,A250&lt;=CARGAS!$U$30),tanque3,0)</f>
        <v>0</v>
      </c>
      <c r="I250" s="22">
        <f>IF(AND(A250&gt;CARGAS!$X$29,A250&lt;=CARGAS!$X$30),tanque4,0)</f>
        <v>0</v>
      </c>
      <c r="J250" s="22">
        <f>IF(AND(A250&gt;CARGAS!$AA$29,A250&lt;=CARGAS!$AA$30),tanque5,0)</f>
        <v>0</v>
      </c>
      <c r="K250" s="22">
        <f>IF(AND($A250&gt;CARGAS!$AD$29,$A250&lt;=CARGAS!$AD$30),tanque6,0)</f>
        <v>399.84</v>
      </c>
      <c r="L250" s="22">
        <f>IF(AND($A250&gt;CARGAS!$AG$29,$A250&lt;=CARGAS!$AG$30),tanque7,0)</f>
        <v>0</v>
      </c>
      <c r="M250" s="22">
        <f>IF(AND($A250&gt;CARGAS!$AJ$29,$A250&lt;=CARGAS!$AJ$30),tanque8,0)</f>
        <v>0</v>
      </c>
      <c r="N250" s="22">
        <f t="shared" si="30"/>
        <v>533.66386971428574</v>
      </c>
      <c r="O250" s="22">
        <f t="shared" si="31"/>
        <v>18.278127191485165</v>
      </c>
      <c r="P250" s="22">
        <f>O250*Equilibrio!Y$39*Equilibrio!Y$38*DADOS!C$4</f>
        <v>562.05241113816874</v>
      </c>
      <c r="Q250" s="22">
        <f t="shared" si="32"/>
        <v>-28.388541423882998</v>
      </c>
      <c r="R250" s="22">
        <f t="shared" si="33"/>
        <v>14588.813575569011</v>
      </c>
      <c r="S250" s="22">
        <f t="shared" si="34"/>
        <v>-987562.33222388872</v>
      </c>
      <c r="T250" s="22">
        <f t="shared" si="35"/>
        <v>132882.30355885715</v>
      </c>
    </row>
    <row r="251" spans="1:20" x14ac:dyDescent="0.25">
      <c r="A251" s="21">
        <v>250</v>
      </c>
      <c r="B251" s="22">
        <f>CARGAS!$C$40*Equilibrio!A251^2+CARGAS!$D$40*Equilibrio!A251+CARGAS!$E$40</f>
        <v>114.30091836734692</v>
      </c>
      <c r="C251" s="22">
        <f>CARGAS!$C$53*Equilibrio!A251^2+CARGAS!$D$53*Equilibrio!A251+CARGAS!$E$53</f>
        <v>19.050153061224485</v>
      </c>
      <c r="D251">
        <f>IF(posisup=1,IF(A251&lt;=CARGAS!$E$68,sup,0),IF(posisup=2,IF(AND(A251&lt;=CARGAS!$E$69,A251&gt;=CARGAS!$D$69),sup,0),IF(posisup=3,IF(AND(A251&lt;=CARGAS!$E$70,A251&gt;=CARGAS!$D$70),sup,0),0)))</f>
        <v>0</v>
      </c>
      <c r="E251">
        <f>IF(A251&lt;=CARGAS!$H$25,CARGAS!$I$20,0)</f>
        <v>0</v>
      </c>
      <c r="F251" s="22">
        <f>IF(AND(A251&gt;CARGAS!$O$29,A251&lt;=CARGAS!$O$30),tanque1,0)</f>
        <v>0</v>
      </c>
      <c r="G251" s="22">
        <f>IF(AND(A251&gt;CARGAS!$R$29,A251&lt;=CARGAS!$R$30),tanque2,0)</f>
        <v>0</v>
      </c>
      <c r="H251" s="22">
        <f>IF(AND(A251&gt;CARGAS!$U$29,A251&lt;=CARGAS!$U$30),tanque3,0)</f>
        <v>0</v>
      </c>
      <c r="I251" s="22">
        <f>IF(AND(A251&gt;CARGAS!$X$29,A251&lt;=CARGAS!$X$30),tanque4,0)</f>
        <v>0</v>
      </c>
      <c r="J251" s="22">
        <f>IF(AND(A251&gt;CARGAS!$AA$29,A251&lt;=CARGAS!$AA$30),tanque5,0)</f>
        <v>0</v>
      </c>
      <c r="K251" s="22">
        <f>IF(AND($A251&gt;CARGAS!$AD$29,$A251&lt;=CARGAS!$AD$30),tanque6,0)</f>
        <v>399.84</v>
      </c>
      <c r="L251" s="22">
        <f>IF(AND($A251&gt;CARGAS!$AG$29,$A251&lt;=CARGAS!$AG$30),tanque7,0)</f>
        <v>0</v>
      </c>
      <c r="M251" s="22">
        <f>IF(AND($A251&gt;CARGAS!$AJ$29,$A251&lt;=CARGAS!$AJ$30),tanque8,0)</f>
        <v>0</v>
      </c>
      <c r="N251" s="22">
        <f t="shared" si="30"/>
        <v>533.19107142857138</v>
      </c>
      <c r="O251" s="22">
        <f t="shared" si="31"/>
        <v>18.4384050206714</v>
      </c>
      <c r="P251" s="22">
        <f>O251*Equilibrio!Y$39*Equilibrio!Y$38*DADOS!C$4</f>
        <v>566.98095438564553</v>
      </c>
      <c r="Q251" s="22">
        <f t="shared" si="32"/>
        <v>-33.789882957074155</v>
      </c>
      <c r="R251" s="22">
        <f t="shared" si="33"/>
        <v>14555.023692611936</v>
      </c>
      <c r="S251" s="22">
        <f t="shared" si="34"/>
        <v>-973007.30853127677</v>
      </c>
      <c r="T251" s="22">
        <f t="shared" si="35"/>
        <v>133297.76785714284</v>
      </c>
    </row>
    <row r="252" spans="1:20" x14ac:dyDescent="0.25">
      <c r="A252" s="21">
        <v>251</v>
      </c>
      <c r="B252" s="22">
        <f>CARGAS!$C$40*Equilibrio!A252^2+CARGAS!$D$40*Equilibrio!A252+CARGAS!$E$40</f>
        <v>113.89022302040814</v>
      </c>
      <c r="C252" s="22">
        <f>CARGAS!$C$53*Equilibrio!A252^2+CARGAS!$D$53*Equilibrio!A252+CARGAS!$E$53</f>
        <v>18.981703836734692</v>
      </c>
      <c r="D252">
        <f>IF(posisup=1,IF(A252&lt;=CARGAS!$E$68,sup,0),IF(posisup=2,IF(AND(A252&lt;=CARGAS!$E$69,A252&gt;=CARGAS!$D$69),sup,0),IF(posisup=3,IF(AND(A252&lt;=CARGAS!$E$70,A252&gt;=CARGAS!$D$70),sup,0),0)))</f>
        <v>0</v>
      </c>
      <c r="E252">
        <f>IF(A252&lt;=CARGAS!$H$25,CARGAS!$I$20,0)</f>
        <v>0</v>
      </c>
      <c r="F252" s="22">
        <f>IF(AND(A252&gt;CARGAS!$O$29,A252&lt;=CARGAS!$O$30),tanque1,0)</f>
        <v>0</v>
      </c>
      <c r="G252" s="22">
        <f>IF(AND(A252&gt;CARGAS!$R$29,A252&lt;=CARGAS!$R$30),tanque2,0)</f>
        <v>0</v>
      </c>
      <c r="H252" s="22">
        <f>IF(AND(A252&gt;CARGAS!$U$29,A252&lt;=CARGAS!$U$30),tanque3,0)</f>
        <v>0</v>
      </c>
      <c r="I252" s="22">
        <f>IF(AND(A252&gt;CARGAS!$X$29,A252&lt;=CARGAS!$X$30),tanque4,0)</f>
        <v>0</v>
      </c>
      <c r="J252" s="22">
        <f>IF(AND(A252&gt;CARGAS!$AA$29,A252&lt;=CARGAS!$AA$30),tanque5,0)</f>
        <v>0</v>
      </c>
      <c r="K252" s="22">
        <f>IF(AND($A252&gt;CARGAS!$AD$29,$A252&lt;=CARGAS!$AD$30),tanque6,0)</f>
        <v>399.84</v>
      </c>
      <c r="L252" s="22">
        <f>IF(AND($A252&gt;CARGAS!$AG$29,$A252&lt;=CARGAS!$AG$30),tanque7,0)</f>
        <v>0</v>
      </c>
      <c r="M252" s="22">
        <f>IF(AND($A252&gt;CARGAS!$AJ$29,$A252&lt;=CARGAS!$AJ$30),tanque8,0)</f>
        <v>0</v>
      </c>
      <c r="N252" s="22">
        <f t="shared" si="30"/>
        <v>532.71192685714277</v>
      </c>
      <c r="O252" s="22">
        <f t="shared" si="31"/>
        <v>18.599310316888669</v>
      </c>
      <c r="P252" s="22">
        <f>O252*Equilibrio!Y$39*Equilibrio!Y$38*DADOS!C$4</f>
        <v>571.92879224432647</v>
      </c>
      <c r="Q252" s="22">
        <f t="shared" si="32"/>
        <v>-39.216865387183702</v>
      </c>
      <c r="R252" s="22">
        <f t="shared" si="33"/>
        <v>14515.806827224753</v>
      </c>
      <c r="S252" s="22">
        <f t="shared" si="34"/>
        <v>-958491.50170405197</v>
      </c>
      <c r="T252" s="22">
        <f t="shared" si="35"/>
        <v>133710.69364114283</v>
      </c>
    </row>
    <row r="253" spans="1:20" x14ac:dyDescent="0.25">
      <c r="A253" s="21">
        <v>252</v>
      </c>
      <c r="B253" s="22">
        <f>CARGAS!$C$40*Equilibrio!A253^2+CARGAS!$D$40*Equilibrio!A253+CARGAS!$E$40</f>
        <v>113.47408799999999</v>
      </c>
      <c r="C253" s="22">
        <f>CARGAS!$C$53*Equilibrio!A253^2+CARGAS!$D$53*Equilibrio!A253+CARGAS!$E$53</f>
        <v>18.912348000000001</v>
      </c>
      <c r="D253">
        <f>IF(posisup=1,IF(A253&lt;=CARGAS!$E$68,sup,0),IF(posisup=2,IF(AND(A253&lt;=CARGAS!$E$69,A253&gt;=CARGAS!$D$69),sup,0),IF(posisup=3,IF(AND(A253&lt;=CARGAS!$E$70,A253&gt;=CARGAS!$D$70),sup,0),0)))</f>
        <v>0</v>
      </c>
      <c r="E253">
        <f>IF(A253&lt;=CARGAS!$H$25,CARGAS!$I$20,0)</f>
        <v>0</v>
      </c>
      <c r="F253" s="22">
        <f>IF(AND(A253&gt;CARGAS!$O$29,A253&lt;=CARGAS!$O$30),tanque1,0)</f>
        <v>0</v>
      </c>
      <c r="G253" s="22">
        <f>IF(AND(A253&gt;CARGAS!$R$29,A253&lt;=CARGAS!$R$30),tanque2,0)</f>
        <v>0</v>
      </c>
      <c r="H253" s="22">
        <f>IF(AND(A253&gt;CARGAS!$U$29,A253&lt;=CARGAS!$U$30),tanque3,0)</f>
        <v>0</v>
      </c>
      <c r="I253" s="22">
        <f>IF(AND(A253&gt;CARGAS!$X$29,A253&lt;=CARGAS!$X$30),tanque4,0)</f>
        <v>0</v>
      </c>
      <c r="J253" s="22">
        <f>IF(AND(A253&gt;CARGAS!$AA$29,A253&lt;=CARGAS!$AA$30),tanque5,0)</f>
        <v>0</v>
      </c>
      <c r="K253" s="22">
        <f>IF(AND($A253&gt;CARGAS!$AD$29,$A253&lt;=CARGAS!$AD$30),tanque6,0)</f>
        <v>399.84</v>
      </c>
      <c r="L253" s="22">
        <f>IF(AND($A253&gt;CARGAS!$AG$29,$A253&lt;=CARGAS!$AG$30),tanque7,0)</f>
        <v>0</v>
      </c>
      <c r="M253" s="22">
        <f>IF(AND($A253&gt;CARGAS!$AJ$29,$A253&lt;=CARGAS!$AJ$30),tanque8,0)</f>
        <v>0</v>
      </c>
      <c r="N253" s="22">
        <f t="shared" si="30"/>
        <v>532.22643599999992</v>
      </c>
      <c r="O253" s="22">
        <f t="shared" si="31"/>
        <v>18.760793629727118</v>
      </c>
      <c r="P253" s="22">
        <f>O253*Equilibrio!Y$39*Equilibrio!Y$38*DADOS!C$4</f>
        <v>576.89440411410885</v>
      </c>
      <c r="Q253" s="22">
        <f t="shared" si="32"/>
        <v>-44.66796811410893</v>
      </c>
      <c r="R253" s="22">
        <f t="shared" si="33"/>
        <v>14471.138859110644</v>
      </c>
      <c r="S253" s="22">
        <f t="shared" si="34"/>
        <v>-944020.36284494132</v>
      </c>
      <c r="T253" s="22">
        <f t="shared" si="35"/>
        <v>134121.06187199999</v>
      </c>
    </row>
    <row r="254" spans="1:20" x14ac:dyDescent="0.25">
      <c r="A254" s="21">
        <v>253</v>
      </c>
      <c r="B254" s="22">
        <f>CARGAS!$C$40*Equilibrio!A254^2+CARGAS!$D$40*Equilibrio!A254+CARGAS!$E$40</f>
        <v>113.05251330612245</v>
      </c>
      <c r="C254" s="22">
        <f>CARGAS!$C$53*Equilibrio!A254^2+CARGAS!$D$53*Equilibrio!A254+CARGAS!$E$53</f>
        <v>18.842085551020411</v>
      </c>
      <c r="D254">
        <f>IF(posisup=1,IF(A254&lt;=CARGAS!$E$68,sup,0),IF(posisup=2,IF(AND(A254&lt;=CARGAS!$E$69,A254&gt;=CARGAS!$D$69),sup,0),IF(posisup=3,IF(AND(A254&lt;=CARGAS!$E$70,A254&gt;=CARGAS!$D$70),sup,0),0)))</f>
        <v>0</v>
      </c>
      <c r="E254">
        <f>IF(A254&lt;=CARGAS!$H$25,CARGAS!$I$20,0)</f>
        <v>0</v>
      </c>
      <c r="F254" s="22">
        <f>IF(AND(A254&gt;CARGAS!$O$29,A254&lt;=CARGAS!$O$30),tanque1,0)</f>
        <v>0</v>
      </c>
      <c r="G254" s="22">
        <f>IF(AND(A254&gt;CARGAS!$R$29,A254&lt;=CARGAS!$R$30),tanque2,0)</f>
        <v>0</v>
      </c>
      <c r="H254" s="22">
        <f>IF(AND(A254&gt;CARGAS!$U$29,A254&lt;=CARGAS!$U$30),tanque3,0)</f>
        <v>0</v>
      </c>
      <c r="I254" s="22">
        <f>IF(AND(A254&gt;CARGAS!$X$29,A254&lt;=CARGAS!$X$30),tanque4,0)</f>
        <v>0</v>
      </c>
      <c r="J254" s="22">
        <f>IF(AND(A254&gt;CARGAS!$AA$29,A254&lt;=CARGAS!$AA$30),tanque5,0)</f>
        <v>0</v>
      </c>
      <c r="K254" s="22">
        <f>IF(AND($A254&gt;CARGAS!$AD$29,$A254&lt;=CARGAS!$AD$30),tanque6,0)</f>
        <v>399.84</v>
      </c>
      <c r="L254" s="22">
        <f>IF(AND($A254&gt;CARGAS!$AG$29,$A254&lt;=CARGAS!$AG$30),tanque7,0)</f>
        <v>0</v>
      </c>
      <c r="M254" s="22">
        <f>IF(AND($A254&gt;CARGAS!$AJ$29,$A254&lt;=CARGAS!$AJ$30),tanque8,0)</f>
        <v>0</v>
      </c>
      <c r="N254" s="22">
        <f t="shared" si="30"/>
        <v>531.73459885714283</v>
      </c>
      <c r="O254" s="22">
        <f t="shared" si="31"/>
        <v>18.922805322502882</v>
      </c>
      <c r="P254" s="22">
        <f>O254*Equilibrio!Y$39*Equilibrio!Y$38*DADOS!C$4</f>
        <v>581.87626366696361</v>
      </c>
      <c r="Q254" s="22">
        <f t="shared" si="32"/>
        <v>-50.141664809820782</v>
      </c>
      <c r="R254" s="22">
        <f t="shared" si="33"/>
        <v>14420.997194300824</v>
      </c>
      <c r="S254" s="22">
        <f t="shared" si="34"/>
        <v>-929599.36565064045</v>
      </c>
      <c r="T254" s="22">
        <f t="shared" si="35"/>
        <v>134528.85351085712</v>
      </c>
    </row>
    <row r="255" spans="1:20" x14ac:dyDescent="0.25">
      <c r="A255" s="21">
        <v>254</v>
      </c>
      <c r="B255" s="22">
        <f>CARGAS!$C$40*Equilibrio!A255^2+CARGAS!$D$40*Equilibrio!A255+CARGAS!$E$40</f>
        <v>112.62549893877551</v>
      </c>
      <c r="C255" s="22">
        <f>CARGAS!$C$53*Equilibrio!A255^2+CARGAS!$D$53*Equilibrio!A255+CARGAS!$E$53</f>
        <v>18.770916489795916</v>
      </c>
      <c r="D255">
        <f>IF(posisup=1,IF(A255&lt;=CARGAS!$E$68,sup,0),IF(posisup=2,IF(AND(A255&lt;=CARGAS!$E$69,A255&gt;=CARGAS!$D$69),sup,0),IF(posisup=3,IF(AND(A255&lt;=CARGAS!$E$70,A255&gt;=CARGAS!$D$70),sup,0),0)))</f>
        <v>0</v>
      </c>
      <c r="E255">
        <f>IF(A255&lt;=CARGAS!$H$25,CARGAS!$I$20,0)</f>
        <v>0</v>
      </c>
      <c r="F255" s="22">
        <f>IF(AND(A255&gt;CARGAS!$O$29,A255&lt;=CARGAS!$O$30),tanque1,0)</f>
        <v>0</v>
      </c>
      <c r="G255" s="22">
        <f>IF(AND(A255&gt;CARGAS!$R$29,A255&lt;=CARGAS!$R$30),tanque2,0)</f>
        <v>0</v>
      </c>
      <c r="H255" s="22">
        <f>IF(AND(A255&gt;CARGAS!$U$29,A255&lt;=CARGAS!$U$30),tanque3,0)</f>
        <v>0</v>
      </c>
      <c r="I255" s="22">
        <f>IF(AND(A255&gt;CARGAS!$X$29,A255&lt;=CARGAS!$X$30),tanque4,0)</f>
        <v>0</v>
      </c>
      <c r="J255" s="22">
        <f>IF(AND(A255&gt;CARGAS!$AA$29,A255&lt;=CARGAS!$AA$30),tanque5,0)</f>
        <v>0</v>
      </c>
      <c r="K255" s="22">
        <f>IF(AND($A255&gt;CARGAS!$AD$29,$A255&lt;=CARGAS!$AD$30),tanque6,0)</f>
        <v>399.84</v>
      </c>
      <c r="L255" s="22">
        <f>IF(AND($A255&gt;CARGAS!$AG$29,$A255&lt;=CARGAS!$AG$30),tanque7,0)</f>
        <v>0</v>
      </c>
      <c r="M255" s="22">
        <f>IF(AND($A255&gt;CARGAS!$AJ$29,$A255&lt;=CARGAS!$AJ$30),tanque8,0)</f>
        <v>0</v>
      </c>
      <c r="N255" s="22">
        <f t="shared" si="30"/>
        <v>531.23641542857138</v>
      </c>
      <c r="O255" s="22">
        <f t="shared" si="31"/>
        <v>19.08529558825418</v>
      </c>
      <c r="P255" s="22">
        <f>O255*Equilibrio!Y$39*Equilibrio!Y$38*DADOS!C$4</f>
        <v>586.87283933881599</v>
      </c>
      <c r="Q255" s="22">
        <f t="shared" si="32"/>
        <v>-55.636423910244616</v>
      </c>
      <c r="R255" s="22">
        <f t="shared" si="33"/>
        <v>14365.36077039058</v>
      </c>
      <c r="S255" s="22">
        <f t="shared" si="34"/>
        <v>-915234.00488024985</v>
      </c>
      <c r="T255" s="22">
        <f t="shared" si="35"/>
        <v>134934.04951885712</v>
      </c>
    </row>
    <row r="256" spans="1:20" x14ac:dyDescent="0.25">
      <c r="A256" s="21">
        <v>255</v>
      </c>
      <c r="B256" s="22">
        <f>CARGAS!$C$40*Equilibrio!A256^2+CARGAS!$D$40*Equilibrio!A256+CARGAS!$E$40</f>
        <v>112.19304489795917</v>
      </c>
      <c r="C256" s="22">
        <f>CARGAS!$C$53*Equilibrio!A256^2+CARGAS!$D$53*Equilibrio!A256+CARGAS!$E$53</f>
        <v>18.698840816326531</v>
      </c>
      <c r="D256">
        <f>IF(posisup=1,IF(A256&lt;=CARGAS!$E$68,sup,0),IF(posisup=2,IF(AND(A256&lt;=CARGAS!$E$69,A256&gt;=CARGAS!$D$69),sup,0),IF(posisup=3,IF(AND(A256&lt;=CARGAS!$E$70,A256&gt;=CARGAS!$D$70),sup,0),0)))</f>
        <v>0</v>
      </c>
      <c r="E256">
        <f>IF(A256&lt;=CARGAS!$H$25,CARGAS!$I$20,0)</f>
        <v>0</v>
      </c>
      <c r="F256" s="22">
        <f>IF(AND(A256&gt;CARGAS!$O$29,A256&lt;=CARGAS!$O$30),tanque1,0)</f>
        <v>0</v>
      </c>
      <c r="G256" s="22">
        <f>IF(AND(A256&gt;CARGAS!$R$29,A256&lt;=CARGAS!$R$30),tanque2,0)</f>
        <v>0</v>
      </c>
      <c r="H256" s="22">
        <f>IF(AND(A256&gt;CARGAS!$U$29,A256&lt;=CARGAS!$U$30),tanque3,0)</f>
        <v>0</v>
      </c>
      <c r="I256" s="22">
        <f>IF(AND(A256&gt;CARGAS!$X$29,A256&lt;=CARGAS!$X$30),tanque4,0)</f>
        <v>0</v>
      </c>
      <c r="J256" s="22">
        <f>IF(AND(A256&gt;CARGAS!$AA$29,A256&lt;=CARGAS!$AA$30),tanque5,0)</f>
        <v>0</v>
      </c>
      <c r="K256" s="22">
        <f>IF(AND($A256&gt;CARGAS!$AD$29,$A256&lt;=CARGAS!$AD$30),tanque6,0)</f>
        <v>399.84</v>
      </c>
      <c r="L256" s="22">
        <f>IF(AND($A256&gt;CARGAS!$AG$29,$A256&lt;=CARGAS!$AG$30),tanque7,0)</f>
        <v>0</v>
      </c>
      <c r="M256" s="22">
        <f>IF(AND($A256&gt;CARGAS!$AJ$29,$A256&lt;=CARGAS!$AJ$30),tanque8,0)</f>
        <v>0</v>
      </c>
      <c r="N256" s="22">
        <f t="shared" si="30"/>
        <v>530.73188571428568</v>
      </c>
      <c r="O256" s="22">
        <f t="shared" si="31"/>
        <v>19.248214465792309</v>
      </c>
      <c r="P256" s="22">
        <f>O256*Equilibrio!Y$39*Equilibrio!Y$38*DADOS!C$4</f>
        <v>591.88259482311344</v>
      </c>
      <c r="Q256" s="22">
        <f t="shared" si="32"/>
        <v>-61.150709108827755</v>
      </c>
      <c r="R256" s="22">
        <f t="shared" si="33"/>
        <v>14304.210061281752</v>
      </c>
      <c r="S256" s="22">
        <f t="shared" si="34"/>
        <v>-900929.79481896805</v>
      </c>
      <c r="T256" s="22">
        <f t="shared" si="35"/>
        <v>135336.63085714285</v>
      </c>
    </row>
    <row r="257" spans="1:20" x14ac:dyDescent="0.25">
      <c r="A257" s="21">
        <v>256</v>
      </c>
      <c r="B257" s="22">
        <f>CARGAS!$C$40*Equilibrio!A257^2+CARGAS!$D$40*Equilibrio!A257+CARGAS!$E$40</f>
        <v>111.75515118367346</v>
      </c>
      <c r="C257" s="22">
        <f>CARGAS!$C$53*Equilibrio!A257^2+CARGAS!$D$53*Equilibrio!A257+CARGAS!$E$53</f>
        <v>18.625858530612245</v>
      </c>
      <c r="D257">
        <f>IF(posisup=1,IF(A257&lt;=CARGAS!$E$68,sup,0),IF(posisup=2,IF(AND(A257&lt;=CARGAS!$E$69,A257&gt;=CARGAS!$D$69),sup,0),IF(posisup=3,IF(AND(A257&lt;=CARGAS!$E$70,A257&gt;=CARGAS!$D$70),sup,0),0)))</f>
        <v>0</v>
      </c>
      <c r="E257">
        <f>IF(A257&lt;=CARGAS!$H$25,CARGAS!$I$20,0)</f>
        <v>0</v>
      </c>
      <c r="F257" s="22">
        <f>IF(AND(A257&gt;CARGAS!$O$29,A257&lt;=CARGAS!$O$30),tanque1,0)</f>
        <v>0</v>
      </c>
      <c r="G257" s="22">
        <f>IF(AND(A257&gt;CARGAS!$R$29,A257&lt;=CARGAS!$R$30),tanque2,0)</f>
        <v>0</v>
      </c>
      <c r="H257" s="22">
        <f>IF(AND(A257&gt;CARGAS!$U$29,A257&lt;=CARGAS!$U$30),tanque3,0)</f>
        <v>0</v>
      </c>
      <c r="I257" s="22">
        <f>IF(AND(A257&gt;CARGAS!$X$29,A257&lt;=CARGAS!$X$30),tanque4,0)</f>
        <v>0</v>
      </c>
      <c r="J257" s="22">
        <f>IF(AND(A257&gt;CARGAS!$AA$29,A257&lt;=CARGAS!$AA$30),tanque5,0)</f>
        <v>0</v>
      </c>
      <c r="K257" s="22">
        <f>IF(AND($A257&gt;CARGAS!$AD$29,$A257&lt;=CARGAS!$AD$30),tanque6,0)</f>
        <v>399.84</v>
      </c>
      <c r="L257" s="22">
        <f>IF(AND($A257&gt;CARGAS!$AG$29,$A257&lt;=CARGAS!$AG$30),tanque7,0)</f>
        <v>0</v>
      </c>
      <c r="M257" s="22">
        <f>IF(AND($A257&gt;CARGAS!$AJ$29,$A257&lt;=CARGAS!$AJ$30),tanque8,0)</f>
        <v>0</v>
      </c>
      <c r="N257" s="22">
        <f t="shared" si="30"/>
        <v>530.22100971428563</v>
      </c>
      <c r="O257" s="22">
        <f t="shared" si="31"/>
        <v>19.411511855802367</v>
      </c>
      <c r="P257" s="22">
        <f>O257*Equilibrio!Y$39*Equilibrio!Y$38*DADOS!C$4</f>
        <v>596.90398956592264</v>
      </c>
      <c r="Q257" s="22">
        <f t="shared" si="32"/>
        <v>-66.682979851637015</v>
      </c>
      <c r="R257" s="22">
        <f t="shared" si="33"/>
        <v>14237.527081430115</v>
      </c>
      <c r="S257" s="22">
        <f t="shared" si="34"/>
        <v>-886692.26773753797</v>
      </c>
      <c r="T257" s="22">
        <f t="shared" si="35"/>
        <v>135736.57848685712</v>
      </c>
    </row>
    <row r="258" spans="1:20" x14ac:dyDescent="0.25">
      <c r="A258" s="21">
        <v>257</v>
      </c>
      <c r="B258" s="22">
        <f>CARGAS!$C$40*Equilibrio!A258^2+CARGAS!$D$40*Equilibrio!A258+CARGAS!$E$40</f>
        <v>111.31181779591836</v>
      </c>
      <c r="C258" s="22">
        <f>CARGAS!$C$53*Equilibrio!A258^2+CARGAS!$D$53*Equilibrio!A258+CARGAS!$E$53</f>
        <v>18.551969632653062</v>
      </c>
      <c r="D258">
        <f>IF(posisup=1,IF(A258&lt;=CARGAS!$E$68,sup,0),IF(posisup=2,IF(AND(A258&lt;=CARGAS!$E$69,A258&gt;=CARGAS!$D$69),sup,0),IF(posisup=3,IF(AND(A258&lt;=CARGAS!$E$70,A258&gt;=CARGAS!$D$70),sup,0),0)))</f>
        <v>0</v>
      </c>
      <c r="E258">
        <f>IF(A258&lt;=CARGAS!$H$25,CARGAS!$I$20,0)</f>
        <v>0</v>
      </c>
      <c r="F258" s="22">
        <f>IF(AND(A258&gt;CARGAS!$O$29,A258&lt;=CARGAS!$O$30),tanque1,0)</f>
        <v>0</v>
      </c>
      <c r="G258" s="22">
        <f>IF(AND(A258&gt;CARGAS!$R$29,A258&lt;=CARGAS!$R$30),tanque2,0)</f>
        <v>0</v>
      </c>
      <c r="H258" s="22">
        <f>IF(AND(A258&gt;CARGAS!$U$29,A258&lt;=CARGAS!$U$30),tanque3,0)</f>
        <v>0</v>
      </c>
      <c r="I258" s="22">
        <f>IF(AND(A258&gt;CARGAS!$X$29,A258&lt;=CARGAS!$X$30),tanque4,0)</f>
        <v>0</v>
      </c>
      <c r="J258" s="22">
        <f>IF(AND(A258&gt;CARGAS!$AA$29,A258&lt;=CARGAS!$AA$30),tanque5,0)</f>
        <v>0</v>
      </c>
      <c r="K258" s="22">
        <f>IF(AND($A258&gt;CARGAS!$AD$29,$A258&lt;=CARGAS!$AD$30),tanque6,0)</f>
        <v>399.84</v>
      </c>
      <c r="L258" s="22">
        <f>IF(AND($A258&gt;CARGAS!$AG$29,$A258&lt;=CARGAS!$AG$30),tanque7,0)</f>
        <v>0</v>
      </c>
      <c r="M258" s="22">
        <f>IF(AND($A258&gt;CARGAS!$AJ$29,$A258&lt;=CARGAS!$AJ$30),tanque8,0)</f>
        <v>0</v>
      </c>
      <c r="N258" s="22">
        <f t="shared" si="30"/>
        <v>529.70378742857133</v>
      </c>
      <c r="O258" s="22">
        <f t="shared" si="31"/>
        <v>19.575137536988468</v>
      </c>
      <c r="P258" s="22">
        <f>O258*Equilibrio!Y$39*Equilibrio!Y$38*DADOS!C$4</f>
        <v>601.93547926239523</v>
      </c>
      <c r="Q258" s="22">
        <f t="shared" si="32"/>
        <v>-72.231691833823902</v>
      </c>
      <c r="R258" s="22">
        <f t="shared" si="33"/>
        <v>14165.295389596291</v>
      </c>
      <c r="S258" s="22">
        <f t="shared" si="34"/>
        <v>-872526.97234794172</v>
      </c>
      <c r="T258" s="22">
        <f t="shared" si="35"/>
        <v>136133.87336914282</v>
      </c>
    </row>
    <row r="259" spans="1:20" x14ac:dyDescent="0.25">
      <c r="A259" s="21">
        <v>258</v>
      </c>
      <c r="B259" s="22">
        <f>CARGAS!$C$40*Equilibrio!A259^2+CARGAS!$D$40*Equilibrio!A259+CARGAS!$E$40</f>
        <v>110.86304473469386</v>
      </c>
      <c r="C259" s="22">
        <f>CARGAS!$C$53*Equilibrio!A259^2+CARGAS!$D$53*Equilibrio!A259+CARGAS!$E$53</f>
        <v>18.477174122448982</v>
      </c>
      <c r="D259">
        <f>IF(posisup=1,IF(A259&lt;=CARGAS!$E$68,sup,0),IF(posisup=2,IF(AND(A259&lt;=CARGAS!$E$69,A259&gt;=CARGAS!$D$69),sup,0),IF(posisup=3,IF(AND(A259&lt;=CARGAS!$E$70,A259&gt;=CARGAS!$D$70),sup,0),0)))</f>
        <v>0</v>
      </c>
      <c r="E259">
        <f>IF(A259&lt;=CARGAS!$H$25,CARGAS!$I$20,0)</f>
        <v>0</v>
      </c>
      <c r="F259" s="22">
        <f>IF(AND(A259&gt;CARGAS!$O$29,A259&lt;=CARGAS!$O$30),tanque1,0)</f>
        <v>0</v>
      </c>
      <c r="G259" s="22">
        <f>IF(AND(A259&gt;CARGAS!$R$29,A259&lt;=CARGAS!$R$30),tanque2,0)</f>
        <v>0</v>
      </c>
      <c r="H259" s="22">
        <f>IF(AND(A259&gt;CARGAS!$U$29,A259&lt;=CARGAS!$U$30),tanque3,0)</f>
        <v>0</v>
      </c>
      <c r="I259" s="22">
        <f>IF(AND(A259&gt;CARGAS!$X$29,A259&lt;=CARGAS!$X$30),tanque4,0)</f>
        <v>0</v>
      </c>
      <c r="J259" s="22">
        <f>IF(AND(A259&gt;CARGAS!$AA$29,A259&lt;=CARGAS!$AA$30),tanque5,0)</f>
        <v>0</v>
      </c>
      <c r="K259" s="22">
        <f>IF(AND($A259&gt;CARGAS!$AD$29,$A259&lt;=CARGAS!$AD$30),tanque6,0)</f>
        <v>399.84</v>
      </c>
      <c r="L259" s="22">
        <f>IF(AND($A259&gt;CARGAS!$AG$29,$A259&lt;=CARGAS!$AG$30),tanque7,0)</f>
        <v>0</v>
      </c>
      <c r="M259" s="22">
        <f>IF(AND($A259&gt;CARGAS!$AJ$29,$A259&lt;=CARGAS!$AJ$30),tanque8,0)</f>
        <v>0</v>
      </c>
      <c r="N259" s="22">
        <f t="shared" si="30"/>
        <v>529.18021885714279</v>
      </c>
      <c r="O259" s="22">
        <f t="shared" si="31"/>
        <v>19.739041182258223</v>
      </c>
      <c r="P259" s="22">
        <f>O259*Equilibrio!Y$39*Equilibrio!Y$38*DADOS!C$4</f>
        <v>606.97551635444029</v>
      </c>
      <c r="Q259" s="22">
        <f t="shared" si="32"/>
        <v>-77.795297497297497</v>
      </c>
      <c r="R259" s="22">
        <f t="shared" si="33"/>
        <v>14087.500092098993</v>
      </c>
      <c r="S259" s="22">
        <f t="shared" si="34"/>
        <v>-858439.47225584276</v>
      </c>
      <c r="T259" s="22">
        <f t="shared" si="35"/>
        <v>136528.49646514285</v>
      </c>
    </row>
    <row r="260" spans="1:20" x14ac:dyDescent="0.25">
      <c r="A260" s="21">
        <v>259</v>
      </c>
      <c r="B260" s="22">
        <f>CARGAS!$C$40*Equilibrio!A260^2+CARGAS!$D$40*Equilibrio!A260+CARGAS!$E$40</f>
        <v>110.40883199999999</v>
      </c>
      <c r="C260" s="22">
        <f>CARGAS!$C$53*Equilibrio!A260^2+CARGAS!$D$53*Equilibrio!A260+CARGAS!$E$53</f>
        <v>18.401471999999998</v>
      </c>
      <c r="D260">
        <f>IF(posisup=1,IF(A260&lt;=CARGAS!$E$68,sup,0),IF(posisup=2,IF(AND(A260&lt;=CARGAS!$E$69,A260&gt;=CARGAS!$D$69),sup,0),IF(posisup=3,IF(AND(A260&lt;=CARGAS!$E$70,A260&gt;=CARGAS!$D$70),sup,0),0)))</f>
        <v>0</v>
      </c>
      <c r="E260">
        <f>IF(A260&lt;=CARGAS!$H$25,CARGAS!$I$20,0)</f>
        <v>0</v>
      </c>
      <c r="F260" s="22">
        <f>IF(AND(A260&gt;CARGAS!$O$29,A260&lt;=CARGAS!$O$30),tanque1,0)</f>
        <v>0</v>
      </c>
      <c r="G260" s="22">
        <f>IF(AND(A260&gt;CARGAS!$R$29,A260&lt;=CARGAS!$R$30),tanque2,0)</f>
        <v>0</v>
      </c>
      <c r="H260" s="22">
        <f>IF(AND(A260&gt;CARGAS!$U$29,A260&lt;=CARGAS!$U$30),tanque3,0)</f>
        <v>0</v>
      </c>
      <c r="I260" s="22">
        <f>IF(AND(A260&gt;CARGAS!$X$29,A260&lt;=CARGAS!$X$30),tanque4,0)</f>
        <v>0</v>
      </c>
      <c r="J260" s="22">
        <f>IF(AND(A260&gt;CARGAS!$AA$29,A260&lt;=CARGAS!$AA$30),tanque5,0)</f>
        <v>0</v>
      </c>
      <c r="K260" s="22">
        <f>IF(AND($A260&gt;CARGAS!$AD$29,$A260&lt;=CARGAS!$AD$30),tanque6,0)</f>
        <v>399.84</v>
      </c>
      <c r="L260" s="22">
        <f>IF(AND($A260&gt;CARGAS!$AG$29,$A260&lt;=CARGAS!$AG$30),tanque7,0)</f>
        <v>0</v>
      </c>
      <c r="M260" s="22">
        <f>IF(AND($A260&gt;CARGAS!$AJ$29,$A260&lt;=CARGAS!$AJ$30),tanque8,0)</f>
        <v>0</v>
      </c>
      <c r="N260" s="22">
        <f t="shared" si="30"/>
        <v>528.65030400000001</v>
      </c>
      <c r="O260" s="22">
        <f t="shared" si="31"/>
        <v>19.903172374941409</v>
      </c>
      <c r="P260" s="22">
        <f>O260*Equilibrio!Y$39*Equilibrio!Y$38*DADOS!C$4</f>
        <v>612.02255052944827</v>
      </c>
      <c r="Q260" s="22">
        <f t="shared" si="32"/>
        <v>-83.372246529448262</v>
      </c>
      <c r="R260" s="22">
        <f t="shared" si="33"/>
        <v>14004.127845569545</v>
      </c>
      <c r="S260" s="22">
        <f t="shared" si="34"/>
        <v>-844435.34441027325</v>
      </c>
      <c r="T260" s="22">
        <f t="shared" si="35"/>
        <v>136920.428736</v>
      </c>
    </row>
    <row r="261" spans="1:20" x14ac:dyDescent="0.25">
      <c r="A261" s="21">
        <v>260</v>
      </c>
      <c r="B261" s="22">
        <f>CARGAS!$C$40*Equilibrio!A261^2+CARGAS!$D$40*Equilibrio!A261+CARGAS!$E$40</f>
        <v>109.94917959183672</v>
      </c>
      <c r="C261" s="22">
        <f>CARGAS!$C$53*Equilibrio!A261^2+CARGAS!$D$53*Equilibrio!A261+CARGAS!$E$53</f>
        <v>18.324863265306121</v>
      </c>
      <c r="D261">
        <f>IF(posisup=1,IF(A261&lt;=CARGAS!$E$68,sup,0),IF(posisup=2,IF(AND(A261&lt;=CARGAS!$E$69,A261&gt;=CARGAS!$D$69),sup,0),IF(posisup=3,IF(AND(A261&lt;=CARGAS!$E$70,A261&gt;=CARGAS!$D$70),sup,0),0)))</f>
        <v>0</v>
      </c>
      <c r="E261">
        <f>IF(A261&lt;=CARGAS!$H$25,CARGAS!$I$20,0)</f>
        <v>0</v>
      </c>
      <c r="F261" s="22">
        <f>IF(AND(A261&gt;CARGAS!$O$29,A261&lt;=CARGAS!$O$30),tanque1,0)</f>
        <v>0</v>
      </c>
      <c r="G261" s="22">
        <f>IF(AND(A261&gt;CARGAS!$R$29,A261&lt;=CARGAS!$R$30),tanque2,0)</f>
        <v>0</v>
      </c>
      <c r="H261" s="22">
        <f>IF(AND(A261&gt;CARGAS!$U$29,A261&lt;=CARGAS!$U$30),tanque3,0)</f>
        <v>0</v>
      </c>
      <c r="I261" s="22">
        <f>IF(AND(A261&gt;CARGAS!$X$29,A261&lt;=CARGAS!$X$30),tanque4,0)</f>
        <v>0</v>
      </c>
      <c r="J261" s="22">
        <f>IF(AND(A261&gt;CARGAS!$AA$29,A261&lt;=CARGAS!$AA$30),tanque5,0)</f>
        <v>0</v>
      </c>
      <c r="K261" s="22">
        <f>IF(AND($A261&gt;CARGAS!$AD$29,$A261&lt;=CARGAS!$AD$30),tanque6,0)</f>
        <v>399.84</v>
      </c>
      <c r="L261" s="22">
        <f>IF(AND($A261&gt;CARGAS!$AG$29,$A261&lt;=CARGAS!$AG$30),tanque7,0)</f>
        <v>0</v>
      </c>
      <c r="M261" s="22">
        <f>IF(AND($A261&gt;CARGAS!$AJ$29,$A261&lt;=CARGAS!$AJ$30),tanque8,0)</f>
        <v>0</v>
      </c>
      <c r="N261" s="22">
        <f t="shared" si="30"/>
        <v>528.11404285714275</v>
      </c>
      <c r="O261" s="22">
        <f t="shared" si="31"/>
        <v>20.067480625037426</v>
      </c>
      <c r="P261" s="22">
        <f>O261*Equilibrio!Y$39*Equilibrio!Y$38*DADOS!C$4</f>
        <v>617.07502921990078</v>
      </c>
      <c r="Q261" s="22">
        <f t="shared" si="32"/>
        <v>-88.960986362758035</v>
      </c>
      <c r="R261" s="22">
        <f t="shared" si="33"/>
        <v>13915.166859206787</v>
      </c>
      <c r="S261" s="22">
        <f t="shared" si="34"/>
        <v>-830520.1775510665</v>
      </c>
      <c r="T261" s="22">
        <f t="shared" si="35"/>
        <v>137309.65114285712</v>
      </c>
    </row>
    <row r="262" spans="1:20" x14ac:dyDescent="0.25">
      <c r="A262" s="21">
        <v>261</v>
      </c>
      <c r="B262" s="22">
        <f>CARGAS!$C$40*Equilibrio!A262^2+CARGAS!$D$40*Equilibrio!A262+CARGAS!$E$40</f>
        <v>109.48408751020409</v>
      </c>
      <c r="C262" s="22">
        <f>CARGAS!$C$53*Equilibrio!A262^2+CARGAS!$D$53*Equilibrio!A262+CARGAS!$E$53</f>
        <v>18.24734791836735</v>
      </c>
      <c r="D262">
        <f>IF(posisup=1,IF(A262&lt;=CARGAS!$E$68,sup,0),IF(posisup=2,IF(AND(A262&lt;=CARGAS!$E$69,A262&gt;=CARGAS!$D$69),sup,0),IF(posisup=3,IF(AND(A262&lt;=CARGAS!$E$70,A262&gt;=CARGAS!$D$70),sup,0),0)))</f>
        <v>0</v>
      </c>
      <c r="E262">
        <f>IF(A262&lt;=CARGAS!$H$25,CARGAS!$I$20,0)</f>
        <v>0</v>
      </c>
      <c r="F262" s="22">
        <f>IF(AND(A262&gt;CARGAS!$O$29,A262&lt;=CARGAS!$O$30),tanque1,0)</f>
        <v>0</v>
      </c>
      <c r="G262" s="22">
        <f>IF(AND(A262&gt;CARGAS!$R$29,A262&lt;=CARGAS!$R$30),tanque2,0)</f>
        <v>0</v>
      </c>
      <c r="H262" s="22">
        <f>IF(AND(A262&gt;CARGAS!$U$29,A262&lt;=CARGAS!$U$30),tanque3,0)</f>
        <v>0</v>
      </c>
      <c r="I262" s="22">
        <f>IF(AND(A262&gt;CARGAS!$X$29,A262&lt;=CARGAS!$X$30),tanque4,0)</f>
        <v>0</v>
      </c>
      <c r="J262" s="22">
        <f>IF(AND(A262&gt;CARGAS!$AA$29,A262&lt;=CARGAS!$AA$30),tanque5,0)</f>
        <v>0</v>
      </c>
      <c r="K262" s="22">
        <f>IF(AND($A262&gt;CARGAS!$AD$29,$A262&lt;=CARGAS!$AD$30),tanque6,0)</f>
        <v>399.84</v>
      </c>
      <c r="L262" s="22">
        <f>IF(AND($A262&gt;CARGAS!$AG$29,$A262&lt;=CARGAS!$AG$30),tanque7,0)</f>
        <v>0</v>
      </c>
      <c r="M262" s="22">
        <f>IF(AND($A262&gt;CARGAS!$AJ$29,$A262&lt;=CARGAS!$AJ$30),tanque8,0)</f>
        <v>0</v>
      </c>
      <c r="N262" s="22">
        <f t="shared" si="30"/>
        <v>527.57143542857148</v>
      </c>
      <c r="O262" s="22">
        <f t="shared" si="31"/>
        <v>20.231915385486406</v>
      </c>
      <c r="P262" s="22">
        <f>O262*Equilibrio!Y$39*Equilibrio!Y$38*DADOS!C$4</f>
        <v>622.13139810370694</v>
      </c>
      <c r="Q262" s="22">
        <f t="shared" si="32"/>
        <v>-94.559962675135466</v>
      </c>
      <c r="R262" s="22">
        <f t="shared" si="33"/>
        <v>13820.606896531652</v>
      </c>
      <c r="S262" s="22">
        <f t="shared" si="34"/>
        <v>-816699.57065453485</v>
      </c>
      <c r="T262" s="22">
        <f t="shared" si="35"/>
        <v>137696.14464685717</v>
      </c>
    </row>
    <row r="263" spans="1:20" x14ac:dyDescent="0.25">
      <c r="A263" s="21">
        <v>262</v>
      </c>
      <c r="B263" s="22">
        <f>CARGAS!$C$40*Equilibrio!A263^2+CARGAS!$D$40*Equilibrio!A263+CARGAS!$E$40</f>
        <v>109.01355575510203</v>
      </c>
      <c r="C263" s="22">
        <f>CARGAS!$C$53*Equilibrio!A263^2+CARGAS!$D$53*Equilibrio!A263+CARGAS!$E$53</f>
        <v>18.168925959183678</v>
      </c>
      <c r="D263">
        <f>IF(posisup=1,IF(A263&lt;=CARGAS!$E$68,sup,0),IF(posisup=2,IF(AND(A263&lt;=CARGAS!$E$69,A263&gt;=CARGAS!$D$69),sup,0),IF(posisup=3,IF(AND(A263&lt;=CARGAS!$E$70,A263&gt;=CARGAS!$D$70),sup,0),0)))</f>
        <v>0</v>
      </c>
      <c r="E263">
        <f>IF(A263&lt;=CARGAS!$H$25,CARGAS!$I$20,0)</f>
        <v>0</v>
      </c>
      <c r="F263" s="22">
        <f>IF(AND(A263&gt;CARGAS!$O$29,A263&lt;=CARGAS!$O$30),tanque1,0)</f>
        <v>0</v>
      </c>
      <c r="G263" s="22">
        <f>IF(AND(A263&gt;CARGAS!$R$29,A263&lt;=CARGAS!$R$30),tanque2,0)</f>
        <v>0</v>
      </c>
      <c r="H263" s="22">
        <f>IF(AND(A263&gt;CARGAS!$U$29,A263&lt;=CARGAS!$U$30),tanque3,0)</f>
        <v>0</v>
      </c>
      <c r="I263" s="22">
        <f>IF(AND(A263&gt;CARGAS!$X$29,A263&lt;=CARGAS!$X$30),tanque4,0)</f>
        <v>0</v>
      </c>
      <c r="J263" s="22">
        <f>IF(AND(A263&gt;CARGAS!$AA$29,A263&lt;=CARGAS!$AA$30),tanque5,0)</f>
        <v>0</v>
      </c>
      <c r="K263" s="22">
        <f>IF(AND($A263&gt;CARGAS!$AD$29,$A263&lt;=CARGAS!$AD$30),tanque6,0)</f>
        <v>399.84</v>
      </c>
      <c r="L263" s="22">
        <f>IF(AND($A263&gt;CARGAS!$AG$29,$A263&lt;=CARGAS!$AG$30),tanque7,0)</f>
        <v>0</v>
      </c>
      <c r="M263" s="22">
        <f>IF(AND($A263&gt;CARGAS!$AJ$29,$A263&lt;=CARGAS!$AJ$30),tanque8,0)</f>
        <v>0</v>
      </c>
      <c r="N263" s="22">
        <f t="shared" si="30"/>
        <v>527.02248171428573</v>
      </c>
      <c r="O263" s="22">
        <f t="shared" si="31"/>
        <v>20.396426068458759</v>
      </c>
      <c r="P263" s="22">
        <f>O263*Equilibrio!Y$39*Equilibrio!Y$38*DADOS!C$4</f>
        <v>627.19010160510686</v>
      </c>
      <c r="Q263" s="22">
        <f t="shared" si="32"/>
        <v>-100.16761989082113</v>
      </c>
      <c r="R263" s="22">
        <f t="shared" si="33"/>
        <v>13720.439276640831</v>
      </c>
      <c r="S263" s="22">
        <f t="shared" si="34"/>
        <v>-802979.13137789397</v>
      </c>
      <c r="T263" s="22">
        <f t="shared" si="35"/>
        <v>138079.89020914288</v>
      </c>
    </row>
    <row r="264" spans="1:20" x14ac:dyDescent="0.25">
      <c r="A264" s="21">
        <v>263</v>
      </c>
      <c r="B264" s="22">
        <f>CARGAS!$C$40*Equilibrio!A264^2+CARGAS!$D$40*Equilibrio!A264+CARGAS!$E$40</f>
        <v>108.53758432653061</v>
      </c>
      <c r="C264" s="22">
        <f>CARGAS!$C$53*Equilibrio!A264^2+CARGAS!$D$53*Equilibrio!A264+CARGAS!$E$53</f>
        <v>18.089597387755099</v>
      </c>
      <c r="D264">
        <f>IF(posisup=1,IF(A264&lt;=CARGAS!$E$68,sup,0),IF(posisup=2,IF(AND(A264&lt;=CARGAS!$E$69,A264&gt;=CARGAS!$D$69),sup,0),IF(posisup=3,IF(AND(A264&lt;=CARGAS!$E$70,A264&gt;=CARGAS!$D$70),sup,0),0)))</f>
        <v>0</v>
      </c>
      <c r="E264">
        <f>IF(A264&lt;=CARGAS!$H$25,CARGAS!$I$20,0)</f>
        <v>0</v>
      </c>
      <c r="F264" s="22">
        <f>IF(AND(A264&gt;CARGAS!$O$29,A264&lt;=CARGAS!$O$30),tanque1,0)</f>
        <v>0</v>
      </c>
      <c r="G264" s="22">
        <f>IF(AND(A264&gt;CARGAS!$R$29,A264&lt;=CARGAS!$R$30),tanque2,0)</f>
        <v>0</v>
      </c>
      <c r="H264" s="22">
        <f>IF(AND(A264&gt;CARGAS!$U$29,A264&lt;=CARGAS!$U$30),tanque3,0)</f>
        <v>0</v>
      </c>
      <c r="I264" s="22">
        <f>IF(AND(A264&gt;CARGAS!$X$29,A264&lt;=CARGAS!$X$30),tanque4,0)</f>
        <v>0</v>
      </c>
      <c r="J264" s="22">
        <f>IF(AND(A264&gt;CARGAS!$AA$29,A264&lt;=CARGAS!$AA$30),tanque5,0)</f>
        <v>0</v>
      </c>
      <c r="K264" s="22">
        <f>IF(AND($A264&gt;CARGAS!$AD$29,$A264&lt;=CARGAS!$AD$30),tanque6,0)</f>
        <v>399.84</v>
      </c>
      <c r="L264" s="22">
        <f>IF(AND($A264&gt;CARGAS!$AG$29,$A264&lt;=CARGAS!$AG$30),tanque7,0)</f>
        <v>0</v>
      </c>
      <c r="M264" s="22">
        <f>IF(AND($A264&gt;CARGAS!$AJ$29,$A264&lt;=CARGAS!$AJ$30),tanque8,0)</f>
        <v>0</v>
      </c>
      <c r="N264" s="22">
        <f t="shared" si="30"/>
        <v>526.46718171428574</v>
      </c>
      <c r="O264" s="22">
        <f t="shared" si="31"/>
        <v>20.560962061657747</v>
      </c>
      <c r="P264" s="22">
        <f>O264*Equilibrio!Y$39*Equilibrio!Y$38*DADOS!C$4</f>
        <v>632.24958339597561</v>
      </c>
      <c r="Q264" s="22">
        <f t="shared" si="32"/>
        <v>-105.78240168168986</v>
      </c>
      <c r="R264" s="22">
        <f t="shared" si="33"/>
        <v>13614.656874959141</v>
      </c>
      <c r="S264" s="22">
        <f t="shared" si="34"/>
        <v>-789364.47450293484</v>
      </c>
      <c r="T264" s="22">
        <f t="shared" si="35"/>
        <v>138460.86879085714</v>
      </c>
    </row>
    <row r="265" spans="1:20" x14ac:dyDescent="0.25">
      <c r="A265" s="21">
        <v>264</v>
      </c>
      <c r="B265" s="22">
        <f>CARGAS!$C$40*Equilibrio!A265^2+CARGAS!$D$40*Equilibrio!A265+CARGAS!$E$40</f>
        <v>108.05617322448978</v>
      </c>
      <c r="C265" s="22">
        <f>CARGAS!$C$53*Equilibrio!A265^2+CARGAS!$D$53*Equilibrio!A265+CARGAS!$E$53</f>
        <v>18.009362204081633</v>
      </c>
      <c r="D265">
        <f>IF(posisup=1,IF(A265&lt;=CARGAS!$E$68,sup,0),IF(posisup=2,IF(AND(A265&lt;=CARGAS!$E$69,A265&gt;=CARGAS!$D$69),sup,0),IF(posisup=3,IF(AND(A265&lt;=CARGAS!$E$70,A265&gt;=CARGAS!$D$70),sup,0),0)))</f>
        <v>0</v>
      </c>
      <c r="E265">
        <f>IF(A265&lt;=CARGAS!$H$25,CARGAS!$I$20,0)</f>
        <v>0</v>
      </c>
      <c r="F265" s="22">
        <f>IF(AND(A265&gt;CARGAS!$O$29,A265&lt;=CARGAS!$O$30),tanque1,0)</f>
        <v>0</v>
      </c>
      <c r="G265" s="22">
        <f>IF(AND(A265&gt;CARGAS!$R$29,A265&lt;=CARGAS!$R$30),tanque2,0)</f>
        <v>0</v>
      </c>
      <c r="H265" s="22">
        <f>IF(AND(A265&gt;CARGAS!$U$29,A265&lt;=CARGAS!$U$30),tanque3,0)</f>
        <v>0</v>
      </c>
      <c r="I265" s="22">
        <f>IF(AND(A265&gt;CARGAS!$X$29,A265&lt;=CARGAS!$X$30),tanque4,0)</f>
        <v>0</v>
      </c>
      <c r="J265" s="22">
        <f>IF(AND(A265&gt;CARGAS!$AA$29,A265&lt;=CARGAS!$AA$30),tanque5,0)</f>
        <v>0</v>
      </c>
      <c r="K265" s="22">
        <f>IF(AND($A265&gt;CARGAS!$AD$29,$A265&lt;=CARGAS!$AD$30),tanque6,0)</f>
        <v>399.84</v>
      </c>
      <c r="L265" s="22">
        <f>IF(AND($A265&gt;CARGAS!$AG$29,$A265&lt;=CARGAS!$AG$30),tanque7,0)</f>
        <v>0</v>
      </c>
      <c r="M265" s="22">
        <f>IF(AND($A265&gt;CARGAS!$AJ$29,$A265&lt;=CARGAS!$AJ$30),tanque8,0)</f>
        <v>0</v>
      </c>
      <c r="N265" s="22">
        <f t="shared" si="30"/>
        <v>525.9055354285714</v>
      </c>
      <c r="O265" s="22">
        <f t="shared" si="31"/>
        <v>20.725472744630096</v>
      </c>
      <c r="P265" s="22">
        <f>O265*Equilibrio!Y$39*Equilibrio!Y$38*DADOS!C$4</f>
        <v>637.30828689737541</v>
      </c>
      <c r="Q265" s="22">
        <f t="shared" si="32"/>
        <v>-111.40275146880401</v>
      </c>
      <c r="R265" s="22">
        <f t="shared" si="33"/>
        <v>13503.254123490336</v>
      </c>
      <c r="S265" s="22">
        <f t="shared" si="34"/>
        <v>-775861.22037944454</v>
      </c>
      <c r="T265" s="22">
        <f t="shared" si="35"/>
        <v>138839.06135314284</v>
      </c>
    </row>
    <row r="266" spans="1:20" x14ac:dyDescent="0.25">
      <c r="A266" s="21">
        <v>265</v>
      </c>
      <c r="B266" s="22">
        <f>CARGAS!$C$40*Equilibrio!A266^2+CARGAS!$D$40*Equilibrio!A266+CARGAS!$E$40</f>
        <v>107.56932244897959</v>
      </c>
      <c r="C266" s="22">
        <f>CARGAS!$C$53*Equilibrio!A266^2+CARGAS!$D$53*Equilibrio!A266+CARGAS!$E$53</f>
        <v>17.928220408163266</v>
      </c>
      <c r="D266">
        <f>IF(posisup=1,IF(A266&lt;=CARGAS!$E$68,sup,0),IF(posisup=2,IF(AND(A266&lt;=CARGAS!$E$69,A266&gt;=CARGAS!$D$69),sup,0),IF(posisup=3,IF(AND(A266&lt;=CARGAS!$E$70,A266&gt;=CARGAS!$D$70),sup,0),0)))</f>
        <v>0</v>
      </c>
      <c r="E266">
        <f>IF(A266&lt;=CARGAS!$H$25,CARGAS!$I$20,0)</f>
        <v>0</v>
      </c>
      <c r="F266" s="22">
        <f>IF(AND(A266&gt;CARGAS!$O$29,A266&lt;=CARGAS!$O$30),tanque1,0)</f>
        <v>0</v>
      </c>
      <c r="G266" s="22">
        <f>IF(AND(A266&gt;CARGAS!$R$29,A266&lt;=CARGAS!$R$30),tanque2,0)</f>
        <v>0</v>
      </c>
      <c r="H266" s="22">
        <f>IF(AND(A266&gt;CARGAS!$U$29,A266&lt;=CARGAS!$U$30),tanque3,0)</f>
        <v>0</v>
      </c>
      <c r="I266" s="22">
        <f>IF(AND(A266&gt;CARGAS!$X$29,A266&lt;=CARGAS!$X$30),tanque4,0)</f>
        <v>0</v>
      </c>
      <c r="J266" s="22">
        <f>IF(AND(A266&gt;CARGAS!$AA$29,A266&lt;=CARGAS!$AA$30),tanque5,0)</f>
        <v>0</v>
      </c>
      <c r="K266" s="22">
        <f>IF(AND($A266&gt;CARGAS!$AD$29,$A266&lt;=CARGAS!$AD$30),tanque6,0)</f>
        <v>399.84</v>
      </c>
      <c r="L266" s="22">
        <f>IF(AND($A266&gt;CARGAS!$AG$29,$A266&lt;=CARGAS!$AG$30),tanque7,0)</f>
        <v>0</v>
      </c>
      <c r="M266" s="22">
        <f>IF(AND($A266&gt;CARGAS!$AJ$29,$A266&lt;=CARGAS!$AJ$30),tanque8,0)</f>
        <v>0</v>
      </c>
      <c r="N266" s="22">
        <f t="shared" si="30"/>
        <v>525.33754285714281</v>
      </c>
      <c r="O266" s="22">
        <f t="shared" si="31"/>
        <v>20.889907505079076</v>
      </c>
      <c r="P266" s="22">
        <f>O266*Equilibrio!Y$39*Equilibrio!Y$38*DADOS!C$4</f>
        <v>642.36465578118157</v>
      </c>
      <c r="Q266" s="22">
        <f t="shared" si="32"/>
        <v>-117.02711292403876</v>
      </c>
      <c r="R266" s="22">
        <f t="shared" si="33"/>
        <v>13386.227010566297</v>
      </c>
      <c r="S266" s="22">
        <f t="shared" si="34"/>
        <v>-762474.99336887826</v>
      </c>
      <c r="T266" s="22">
        <f t="shared" si="35"/>
        <v>139214.44885714285</v>
      </c>
    </row>
    <row r="267" spans="1:20" x14ac:dyDescent="0.25">
      <c r="A267" s="21">
        <v>266</v>
      </c>
      <c r="B267" s="22">
        <f>CARGAS!$C$40*Equilibrio!A267^2+CARGAS!$D$40*Equilibrio!A267+CARGAS!$E$40</f>
        <v>107.077032</v>
      </c>
      <c r="C267" s="22">
        <f>CARGAS!$C$53*Equilibrio!A267^2+CARGAS!$D$53*Equilibrio!A267+CARGAS!$E$53</f>
        <v>17.846172000000003</v>
      </c>
      <c r="D267">
        <f>IF(posisup=1,IF(A267&lt;=CARGAS!$E$68,sup,0),IF(posisup=2,IF(AND(A267&lt;=CARGAS!$E$69,A267&gt;=CARGAS!$D$69),sup,0),IF(posisup=3,IF(AND(A267&lt;=CARGAS!$E$70,A267&gt;=CARGAS!$D$70),sup,0),0)))</f>
        <v>0</v>
      </c>
      <c r="E267">
        <f>IF(A267&lt;=CARGAS!$H$25,CARGAS!$I$20,0)</f>
        <v>0</v>
      </c>
      <c r="F267" s="22">
        <f>IF(AND(A267&gt;CARGAS!$O$29,A267&lt;=CARGAS!$O$30),tanque1,0)</f>
        <v>0</v>
      </c>
      <c r="G267" s="22">
        <f>IF(AND(A267&gt;CARGAS!$R$29,A267&lt;=CARGAS!$R$30),tanque2,0)</f>
        <v>0</v>
      </c>
      <c r="H267" s="22">
        <f>IF(AND(A267&gt;CARGAS!$U$29,A267&lt;=CARGAS!$U$30),tanque3,0)</f>
        <v>0</v>
      </c>
      <c r="I267" s="22">
        <f>IF(AND(A267&gt;CARGAS!$X$29,A267&lt;=CARGAS!$X$30),tanque4,0)</f>
        <v>0</v>
      </c>
      <c r="J267" s="22">
        <f>IF(AND(A267&gt;CARGAS!$AA$29,A267&lt;=CARGAS!$AA$30),tanque5,0)</f>
        <v>0</v>
      </c>
      <c r="K267" s="22">
        <f>IF(AND($A267&gt;CARGAS!$AD$29,$A267&lt;=CARGAS!$AD$30),tanque6,0)</f>
        <v>399.84</v>
      </c>
      <c r="L267" s="22">
        <f>IF(AND($A267&gt;CARGAS!$AG$29,$A267&lt;=CARGAS!$AG$30),tanque7,0)</f>
        <v>0</v>
      </c>
      <c r="M267" s="22">
        <f>IF(AND($A267&gt;CARGAS!$AJ$29,$A267&lt;=CARGAS!$AJ$30),tanque8,0)</f>
        <v>0</v>
      </c>
      <c r="N267" s="22">
        <f t="shared" si="30"/>
        <v>524.76320399999997</v>
      </c>
      <c r="O267" s="22">
        <f t="shared" si="31"/>
        <v>21.05421575517509</v>
      </c>
      <c r="P267" s="22">
        <f>O267*Equilibrio!Y$39*Equilibrio!Y$38*DADOS!C$4</f>
        <v>647.41713447163397</v>
      </c>
      <c r="Q267" s="22">
        <f t="shared" si="32"/>
        <v>-122.653930471634</v>
      </c>
      <c r="R267" s="22">
        <f t="shared" si="33"/>
        <v>13263.573080094664</v>
      </c>
      <c r="S267" s="22">
        <f t="shared" si="34"/>
        <v>-749211.42028878361</v>
      </c>
      <c r="T267" s="22">
        <f t="shared" si="35"/>
        <v>139587.01226399999</v>
      </c>
    </row>
    <row r="268" spans="1:20" x14ac:dyDescent="0.25">
      <c r="A268" s="21">
        <v>267</v>
      </c>
      <c r="B268" s="22">
        <f>CARGAS!$C$40*Equilibrio!A268^2+CARGAS!$D$40*Equilibrio!A268+CARGAS!$E$40</f>
        <v>106.57930187755102</v>
      </c>
      <c r="C268" s="22">
        <f>CARGAS!$C$53*Equilibrio!A268^2+CARGAS!$D$53*Equilibrio!A268+CARGAS!$E$53</f>
        <v>17.763216979591839</v>
      </c>
      <c r="D268">
        <f>IF(posisup=1,IF(A268&lt;=CARGAS!$E$68,sup,0),IF(posisup=2,IF(AND(A268&lt;=CARGAS!$E$69,A268&gt;=CARGAS!$D$69),sup,0),IF(posisup=3,IF(AND(A268&lt;=CARGAS!$E$70,A268&gt;=CARGAS!$D$70),sup,0),0)))</f>
        <v>0</v>
      </c>
      <c r="E268">
        <f>IF(A268&lt;=CARGAS!$H$25,CARGAS!$I$20,0)</f>
        <v>0</v>
      </c>
      <c r="F268" s="22">
        <f>IF(AND(A268&gt;CARGAS!$O$29,A268&lt;=CARGAS!$O$30),tanque1,0)</f>
        <v>0</v>
      </c>
      <c r="G268" s="22">
        <f>IF(AND(A268&gt;CARGAS!$R$29,A268&lt;=CARGAS!$R$30),tanque2,0)</f>
        <v>0</v>
      </c>
      <c r="H268" s="22">
        <f>IF(AND(A268&gt;CARGAS!$U$29,A268&lt;=CARGAS!$U$30),tanque3,0)</f>
        <v>0</v>
      </c>
      <c r="I268" s="22">
        <f>IF(AND(A268&gt;CARGAS!$X$29,A268&lt;=CARGAS!$X$30),tanque4,0)</f>
        <v>0</v>
      </c>
      <c r="J268" s="22">
        <f>IF(AND(A268&gt;CARGAS!$AA$29,A268&lt;=CARGAS!$AA$30),tanque5,0)</f>
        <v>0</v>
      </c>
      <c r="K268" s="22">
        <f>IF(AND($A268&gt;CARGAS!$AD$29,$A268&lt;=CARGAS!$AD$30),tanque6,0)</f>
        <v>399.84</v>
      </c>
      <c r="L268" s="22">
        <f>IF(AND($A268&gt;CARGAS!$AG$29,$A268&lt;=CARGAS!$AG$30),tanque7,0)</f>
        <v>0</v>
      </c>
      <c r="M268" s="22">
        <f>IF(AND($A268&gt;CARGAS!$AJ$29,$A268&lt;=CARGAS!$AJ$30),tanque8,0)</f>
        <v>0</v>
      </c>
      <c r="N268" s="22">
        <f t="shared" si="30"/>
        <v>524.1825188571429</v>
      </c>
      <c r="O268" s="22">
        <f t="shared" si="31"/>
        <v>21.218346947858283</v>
      </c>
      <c r="P268" s="22">
        <f>O268*Equilibrio!Y$39*Equilibrio!Y$38*DADOS!C$4</f>
        <v>652.46416864664207</v>
      </c>
      <c r="Q268" s="22">
        <f t="shared" si="32"/>
        <v>-128.28164978949917</v>
      </c>
      <c r="R268" s="22">
        <f t="shared" si="33"/>
        <v>13135.291430305166</v>
      </c>
      <c r="S268" s="22">
        <f t="shared" si="34"/>
        <v>-736076.12885847851</v>
      </c>
      <c r="T268" s="22">
        <f t="shared" si="35"/>
        <v>139956.73253485715</v>
      </c>
    </row>
    <row r="269" spans="1:20" x14ac:dyDescent="0.25">
      <c r="A269" s="21">
        <v>268</v>
      </c>
      <c r="B269" s="22">
        <f>CARGAS!$C$40*Equilibrio!A269^2+CARGAS!$D$40*Equilibrio!A269+CARGAS!$E$40</f>
        <v>106.07613208163264</v>
      </c>
      <c r="C269" s="22">
        <f>CARGAS!$C$53*Equilibrio!A269^2+CARGAS!$D$53*Equilibrio!A269+CARGAS!$E$53</f>
        <v>17.679355346938777</v>
      </c>
      <c r="D269">
        <f>IF(posisup=1,IF(A269&lt;=CARGAS!$E$68,sup,0),IF(posisup=2,IF(AND(A269&lt;=CARGAS!$E$69,A269&gt;=CARGAS!$D$69),sup,0),IF(posisup=3,IF(AND(A269&lt;=CARGAS!$E$70,A269&gt;=CARGAS!$D$70),sup,0),0)))</f>
        <v>0</v>
      </c>
      <c r="E269">
        <f>IF(A269&lt;=CARGAS!$H$25,CARGAS!$I$20,0)</f>
        <v>0</v>
      </c>
      <c r="F269" s="22">
        <f>IF(AND(A269&gt;CARGAS!$O$29,A269&lt;=CARGAS!$O$30),tanque1,0)</f>
        <v>0</v>
      </c>
      <c r="G269" s="22">
        <f>IF(AND(A269&gt;CARGAS!$R$29,A269&lt;=CARGAS!$R$30),tanque2,0)</f>
        <v>0</v>
      </c>
      <c r="H269" s="22">
        <f>IF(AND(A269&gt;CARGAS!$U$29,A269&lt;=CARGAS!$U$30),tanque3,0)</f>
        <v>0</v>
      </c>
      <c r="I269" s="22">
        <f>IF(AND(A269&gt;CARGAS!$X$29,A269&lt;=CARGAS!$X$30),tanque4,0)</f>
        <v>0</v>
      </c>
      <c r="J269" s="22">
        <f>IF(AND(A269&gt;CARGAS!$AA$29,A269&lt;=CARGAS!$AA$30),tanque5,0)</f>
        <v>0</v>
      </c>
      <c r="K269" s="22">
        <f>IF(AND($A269&gt;CARGAS!$AD$29,$A269&lt;=CARGAS!$AD$30),tanque6,0)</f>
        <v>0</v>
      </c>
      <c r="L269" s="22">
        <f>IF(AND($A269&gt;CARGAS!$AG$29,$A269&lt;=CARGAS!$AG$30),tanque7,0)</f>
        <v>571.20000000000005</v>
      </c>
      <c r="M269" s="22">
        <f>IF(AND($A269&gt;CARGAS!$AJ$29,$A269&lt;=CARGAS!$AJ$30),tanque8,0)</f>
        <v>0</v>
      </c>
      <c r="N269" s="22">
        <f t="shared" si="30"/>
        <v>694.95548742857147</v>
      </c>
      <c r="O269" s="22">
        <f t="shared" si="31"/>
        <v>21.382250593128035</v>
      </c>
      <c r="P269" s="22">
        <f>O269*Equilibrio!Y$39*Equilibrio!Y$38*DADOS!C$4</f>
        <v>657.50420573868701</v>
      </c>
      <c r="Q269" s="22">
        <f t="shared" si="32"/>
        <v>37.451281689884468</v>
      </c>
      <c r="R269" s="22">
        <f t="shared" si="33"/>
        <v>13172.74271199505</v>
      </c>
      <c r="S269" s="22">
        <f t="shared" si="34"/>
        <v>-722903.38614648348</v>
      </c>
      <c r="T269" s="22">
        <f t="shared" si="35"/>
        <v>186248.07063085717</v>
      </c>
    </row>
    <row r="270" spans="1:20" x14ac:dyDescent="0.25">
      <c r="A270" s="21">
        <v>269</v>
      </c>
      <c r="B270" s="22">
        <f>CARGAS!$C$40*Equilibrio!A270^2+CARGAS!$D$40*Equilibrio!A270+CARGAS!$E$40</f>
        <v>105.56752261224489</v>
      </c>
      <c r="C270" s="22">
        <f>CARGAS!$C$53*Equilibrio!A270^2+CARGAS!$D$53*Equilibrio!A270+CARGAS!$E$53</f>
        <v>17.594587102040819</v>
      </c>
      <c r="D270">
        <f>IF(posisup=1,IF(A270&lt;=CARGAS!$E$68,sup,0),IF(posisup=2,IF(AND(A270&lt;=CARGAS!$E$69,A270&gt;=CARGAS!$D$69),sup,0),IF(posisup=3,IF(AND(A270&lt;=CARGAS!$E$70,A270&gt;=CARGAS!$D$70),sup,0),0)))</f>
        <v>0</v>
      </c>
      <c r="E270">
        <f>IF(A270&lt;=CARGAS!$H$25,CARGAS!$I$20,0)</f>
        <v>0</v>
      </c>
      <c r="F270" s="22">
        <f>IF(AND(A270&gt;CARGAS!$O$29,A270&lt;=CARGAS!$O$30),tanque1,0)</f>
        <v>0</v>
      </c>
      <c r="G270" s="22">
        <f>IF(AND(A270&gt;CARGAS!$R$29,A270&lt;=CARGAS!$R$30),tanque2,0)</f>
        <v>0</v>
      </c>
      <c r="H270" s="22">
        <f>IF(AND(A270&gt;CARGAS!$U$29,A270&lt;=CARGAS!$U$30),tanque3,0)</f>
        <v>0</v>
      </c>
      <c r="I270" s="22">
        <f>IF(AND(A270&gt;CARGAS!$X$29,A270&lt;=CARGAS!$X$30),tanque4,0)</f>
        <v>0</v>
      </c>
      <c r="J270" s="22">
        <f>IF(AND(A270&gt;CARGAS!$AA$29,A270&lt;=CARGAS!$AA$30),tanque5,0)</f>
        <v>0</v>
      </c>
      <c r="K270" s="22">
        <f>IF(AND($A270&gt;CARGAS!$AD$29,$A270&lt;=CARGAS!$AD$30),tanque6,0)</f>
        <v>0</v>
      </c>
      <c r="L270" s="22">
        <f>IF(AND($A270&gt;CARGAS!$AG$29,$A270&lt;=CARGAS!$AG$30),tanque7,0)</f>
        <v>571.20000000000005</v>
      </c>
      <c r="M270" s="22">
        <f>IF(AND($A270&gt;CARGAS!$AJ$29,$A270&lt;=CARGAS!$AJ$30),tanque8,0)</f>
        <v>0</v>
      </c>
      <c r="N270" s="22">
        <f t="shared" si="30"/>
        <v>694.36210971428579</v>
      </c>
      <c r="O270" s="22">
        <f t="shared" si="31"/>
        <v>21.545876274314129</v>
      </c>
      <c r="P270" s="22">
        <f>O270*Equilibrio!Y$39*Equilibrio!Y$38*DADOS!C$4</f>
        <v>662.53569543515948</v>
      </c>
      <c r="Q270" s="22">
        <f t="shared" si="32"/>
        <v>31.826414279126311</v>
      </c>
      <c r="R270" s="22">
        <f t="shared" si="33"/>
        <v>13204.569126274177</v>
      </c>
      <c r="S270" s="22">
        <f t="shared" si="34"/>
        <v>-709698.81702020927</v>
      </c>
      <c r="T270" s="22">
        <f t="shared" si="35"/>
        <v>186783.40751314288</v>
      </c>
    </row>
    <row r="271" spans="1:20" x14ac:dyDescent="0.25">
      <c r="A271" s="21">
        <v>270</v>
      </c>
      <c r="B271" s="22">
        <f>CARGAS!$C$40*Equilibrio!A271^2+CARGAS!$D$40*Equilibrio!A271+CARGAS!$E$40</f>
        <v>105.05347346938774</v>
      </c>
      <c r="C271" s="22">
        <f>CARGAS!$C$53*Equilibrio!A271^2+CARGAS!$D$53*Equilibrio!A271+CARGAS!$E$53</f>
        <v>17.508912244897964</v>
      </c>
      <c r="D271">
        <f>IF(posisup=1,IF(A271&lt;=CARGAS!$E$68,sup,0),IF(posisup=2,IF(AND(A271&lt;=CARGAS!$E$69,A271&gt;=CARGAS!$D$69),sup,0),IF(posisup=3,IF(AND(A271&lt;=CARGAS!$E$70,A271&gt;=CARGAS!$D$70),sup,0),0)))</f>
        <v>0</v>
      </c>
      <c r="E271">
        <f>IF(A271&lt;=CARGAS!$H$25,CARGAS!$I$20,0)</f>
        <v>0</v>
      </c>
      <c r="F271" s="22">
        <f>IF(AND(A271&gt;CARGAS!$O$29,A271&lt;=CARGAS!$O$30),tanque1,0)</f>
        <v>0</v>
      </c>
      <c r="G271" s="22">
        <f>IF(AND(A271&gt;CARGAS!$R$29,A271&lt;=CARGAS!$R$30),tanque2,0)</f>
        <v>0</v>
      </c>
      <c r="H271" s="22">
        <f>IF(AND(A271&gt;CARGAS!$U$29,A271&lt;=CARGAS!$U$30),tanque3,0)</f>
        <v>0</v>
      </c>
      <c r="I271" s="22">
        <f>IF(AND(A271&gt;CARGAS!$X$29,A271&lt;=CARGAS!$X$30),tanque4,0)</f>
        <v>0</v>
      </c>
      <c r="J271" s="22">
        <f>IF(AND(A271&gt;CARGAS!$AA$29,A271&lt;=CARGAS!$AA$30),tanque5,0)</f>
        <v>0</v>
      </c>
      <c r="K271" s="22">
        <f>IF(AND($A271&gt;CARGAS!$AD$29,$A271&lt;=CARGAS!$AD$30),tanque6,0)</f>
        <v>0</v>
      </c>
      <c r="L271" s="22">
        <f>IF(AND($A271&gt;CARGAS!$AG$29,$A271&lt;=CARGAS!$AG$30),tanque7,0)</f>
        <v>571.20000000000005</v>
      </c>
      <c r="M271" s="22">
        <f>IF(AND($A271&gt;CARGAS!$AJ$29,$A271&lt;=CARGAS!$AJ$30),tanque8,0)</f>
        <v>0</v>
      </c>
      <c r="N271" s="22">
        <f t="shared" si="30"/>
        <v>693.76238571428576</v>
      </c>
      <c r="O271" s="22">
        <f t="shared" si="31"/>
        <v>21.709173664324197</v>
      </c>
      <c r="P271" s="22">
        <f>O271*Equilibrio!Y$39*Equilibrio!Y$38*DADOS!C$4</f>
        <v>667.55709017796892</v>
      </c>
      <c r="Q271" s="22">
        <f t="shared" si="32"/>
        <v>26.205295536316839</v>
      </c>
      <c r="R271" s="22">
        <f t="shared" si="33"/>
        <v>13230.774421810493</v>
      </c>
      <c r="S271" s="22">
        <f t="shared" si="34"/>
        <v>-696468.04259839875</v>
      </c>
      <c r="T271" s="22">
        <f t="shared" si="35"/>
        <v>187315.84414285715</v>
      </c>
    </row>
    <row r="272" spans="1:20" x14ac:dyDescent="0.25">
      <c r="A272" s="21">
        <v>271</v>
      </c>
      <c r="B272" s="22">
        <f>CARGAS!$C$40*Equilibrio!A272^2+CARGAS!$D$40*Equilibrio!A272+CARGAS!$E$40</f>
        <v>104.5339846530612</v>
      </c>
      <c r="C272" s="22">
        <f>CARGAS!$C$53*Equilibrio!A272^2+CARGAS!$D$53*Equilibrio!A272+CARGAS!$E$53</f>
        <v>17.422330775510204</v>
      </c>
      <c r="D272">
        <f>IF(posisup=1,IF(A272&lt;=CARGAS!$E$68,sup,0),IF(posisup=2,IF(AND(A272&lt;=CARGAS!$E$69,A272&gt;=CARGAS!$D$69),sup,0),IF(posisup=3,IF(AND(A272&lt;=CARGAS!$E$70,A272&gt;=CARGAS!$D$70),sup,0),0)))</f>
        <v>0</v>
      </c>
      <c r="E272">
        <f>IF(A272&lt;=CARGAS!$H$25,CARGAS!$I$20,0)</f>
        <v>0</v>
      </c>
      <c r="F272" s="22">
        <f>IF(AND(A272&gt;CARGAS!$O$29,A272&lt;=CARGAS!$O$30),tanque1,0)</f>
        <v>0</v>
      </c>
      <c r="G272" s="22">
        <f>IF(AND(A272&gt;CARGAS!$R$29,A272&lt;=CARGAS!$R$30),tanque2,0)</f>
        <v>0</v>
      </c>
      <c r="H272" s="22">
        <f>IF(AND(A272&gt;CARGAS!$U$29,A272&lt;=CARGAS!$U$30),tanque3,0)</f>
        <v>0</v>
      </c>
      <c r="I272" s="22">
        <f>IF(AND(A272&gt;CARGAS!$X$29,A272&lt;=CARGAS!$X$30),tanque4,0)</f>
        <v>0</v>
      </c>
      <c r="J272" s="22">
        <f>IF(AND(A272&gt;CARGAS!$AA$29,A272&lt;=CARGAS!$AA$30),tanque5,0)</f>
        <v>0</v>
      </c>
      <c r="K272" s="22">
        <f>IF(AND($A272&gt;CARGAS!$AD$29,$A272&lt;=CARGAS!$AD$30),tanque6,0)</f>
        <v>0</v>
      </c>
      <c r="L272" s="22">
        <f>IF(AND($A272&gt;CARGAS!$AG$29,$A272&lt;=CARGAS!$AG$30),tanque7,0)</f>
        <v>571.20000000000005</v>
      </c>
      <c r="M272" s="22">
        <f>IF(AND($A272&gt;CARGAS!$AJ$29,$A272&lt;=CARGAS!$AJ$30),tanque8,0)</f>
        <v>0</v>
      </c>
      <c r="N272" s="22">
        <f t="shared" si="30"/>
        <v>693.15631542857147</v>
      </c>
      <c r="O272" s="22">
        <f t="shared" si="31"/>
        <v>21.872092541862326</v>
      </c>
      <c r="P272" s="22">
        <f>O272*Equilibrio!Y$39*Equilibrio!Y$38*DADOS!C$4</f>
        <v>672.56684566226647</v>
      </c>
      <c r="Q272" s="22">
        <f t="shared" si="32"/>
        <v>20.589469766305001</v>
      </c>
      <c r="R272" s="22">
        <f t="shared" si="33"/>
        <v>13251.363891576797</v>
      </c>
      <c r="S272" s="22">
        <f t="shared" si="34"/>
        <v>-683216.67870682199</v>
      </c>
      <c r="T272" s="22">
        <f t="shared" si="35"/>
        <v>187845.36148114287</v>
      </c>
    </row>
    <row r="273" spans="1:20" x14ac:dyDescent="0.25">
      <c r="A273" s="21">
        <v>272</v>
      </c>
      <c r="B273" s="22">
        <f>CARGAS!$C$40*Equilibrio!A273^2+CARGAS!$D$40*Equilibrio!A273+CARGAS!$E$40</f>
        <v>104.00905616326529</v>
      </c>
      <c r="C273" s="22">
        <f>CARGAS!$C$53*Equilibrio!A273^2+CARGAS!$D$53*Equilibrio!A273+CARGAS!$E$53</f>
        <v>17.334842693877555</v>
      </c>
      <c r="D273">
        <f>IF(posisup=1,IF(A273&lt;=CARGAS!$E$68,sup,0),IF(posisup=2,IF(AND(A273&lt;=CARGAS!$E$69,A273&gt;=CARGAS!$D$69),sup,0),IF(posisup=3,IF(AND(A273&lt;=CARGAS!$E$70,A273&gt;=CARGAS!$D$70),sup,0),0)))</f>
        <v>0</v>
      </c>
      <c r="E273">
        <f>IF(A273&lt;=CARGAS!$H$25,CARGAS!$I$20,0)</f>
        <v>0</v>
      </c>
      <c r="F273" s="22">
        <f>IF(AND(A273&gt;CARGAS!$O$29,A273&lt;=CARGAS!$O$30),tanque1,0)</f>
        <v>0</v>
      </c>
      <c r="G273" s="22">
        <f>IF(AND(A273&gt;CARGAS!$R$29,A273&lt;=CARGAS!$R$30),tanque2,0)</f>
        <v>0</v>
      </c>
      <c r="H273" s="22">
        <f>IF(AND(A273&gt;CARGAS!$U$29,A273&lt;=CARGAS!$U$30),tanque3,0)</f>
        <v>0</v>
      </c>
      <c r="I273" s="22">
        <f>IF(AND(A273&gt;CARGAS!$X$29,A273&lt;=CARGAS!$X$30),tanque4,0)</f>
        <v>0</v>
      </c>
      <c r="J273" s="22">
        <f>IF(AND(A273&gt;CARGAS!$AA$29,A273&lt;=CARGAS!$AA$30),tanque5,0)</f>
        <v>0</v>
      </c>
      <c r="K273" s="22">
        <f>IF(AND($A273&gt;CARGAS!$AD$29,$A273&lt;=CARGAS!$AD$30),tanque6,0)</f>
        <v>0</v>
      </c>
      <c r="L273" s="22">
        <f>IF(AND($A273&gt;CARGAS!$AG$29,$A273&lt;=CARGAS!$AG$30),tanque7,0)</f>
        <v>571.20000000000005</v>
      </c>
      <c r="M273" s="22">
        <f>IF(AND($A273&gt;CARGAS!$AJ$29,$A273&lt;=CARGAS!$AJ$30),tanque8,0)</f>
        <v>0</v>
      </c>
      <c r="N273" s="22">
        <f t="shared" si="30"/>
        <v>692.54389885714295</v>
      </c>
      <c r="O273" s="22">
        <f t="shared" si="31"/>
        <v>22.034582807613621</v>
      </c>
      <c r="P273" s="22">
        <f>O273*Equilibrio!Y$39*Equilibrio!Y$38*DADOS!C$4</f>
        <v>677.56342133411874</v>
      </c>
      <c r="Q273" s="22">
        <f t="shared" si="32"/>
        <v>14.980477523024206</v>
      </c>
      <c r="R273" s="22">
        <f t="shared" si="33"/>
        <v>13266.344369099821</v>
      </c>
      <c r="S273" s="22">
        <f t="shared" si="34"/>
        <v>-669950.33433772216</v>
      </c>
      <c r="T273" s="22">
        <f t="shared" si="35"/>
        <v>188371.94048914287</v>
      </c>
    </row>
    <row r="274" spans="1:20" x14ac:dyDescent="0.25">
      <c r="A274" s="21">
        <v>273</v>
      </c>
      <c r="B274" s="22">
        <f>CARGAS!$C$40*Equilibrio!A274^2+CARGAS!$D$40*Equilibrio!A274+CARGAS!$E$40</f>
        <v>103.47868800000003</v>
      </c>
      <c r="C274" s="22">
        <f>CARGAS!$C$53*Equilibrio!A274^2+CARGAS!$D$53*Equilibrio!A274+CARGAS!$E$53</f>
        <v>17.246448000000001</v>
      </c>
      <c r="D274">
        <f>IF(posisup=1,IF(A274&lt;=CARGAS!$E$68,sup,0),IF(posisup=2,IF(AND(A274&lt;=CARGAS!$E$69,A274&gt;=CARGAS!$D$69),sup,0),IF(posisup=3,IF(AND(A274&lt;=CARGAS!$E$70,A274&gt;=CARGAS!$D$70),sup,0),0)))</f>
        <v>0</v>
      </c>
      <c r="E274">
        <f>IF(A274&lt;=CARGAS!$H$25,CARGAS!$I$20,0)</f>
        <v>0</v>
      </c>
      <c r="F274" s="22">
        <f>IF(AND(A274&gt;CARGAS!$O$29,A274&lt;=CARGAS!$O$30),tanque1,0)</f>
        <v>0</v>
      </c>
      <c r="G274" s="22">
        <f>IF(AND(A274&gt;CARGAS!$R$29,A274&lt;=CARGAS!$R$30),tanque2,0)</f>
        <v>0</v>
      </c>
      <c r="H274" s="22">
        <f>IF(AND(A274&gt;CARGAS!$U$29,A274&lt;=CARGAS!$U$30),tanque3,0)</f>
        <v>0</v>
      </c>
      <c r="I274" s="22">
        <f>IF(AND(A274&gt;CARGAS!$X$29,A274&lt;=CARGAS!$X$30),tanque4,0)</f>
        <v>0</v>
      </c>
      <c r="J274" s="22">
        <f>IF(AND(A274&gt;CARGAS!$AA$29,A274&lt;=CARGAS!$AA$30),tanque5,0)</f>
        <v>0</v>
      </c>
      <c r="K274" s="22">
        <f>IF(AND($A274&gt;CARGAS!$AD$29,$A274&lt;=CARGAS!$AD$30),tanque6,0)</f>
        <v>0</v>
      </c>
      <c r="L274" s="22">
        <f>IF(AND($A274&gt;CARGAS!$AG$29,$A274&lt;=CARGAS!$AG$30),tanque7,0)</f>
        <v>571.20000000000005</v>
      </c>
      <c r="M274" s="22">
        <f>IF(AND($A274&gt;CARGAS!$AJ$29,$A274&lt;=CARGAS!$AJ$30),tanque8,0)</f>
        <v>0</v>
      </c>
      <c r="N274" s="22">
        <f t="shared" si="30"/>
        <v>691.92513600000007</v>
      </c>
      <c r="O274" s="22">
        <f t="shared" si="31"/>
        <v>22.196594500389384</v>
      </c>
      <c r="P274" s="22">
        <f>O274*Equilibrio!Y$39*Equilibrio!Y$38*DADOS!C$4</f>
        <v>682.5452808869735</v>
      </c>
      <c r="Q274" s="22">
        <f t="shared" si="32"/>
        <v>9.379855113026565</v>
      </c>
      <c r="R274" s="22">
        <f t="shared" si="33"/>
        <v>13275.724224212847</v>
      </c>
      <c r="S274" s="22">
        <f t="shared" si="34"/>
        <v>-656674.61011350935</v>
      </c>
      <c r="T274" s="22">
        <f t="shared" si="35"/>
        <v>188895.56212800002</v>
      </c>
    </row>
    <row r="275" spans="1:20" x14ac:dyDescent="0.25">
      <c r="A275" s="21">
        <v>274</v>
      </c>
      <c r="B275" s="22">
        <f>CARGAS!$C$40*Equilibrio!A275^2+CARGAS!$D$40*Equilibrio!A275+CARGAS!$E$40</f>
        <v>102.94288016326533</v>
      </c>
      <c r="C275" s="22">
        <f>CARGAS!$C$53*Equilibrio!A275^2+CARGAS!$D$53*Equilibrio!A275+CARGAS!$E$53</f>
        <v>17.157146693877557</v>
      </c>
      <c r="D275">
        <f>IF(posisup=1,IF(A275&lt;=CARGAS!$E$68,sup,0),IF(posisup=2,IF(AND(A275&lt;=CARGAS!$E$69,A275&gt;=CARGAS!$D$69),sup,0),IF(posisup=3,IF(AND(A275&lt;=CARGAS!$E$70,A275&gt;=CARGAS!$D$70),sup,0),0)))</f>
        <v>0</v>
      </c>
      <c r="E275">
        <f>IF(A275&lt;=CARGAS!$H$25,CARGAS!$I$20,0)</f>
        <v>0</v>
      </c>
      <c r="F275" s="22">
        <f>IF(AND(A275&gt;CARGAS!$O$29,A275&lt;=CARGAS!$O$30),tanque1,0)</f>
        <v>0</v>
      </c>
      <c r="G275" s="22">
        <f>IF(AND(A275&gt;CARGAS!$R$29,A275&lt;=CARGAS!$R$30),tanque2,0)</f>
        <v>0</v>
      </c>
      <c r="H275" s="22">
        <f>IF(AND(A275&gt;CARGAS!$U$29,A275&lt;=CARGAS!$U$30),tanque3,0)</f>
        <v>0</v>
      </c>
      <c r="I275" s="22">
        <f>IF(AND(A275&gt;CARGAS!$X$29,A275&lt;=CARGAS!$X$30),tanque4,0)</f>
        <v>0</v>
      </c>
      <c r="J275" s="22">
        <f>IF(AND(A275&gt;CARGAS!$AA$29,A275&lt;=CARGAS!$AA$30),tanque5,0)</f>
        <v>0</v>
      </c>
      <c r="K275" s="22">
        <f>IF(AND($A275&gt;CARGAS!$AD$29,$A275&lt;=CARGAS!$AD$30),tanque6,0)</f>
        <v>0</v>
      </c>
      <c r="L275" s="22">
        <f>IF(AND($A275&gt;CARGAS!$AG$29,$A275&lt;=CARGAS!$AG$30),tanque7,0)</f>
        <v>571.20000000000005</v>
      </c>
      <c r="M275" s="22">
        <f>IF(AND($A275&gt;CARGAS!$AJ$29,$A275&lt;=CARGAS!$AJ$30),tanque8,0)</f>
        <v>0</v>
      </c>
      <c r="N275" s="22">
        <f t="shared" si="30"/>
        <v>691.30002685714294</v>
      </c>
      <c r="O275" s="22">
        <f t="shared" si="31"/>
        <v>22.358077813227844</v>
      </c>
      <c r="P275" s="22">
        <f>O275*Equilibrio!Y$39*Equilibrio!Y$38*DADOS!C$4</f>
        <v>687.51089275675611</v>
      </c>
      <c r="Q275" s="22">
        <f t="shared" si="32"/>
        <v>3.789134100386832</v>
      </c>
      <c r="R275" s="22">
        <f t="shared" si="33"/>
        <v>13279.513358313234</v>
      </c>
      <c r="S275" s="22">
        <f t="shared" si="34"/>
        <v>-643395.09675519611</v>
      </c>
      <c r="T275" s="22">
        <f t="shared" si="35"/>
        <v>189416.20735885715</v>
      </c>
    </row>
    <row r="276" spans="1:20" x14ac:dyDescent="0.25">
      <c r="A276" s="21">
        <v>275</v>
      </c>
      <c r="B276" s="22">
        <f>CARGAS!$C$40*Equilibrio!A276^2+CARGAS!$D$40*Equilibrio!A276+CARGAS!$E$40</f>
        <v>102.40163265306126</v>
      </c>
      <c r="C276" s="22">
        <f>CARGAS!$C$53*Equilibrio!A276^2+CARGAS!$D$53*Equilibrio!A276+CARGAS!$E$53</f>
        <v>17.066938775510202</v>
      </c>
      <c r="D276">
        <f>IF(posisup=1,IF(A276&lt;=CARGAS!$E$68,sup,0),IF(posisup=2,IF(AND(A276&lt;=CARGAS!$E$69,A276&gt;=CARGAS!$D$69),sup,0),IF(posisup=3,IF(AND(A276&lt;=CARGAS!$E$70,A276&gt;=CARGAS!$D$70),sup,0),0)))</f>
        <v>0</v>
      </c>
      <c r="E276">
        <f>IF(A276&lt;=CARGAS!$H$25,CARGAS!$I$20,0)</f>
        <v>0</v>
      </c>
      <c r="F276" s="22">
        <f>IF(AND(A276&gt;CARGAS!$O$29,A276&lt;=CARGAS!$O$30),tanque1,0)</f>
        <v>0</v>
      </c>
      <c r="G276" s="22">
        <f>IF(AND(A276&gt;CARGAS!$R$29,A276&lt;=CARGAS!$R$30),tanque2,0)</f>
        <v>0</v>
      </c>
      <c r="H276" s="22">
        <f>IF(AND(A276&gt;CARGAS!$U$29,A276&lt;=CARGAS!$U$30),tanque3,0)</f>
        <v>0</v>
      </c>
      <c r="I276" s="22">
        <f>IF(AND(A276&gt;CARGAS!$X$29,A276&lt;=CARGAS!$X$30),tanque4,0)</f>
        <v>0</v>
      </c>
      <c r="J276" s="22">
        <f>IF(AND(A276&gt;CARGAS!$AA$29,A276&lt;=CARGAS!$AA$30),tanque5,0)</f>
        <v>0</v>
      </c>
      <c r="K276" s="22">
        <f>IF(AND($A276&gt;CARGAS!$AD$29,$A276&lt;=CARGAS!$AD$30),tanque6,0)</f>
        <v>0</v>
      </c>
      <c r="L276" s="22">
        <f>IF(AND($A276&gt;CARGAS!$AG$29,$A276&lt;=CARGAS!$AG$30),tanque7,0)</f>
        <v>571.20000000000005</v>
      </c>
      <c r="M276" s="22">
        <f>IF(AND($A276&gt;CARGAS!$AJ$29,$A276&lt;=CARGAS!$AJ$30),tanque8,0)</f>
        <v>0</v>
      </c>
      <c r="N276" s="22">
        <f t="shared" si="30"/>
        <v>690.66857142857157</v>
      </c>
      <c r="O276" s="22">
        <f t="shared" si="31"/>
        <v>22.518983109445106</v>
      </c>
      <c r="P276" s="22">
        <f>O276*Equilibrio!Y$39*Equilibrio!Y$38*DADOS!C$4</f>
        <v>692.45873061543693</v>
      </c>
      <c r="Q276" s="22">
        <f t="shared" si="32"/>
        <v>-1.7901591868653668</v>
      </c>
      <c r="R276" s="22">
        <f t="shared" si="33"/>
        <v>13277.723199126369</v>
      </c>
      <c r="S276" s="22">
        <f t="shared" si="34"/>
        <v>-630117.3735560698</v>
      </c>
      <c r="T276" s="22">
        <f t="shared" si="35"/>
        <v>189933.85714285719</v>
      </c>
    </row>
    <row r="277" spans="1:20" x14ac:dyDescent="0.25">
      <c r="A277" s="21">
        <v>276</v>
      </c>
      <c r="B277" s="22">
        <f>CARGAS!$C$40*Equilibrio!A277^2+CARGAS!$D$40*Equilibrio!A277+CARGAS!$E$40</f>
        <v>101.85494546938779</v>
      </c>
      <c r="C277" s="22">
        <f>CARGAS!$C$53*Equilibrio!A277^2+CARGAS!$D$53*Equilibrio!A277+CARGAS!$E$53</f>
        <v>16.975824244897957</v>
      </c>
      <c r="D277">
        <f>IF(posisup=1,IF(A277&lt;=CARGAS!$E$68,sup,0),IF(posisup=2,IF(AND(A277&lt;=CARGAS!$E$69,A277&gt;=CARGAS!$D$69),sup,0),IF(posisup=3,IF(AND(A277&lt;=CARGAS!$E$70,A277&gt;=CARGAS!$D$70),sup,0),0)))</f>
        <v>0</v>
      </c>
      <c r="E277">
        <f>IF(A277&lt;=CARGAS!$H$25,CARGAS!$I$20,0)</f>
        <v>0</v>
      </c>
      <c r="F277" s="22">
        <f>IF(AND(A277&gt;CARGAS!$O$29,A277&lt;=CARGAS!$O$30),tanque1,0)</f>
        <v>0</v>
      </c>
      <c r="G277" s="22">
        <f>IF(AND(A277&gt;CARGAS!$R$29,A277&lt;=CARGAS!$R$30),tanque2,0)</f>
        <v>0</v>
      </c>
      <c r="H277" s="22">
        <f>IF(AND(A277&gt;CARGAS!$U$29,A277&lt;=CARGAS!$U$30),tanque3,0)</f>
        <v>0</v>
      </c>
      <c r="I277" s="22">
        <f>IF(AND(A277&gt;CARGAS!$X$29,A277&lt;=CARGAS!$X$30),tanque4,0)</f>
        <v>0</v>
      </c>
      <c r="J277" s="22">
        <f>IF(AND(A277&gt;CARGAS!$AA$29,A277&lt;=CARGAS!$AA$30),tanque5,0)</f>
        <v>0</v>
      </c>
      <c r="K277" s="22">
        <f>IF(AND($A277&gt;CARGAS!$AD$29,$A277&lt;=CARGAS!$AD$30),tanque6,0)</f>
        <v>0</v>
      </c>
      <c r="L277" s="22">
        <f>IF(AND($A277&gt;CARGAS!$AG$29,$A277&lt;=CARGAS!$AG$30),tanque7,0)</f>
        <v>571.20000000000005</v>
      </c>
      <c r="M277" s="22">
        <f>IF(AND($A277&gt;CARGAS!$AJ$29,$A277&lt;=CARGAS!$AJ$30),tanque8,0)</f>
        <v>0</v>
      </c>
      <c r="N277" s="22">
        <f t="shared" si="30"/>
        <v>690.03076971428573</v>
      </c>
      <c r="O277" s="22">
        <f t="shared" si="31"/>
        <v>22.67926093863133</v>
      </c>
      <c r="P277" s="22">
        <f>O277*Equilibrio!Y$39*Equilibrio!Y$38*DADOS!C$4</f>
        <v>697.38727386291339</v>
      </c>
      <c r="Q277" s="22">
        <f t="shared" si="32"/>
        <v>-7.3565041486276641</v>
      </c>
      <c r="R277" s="22">
        <f t="shared" si="33"/>
        <v>13270.366694977742</v>
      </c>
      <c r="S277" s="22">
        <f t="shared" si="34"/>
        <v>-616847.00686109206</v>
      </c>
      <c r="T277" s="22">
        <f t="shared" si="35"/>
        <v>190448.49244114285</v>
      </c>
    </row>
    <row r="278" spans="1:20" x14ac:dyDescent="0.25">
      <c r="A278" s="21">
        <v>277</v>
      </c>
      <c r="B278" s="22">
        <f>CARGAS!$C$40*Equilibrio!A278^2+CARGAS!$D$40*Equilibrio!A278+CARGAS!$E$40</f>
        <v>101.30281861224492</v>
      </c>
      <c r="C278" s="22">
        <f>CARGAS!$C$53*Equilibrio!A278^2+CARGAS!$D$53*Equilibrio!A278+CARGAS!$E$53</f>
        <v>16.883803102040815</v>
      </c>
      <c r="D278">
        <f>IF(posisup=1,IF(A278&lt;=CARGAS!$E$68,sup,0),IF(posisup=2,IF(AND(A278&lt;=CARGAS!$E$69,A278&gt;=CARGAS!$D$69),sup,0),IF(posisup=3,IF(AND(A278&lt;=CARGAS!$E$70,A278&gt;=CARGAS!$D$70),sup,0),0)))</f>
        <v>0</v>
      </c>
      <c r="E278">
        <f>IF(A278&lt;=CARGAS!$H$25,CARGAS!$I$20,0)</f>
        <v>0</v>
      </c>
      <c r="F278" s="22">
        <f>IF(AND(A278&gt;CARGAS!$O$29,A278&lt;=CARGAS!$O$30),tanque1,0)</f>
        <v>0</v>
      </c>
      <c r="G278" s="22">
        <f>IF(AND(A278&gt;CARGAS!$R$29,A278&lt;=CARGAS!$R$30),tanque2,0)</f>
        <v>0</v>
      </c>
      <c r="H278" s="22">
        <f>IF(AND(A278&gt;CARGAS!$U$29,A278&lt;=CARGAS!$U$30),tanque3,0)</f>
        <v>0</v>
      </c>
      <c r="I278" s="22">
        <f>IF(AND(A278&gt;CARGAS!$X$29,A278&lt;=CARGAS!$X$30),tanque4,0)</f>
        <v>0</v>
      </c>
      <c r="J278" s="22">
        <f>IF(AND(A278&gt;CARGAS!$AA$29,A278&lt;=CARGAS!$AA$30),tanque5,0)</f>
        <v>0</v>
      </c>
      <c r="K278" s="22">
        <f>IF(AND($A278&gt;CARGAS!$AD$29,$A278&lt;=CARGAS!$AD$30),tanque6,0)</f>
        <v>0</v>
      </c>
      <c r="L278" s="22">
        <f>IF(AND($A278&gt;CARGAS!$AG$29,$A278&lt;=CARGAS!$AG$30),tanque7,0)</f>
        <v>571.20000000000005</v>
      </c>
      <c r="M278" s="22">
        <f>IF(AND($A278&gt;CARGAS!$AJ$29,$A278&lt;=CARGAS!$AJ$30),tanque8,0)</f>
        <v>0</v>
      </c>
      <c r="N278" s="22">
        <f t="shared" si="30"/>
        <v>689.38662171428575</v>
      </c>
      <c r="O278" s="22">
        <f t="shared" si="31"/>
        <v>22.838862052586805</v>
      </c>
      <c r="P278" s="22">
        <f>O278*Equilibrio!Y$39*Equilibrio!Y$38*DADOS!C$4</f>
        <v>702.29500811704418</v>
      </c>
      <c r="Q278" s="22">
        <f t="shared" si="32"/>
        <v>-12.908386402758424</v>
      </c>
      <c r="R278" s="22">
        <f t="shared" si="33"/>
        <v>13257.458308574984</v>
      </c>
      <c r="S278" s="22">
        <f t="shared" si="34"/>
        <v>-603589.54855251708</v>
      </c>
      <c r="T278" s="22">
        <f t="shared" si="35"/>
        <v>190960.09421485715</v>
      </c>
    </row>
    <row r="279" spans="1:20" x14ac:dyDescent="0.25">
      <c r="A279" s="21">
        <v>278</v>
      </c>
      <c r="B279" s="22">
        <f>CARGAS!$C$40*Equilibrio!A279^2+CARGAS!$D$40*Equilibrio!A279+CARGAS!$E$40</f>
        <v>100.74525208163266</v>
      </c>
      <c r="C279" s="22">
        <f>CARGAS!$C$53*Equilibrio!A279^2+CARGAS!$D$53*Equilibrio!A279+CARGAS!$E$53</f>
        <v>16.790875346938776</v>
      </c>
      <c r="D279">
        <f>IF(posisup=1,IF(A279&lt;=CARGAS!$E$68,sup,0),IF(posisup=2,IF(AND(A279&lt;=CARGAS!$E$69,A279&gt;=CARGAS!$D$69),sup,0),IF(posisup=3,IF(AND(A279&lt;=CARGAS!$E$70,A279&gt;=CARGAS!$D$70),sup,0),0)))</f>
        <v>0</v>
      </c>
      <c r="E279">
        <f>IF(A279&lt;=CARGAS!$H$25,CARGAS!$I$20,0)</f>
        <v>0</v>
      </c>
      <c r="F279" s="22">
        <f>IF(AND(A279&gt;CARGAS!$O$29,A279&lt;=CARGAS!$O$30),tanque1,0)</f>
        <v>0</v>
      </c>
      <c r="G279" s="22">
        <f>IF(AND(A279&gt;CARGAS!$R$29,A279&lt;=CARGAS!$R$30),tanque2,0)</f>
        <v>0</v>
      </c>
      <c r="H279" s="22">
        <f>IF(AND(A279&gt;CARGAS!$U$29,A279&lt;=CARGAS!$U$30),tanque3,0)</f>
        <v>0</v>
      </c>
      <c r="I279" s="22">
        <f>IF(AND(A279&gt;CARGAS!$X$29,A279&lt;=CARGAS!$X$30),tanque4,0)</f>
        <v>0</v>
      </c>
      <c r="J279" s="22">
        <f>IF(AND(A279&gt;CARGAS!$AA$29,A279&lt;=CARGAS!$AA$30),tanque5,0)</f>
        <v>0</v>
      </c>
      <c r="K279" s="22">
        <f>IF(AND($A279&gt;CARGAS!$AD$29,$A279&lt;=CARGAS!$AD$30),tanque6,0)</f>
        <v>0</v>
      </c>
      <c r="L279" s="22">
        <f>IF(AND($A279&gt;CARGAS!$AG$29,$A279&lt;=CARGAS!$AG$30),tanque7,0)</f>
        <v>571.20000000000005</v>
      </c>
      <c r="M279" s="22">
        <f>IF(AND($A279&gt;CARGAS!$AJ$29,$A279&lt;=CARGAS!$AJ$30),tanque8,0)</f>
        <v>0</v>
      </c>
      <c r="N279" s="22">
        <f t="shared" si="30"/>
        <v>688.73612742857154</v>
      </c>
      <c r="O279" s="22">
        <f t="shared" si="31"/>
        <v>22.997737421192852</v>
      </c>
      <c r="P279" s="22">
        <f>O279*Equilibrio!Y$39*Equilibrio!Y$38*DADOS!C$4</f>
        <v>707.18042570168006</v>
      </c>
      <c r="Q279" s="22">
        <f t="shared" si="32"/>
        <v>-18.444298273108529</v>
      </c>
      <c r="R279" s="22">
        <f t="shared" si="33"/>
        <v>13239.014010301875</v>
      </c>
      <c r="S279" s="22">
        <f t="shared" si="34"/>
        <v>-590350.53454221517</v>
      </c>
      <c r="T279" s="22">
        <f t="shared" si="35"/>
        <v>191468.64342514289</v>
      </c>
    </row>
    <row r="280" spans="1:20" x14ac:dyDescent="0.25">
      <c r="A280" s="21">
        <v>279</v>
      </c>
      <c r="B280" s="22">
        <f>CARGAS!$C$40*Equilibrio!A280^2+CARGAS!$D$40*Equilibrio!A280+CARGAS!$E$40</f>
        <v>100.18224587755103</v>
      </c>
      <c r="C280" s="22">
        <f>CARGAS!$C$53*Equilibrio!A280^2+CARGAS!$D$53*Equilibrio!A280+CARGAS!$E$53</f>
        <v>16.697040979591833</v>
      </c>
      <c r="D280">
        <f>IF(posisup=1,IF(A280&lt;=CARGAS!$E$68,sup,0),IF(posisup=2,IF(AND(A280&lt;=CARGAS!$E$69,A280&gt;=CARGAS!$D$69),sup,0),IF(posisup=3,IF(AND(A280&lt;=CARGAS!$E$70,A280&gt;=CARGAS!$D$70),sup,0),0)))</f>
        <v>0</v>
      </c>
      <c r="E280">
        <f>IF(A280&lt;=CARGAS!$H$25,CARGAS!$I$20,0)</f>
        <v>0</v>
      </c>
      <c r="F280" s="22">
        <f>IF(AND(A280&gt;CARGAS!$O$29,A280&lt;=CARGAS!$O$30),tanque1,0)</f>
        <v>0</v>
      </c>
      <c r="G280" s="22">
        <f>IF(AND(A280&gt;CARGAS!$R$29,A280&lt;=CARGAS!$R$30),tanque2,0)</f>
        <v>0</v>
      </c>
      <c r="H280" s="22">
        <f>IF(AND(A280&gt;CARGAS!$U$29,A280&lt;=CARGAS!$U$30),tanque3,0)</f>
        <v>0</v>
      </c>
      <c r="I280" s="22">
        <f>IF(AND(A280&gt;CARGAS!$X$29,A280&lt;=CARGAS!$X$30),tanque4,0)</f>
        <v>0</v>
      </c>
      <c r="J280" s="22">
        <f>IF(AND(A280&gt;CARGAS!$AA$29,A280&lt;=CARGAS!$AA$30),tanque5,0)</f>
        <v>0</v>
      </c>
      <c r="K280" s="22">
        <f>IF(AND($A280&gt;CARGAS!$AD$29,$A280&lt;=CARGAS!$AD$30),tanque6,0)</f>
        <v>0</v>
      </c>
      <c r="L280" s="22">
        <f>IF(AND($A280&gt;CARGAS!$AG$29,$A280&lt;=CARGAS!$AG$30),tanque7,0)</f>
        <v>571.20000000000005</v>
      </c>
      <c r="M280" s="22">
        <f>IF(AND($A280&gt;CARGAS!$AJ$29,$A280&lt;=CARGAS!$AJ$30),tanque8,0)</f>
        <v>0</v>
      </c>
      <c r="N280" s="22">
        <f t="shared" si="30"/>
        <v>688.07928685714296</v>
      </c>
      <c r="O280" s="22">
        <f t="shared" si="31"/>
        <v>23.155838248212504</v>
      </c>
      <c r="P280" s="22">
        <f>O280*Equilibrio!Y$39*Equilibrio!Y$38*DADOS!C$4</f>
        <v>712.04202613253449</v>
      </c>
      <c r="Q280" s="22">
        <f t="shared" si="32"/>
        <v>-23.962739275391527</v>
      </c>
      <c r="R280" s="22">
        <f t="shared" si="33"/>
        <v>13215.051271026483</v>
      </c>
      <c r="S280" s="22">
        <f t="shared" si="34"/>
        <v>-577135.48327118868</v>
      </c>
      <c r="T280" s="22">
        <f t="shared" si="35"/>
        <v>191974.12103314287</v>
      </c>
    </row>
    <row r="281" spans="1:20" x14ac:dyDescent="0.25">
      <c r="A281" s="21">
        <v>280</v>
      </c>
      <c r="B281" s="22">
        <f>CARGAS!$C$40*Equilibrio!A281^2+CARGAS!$D$40*Equilibrio!A281+CARGAS!$E$40</f>
        <v>99.613799999999998</v>
      </c>
      <c r="C281" s="22">
        <f>CARGAS!$C$53*Equilibrio!A281^2+CARGAS!$D$53*Equilibrio!A281+CARGAS!$E$53</f>
        <v>16.6023</v>
      </c>
      <c r="D281">
        <f>IF(posisup=1,IF(A281&lt;=CARGAS!$E$68,sup,0),IF(posisup=2,IF(AND(A281&lt;=CARGAS!$E$69,A281&gt;=CARGAS!$D$69),sup,0),IF(posisup=3,IF(AND(A281&lt;=CARGAS!$E$70,A281&gt;=CARGAS!$D$70),sup,0),0)))</f>
        <v>0</v>
      </c>
      <c r="E281">
        <f>IF(A281&lt;=CARGAS!$H$25,CARGAS!$I$20,0)</f>
        <v>0</v>
      </c>
      <c r="F281" s="22">
        <f>IF(AND(A281&gt;CARGAS!$O$29,A281&lt;=CARGAS!$O$30),tanque1,0)</f>
        <v>0</v>
      </c>
      <c r="G281" s="22">
        <f>IF(AND(A281&gt;CARGAS!$R$29,A281&lt;=CARGAS!$R$30),tanque2,0)</f>
        <v>0</v>
      </c>
      <c r="H281" s="22">
        <f>IF(AND(A281&gt;CARGAS!$U$29,A281&lt;=CARGAS!$U$30),tanque3,0)</f>
        <v>0</v>
      </c>
      <c r="I281" s="22">
        <f>IF(AND(A281&gt;CARGAS!$X$29,A281&lt;=CARGAS!$X$30),tanque4,0)</f>
        <v>0</v>
      </c>
      <c r="J281" s="22">
        <f>IF(AND(A281&gt;CARGAS!$AA$29,A281&lt;=CARGAS!$AA$30),tanque5,0)</f>
        <v>0</v>
      </c>
      <c r="K281" s="22">
        <f>IF(AND($A281&gt;CARGAS!$AD$29,$A281&lt;=CARGAS!$AD$30),tanque6,0)</f>
        <v>0</v>
      </c>
      <c r="L281" s="22">
        <f>IF(AND($A281&gt;CARGAS!$AG$29,$A281&lt;=CARGAS!$AG$30),tanque7,0)</f>
        <v>571.20000000000005</v>
      </c>
      <c r="M281" s="22">
        <f>IF(AND($A281&gt;CARGAS!$AJ$29,$A281&lt;=CARGAS!$AJ$30),tanque8,0)</f>
        <v>0</v>
      </c>
      <c r="N281" s="22">
        <f t="shared" si="30"/>
        <v>687.41610000000003</v>
      </c>
      <c r="O281" s="22">
        <f t="shared" si="31"/>
        <v>23.313115987015781</v>
      </c>
      <c r="P281" s="22">
        <f>O281*Equilibrio!Y$39*Equilibrio!Y$38*DADOS!C$4</f>
        <v>716.87831660073527</v>
      </c>
      <c r="Q281" s="22">
        <f t="shared" si="32"/>
        <v>-29.462216600735246</v>
      </c>
      <c r="R281" s="22">
        <f t="shared" si="33"/>
        <v>13185.589054425747</v>
      </c>
      <c r="S281" s="22">
        <f t="shared" si="34"/>
        <v>-563949.89421676297</v>
      </c>
      <c r="T281" s="22">
        <f t="shared" si="35"/>
        <v>192476.508</v>
      </c>
    </row>
    <row r="282" spans="1:20" x14ac:dyDescent="0.25">
      <c r="A282" s="21">
        <v>281</v>
      </c>
      <c r="B282" s="22">
        <f>CARGAS!$C$40*Equilibrio!A282^2+CARGAS!$D$40*Equilibrio!A282+CARGAS!$E$40</f>
        <v>99.039914448979602</v>
      </c>
      <c r="C282" s="22">
        <f>CARGAS!$C$53*Equilibrio!A282^2+CARGAS!$D$53*Equilibrio!A282+CARGAS!$E$53</f>
        <v>16.506652408163269</v>
      </c>
      <c r="D282">
        <f>IF(posisup=1,IF(A282&lt;=CARGAS!$E$68,sup,0),IF(posisup=2,IF(AND(A282&lt;=CARGAS!$E$69,A282&gt;=CARGAS!$D$69),sup,0),IF(posisup=3,IF(AND(A282&lt;=CARGAS!$E$70,A282&gt;=CARGAS!$D$70),sup,0),0)))</f>
        <v>0</v>
      </c>
      <c r="E282">
        <f>IF(A282&lt;=CARGAS!$H$25,CARGAS!$I$20,0)</f>
        <v>0</v>
      </c>
      <c r="F282" s="22">
        <f>IF(AND(A282&gt;CARGAS!$O$29,A282&lt;=CARGAS!$O$30),tanque1,0)</f>
        <v>0</v>
      </c>
      <c r="G282" s="22">
        <f>IF(AND(A282&gt;CARGAS!$R$29,A282&lt;=CARGAS!$R$30),tanque2,0)</f>
        <v>0</v>
      </c>
      <c r="H282" s="22">
        <f>IF(AND(A282&gt;CARGAS!$U$29,A282&lt;=CARGAS!$U$30),tanque3,0)</f>
        <v>0</v>
      </c>
      <c r="I282" s="22">
        <f>IF(AND(A282&gt;CARGAS!$X$29,A282&lt;=CARGAS!$X$30),tanque4,0)</f>
        <v>0</v>
      </c>
      <c r="J282" s="22">
        <f>IF(AND(A282&gt;CARGAS!$AA$29,A282&lt;=CARGAS!$AA$30),tanque5,0)</f>
        <v>0</v>
      </c>
      <c r="K282" s="22">
        <f>IF(AND($A282&gt;CARGAS!$AD$29,$A282&lt;=CARGAS!$AD$30),tanque6,0)</f>
        <v>0</v>
      </c>
      <c r="L282" s="22">
        <f>IF(AND($A282&gt;CARGAS!$AG$29,$A282&lt;=CARGAS!$AG$30),tanque7,0)</f>
        <v>571.20000000000005</v>
      </c>
      <c r="M282" s="22">
        <f>IF(AND($A282&gt;CARGAS!$AJ$29,$A282&lt;=CARGAS!$AJ$30),tanque8,0)</f>
        <v>0</v>
      </c>
      <c r="N282" s="22">
        <f t="shared" si="30"/>
        <v>686.74656685714285</v>
      </c>
      <c r="O282" s="22">
        <f t="shared" si="31"/>
        <v>23.469522356224509</v>
      </c>
      <c r="P282" s="22">
        <f>O282*Equilibrio!Y$39*Equilibrio!Y$38*DADOS!C$4</f>
        <v>721.68781245390358</v>
      </c>
      <c r="Q282" s="22">
        <f t="shared" si="32"/>
        <v>-34.941245596760723</v>
      </c>
      <c r="R282" s="22">
        <f t="shared" si="33"/>
        <v>13150.647808828986</v>
      </c>
      <c r="S282" s="22">
        <f t="shared" si="34"/>
        <v>-550799.246407934</v>
      </c>
      <c r="T282" s="22">
        <f t="shared" si="35"/>
        <v>192975.78528685714</v>
      </c>
    </row>
    <row r="283" spans="1:20" x14ac:dyDescent="0.25">
      <c r="A283" s="21">
        <v>282</v>
      </c>
      <c r="B283" s="22">
        <f>CARGAS!$C$40*Equilibrio!A283^2+CARGAS!$D$40*Equilibrio!A283+CARGAS!$E$40</f>
        <v>98.460589224489809</v>
      </c>
      <c r="C283" s="22">
        <f>CARGAS!$C$53*Equilibrio!A283^2+CARGAS!$D$53*Equilibrio!A283+CARGAS!$E$53</f>
        <v>16.410098204081635</v>
      </c>
      <c r="D283">
        <f>IF(posisup=1,IF(A283&lt;=CARGAS!$E$68,sup,0),IF(posisup=2,IF(AND(A283&lt;=CARGAS!$E$69,A283&gt;=CARGAS!$D$69),sup,0),IF(posisup=3,IF(AND(A283&lt;=CARGAS!$E$70,A283&gt;=CARGAS!$D$70),sup,0),0)))</f>
        <v>0</v>
      </c>
      <c r="E283">
        <f>IF(A283&lt;=CARGAS!$H$25,CARGAS!$I$20,0)</f>
        <v>0</v>
      </c>
      <c r="F283" s="22">
        <f>IF(AND(A283&gt;CARGAS!$O$29,A283&lt;=CARGAS!$O$30),tanque1,0)</f>
        <v>0</v>
      </c>
      <c r="G283" s="22">
        <f>IF(AND(A283&gt;CARGAS!$R$29,A283&lt;=CARGAS!$R$30),tanque2,0)</f>
        <v>0</v>
      </c>
      <c r="H283" s="22">
        <f>IF(AND(A283&gt;CARGAS!$U$29,A283&lt;=CARGAS!$U$30),tanque3,0)</f>
        <v>0</v>
      </c>
      <c r="I283" s="22">
        <f>IF(AND(A283&gt;CARGAS!$X$29,A283&lt;=CARGAS!$X$30),tanque4,0)</f>
        <v>0</v>
      </c>
      <c r="J283" s="22">
        <f>IF(AND(A283&gt;CARGAS!$AA$29,A283&lt;=CARGAS!$AA$30),tanque5,0)</f>
        <v>0</v>
      </c>
      <c r="K283" s="22">
        <f>IF(AND($A283&gt;CARGAS!$AD$29,$A283&lt;=CARGAS!$AD$30),tanque6,0)</f>
        <v>0</v>
      </c>
      <c r="L283" s="22">
        <f>IF(AND($A283&gt;CARGAS!$AG$29,$A283&lt;=CARGAS!$AG$30),tanque7,0)</f>
        <v>571.20000000000005</v>
      </c>
      <c r="M283" s="22">
        <f>IF(AND($A283&gt;CARGAS!$AJ$29,$A283&lt;=CARGAS!$AJ$30),tanque8,0)</f>
        <v>0</v>
      </c>
      <c r="N283" s="22">
        <f t="shared" si="30"/>
        <v>686.07068742857155</v>
      </c>
      <c r="O283" s="22">
        <f t="shared" si="31"/>
        <v>23.625009355271697</v>
      </c>
      <c r="P283" s="22">
        <f>O283*Equilibrio!Y$39*Equilibrio!Y$38*DADOS!C$4</f>
        <v>726.46903767460469</v>
      </c>
      <c r="Q283" s="22">
        <f t="shared" si="32"/>
        <v>-40.398350246033147</v>
      </c>
      <c r="R283" s="22">
        <f t="shared" si="33"/>
        <v>13110.249458582954</v>
      </c>
      <c r="S283" s="22">
        <f t="shared" si="34"/>
        <v>-537688.99694935104</v>
      </c>
      <c r="T283" s="22">
        <f t="shared" si="35"/>
        <v>193471.93385485717</v>
      </c>
    </row>
    <row r="284" spans="1:20" x14ac:dyDescent="0.25">
      <c r="A284" s="21">
        <v>283</v>
      </c>
      <c r="B284" s="22">
        <f>CARGAS!$C$40*Equilibrio!A284^2+CARGAS!$D$40*Equilibrio!A284+CARGAS!$E$40</f>
        <v>97.875824326530619</v>
      </c>
      <c r="C284" s="22">
        <f>CARGAS!$C$53*Equilibrio!A284^2+CARGAS!$D$53*Equilibrio!A284+CARGAS!$E$53</f>
        <v>16.312637387755103</v>
      </c>
      <c r="D284">
        <f>IF(posisup=1,IF(A284&lt;=CARGAS!$E$68,sup,0),IF(posisup=2,IF(AND(A284&lt;=CARGAS!$E$69,A284&gt;=CARGAS!$D$69),sup,0),IF(posisup=3,IF(AND(A284&lt;=CARGAS!$E$70,A284&gt;=CARGAS!$D$70),sup,0),0)))</f>
        <v>0</v>
      </c>
      <c r="E284">
        <f>IF(A284&lt;=CARGAS!$H$25,CARGAS!$I$20,0)</f>
        <v>0</v>
      </c>
      <c r="F284" s="22">
        <f>IF(AND(A284&gt;CARGAS!$O$29,A284&lt;=CARGAS!$O$30),tanque1,0)</f>
        <v>0</v>
      </c>
      <c r="G284" s="22">
        <f>IF(AND(A284&gt;CARGAS!$R$29,A284&lt;=CARGAS!$R$30),tanque2,0)</f>
        <v>0</v>
      </c>
      <c r="H284" s="22">
        <f>IF(AND(A284&gt;CARGAS!$U$29,A284&lt;=CARGAS!$U$30),tanque3,0)</f>
        <v>0</v>
      </c>
      <c r="I284" s="22">
        <f>IF(AND(A284&gt;CARGAS!$X$29,A284&lt;=CARGAS!$X$30),tanque4,0)</f>
        <v>0</v>
      </c>
      <c r="J284" s="22">
        <f>IF(AND(A284&gt;CARGAS!$AA$29,A284&lt;=CARGAS!$AA$30),tanque5,0)</f>
        <v>0</v>
      </c>
      <c r="K284" s="22">
        <f>IF(AND($A284&gt;CARGAS!$AD$29,$A284&lt;=CARGAS!$AD$30),tanque6,0)</f>
        <v>0</v>
      </c>
      <c r="L284" s="22">
        <f>IF(AND($A284&gt;CARGAS!$AG$29,$A284&lt;=CARGAS!$AG$30),tanque7,0)</f>
        <v>571.20000000000005</v>
      </c>
      <c r="M284" s="22">
        <f>IF(AND($A284&gt;CARGAS!$AJ$29,$A284&lt;=CARGAS!$AJ$30),tanque8,0)</f>
        <v>0</v>
      </c>
      <c r="N284" s="22">
        <f t="shared" si="30"/>
        <v>685.38846171428577</v>
      </c>
      <c r="O284" s="22">
        <f t="shared" si="31"/>
        <v>23.779529279870395</v>
      </c>
      <c r="P284" s="22">
        <f>O284*Equilibrio!Y$39*Equilibrio!Y$38*DADOS!C$4</f>
        <v>731.2205253560146</v>
      </c>
      <c r="Q284" s="22">
        <f t="shared" si="32"/>
        <v>-45.832063641728837</v>
      </c>
      <c r="R284" s="22">
        <f t="shared" si="33"/>
        <v>13064.417394941225</v>
      </c>
      <c r="S284" s="22">
        <f t="shared" si="34"/>
        <v>-524624.57955440984</v>
      </c>
      <c r="T284" s="22">
        <f t="shared" si="35"/>
        <v>193964.93466514288</v>
      </c>
    </row>
    <row r="285" spans="1:20" x14ac:dyDescent="0.25">
      <c r="A285" s="21">
        <v>284</v>
      </c>
      <c r="B285" s="22">
        <f>CARGAS!$C$40*Equilibrio!A285^2+CARGAS!$D$40*Equilibrio!A285+CARGAS!$E$40</f>
        <v>97.285619755102033</v>
      </c>
      <c r="C285" s="22">
        <f>CARGAS!$C$53*Equilibrio!A285^2+CARGAS!$D$53*Equilibrio!A285+CARGAS!$E$53</f>
        <v>16.214269959183675</v>
      </c>
      <c r="D285">
        <f>IF(posisup=1,IF(A285&lt;=CARGAS!$E$68,sup,0),IF(posisup=2,IF(AND(A285&lt;=CARGAS!$E$69,A285&gt;=CARGAS!$D$69),sup,0),IF(posisup=3,IF(AND(A285&lt;=CARGAS!$E$70,A285&gt;=CARGAS!$D$70),sup,0),0)))</f>
        <v>0</v>
      </c>
      <c r="E285">
        <f>IF(A285&lt;=CARGAS!$H$25,CARGAS!$I$20,0)</f>
        <v>0</v>
      </c>
      <c r="F285" s="22">
        <f>IF(AND(A285&gt;CARGAS!$O$29,A285&lt;=CARGAS!$O$30),tanque1,0)</f>
        <v>0</v>
      </c>
      <c r="G285" s="22">
        <f>IF(AND(A285&gt;CARGAS!$R$29,A285&lt;=CARGAS!$R$30),tanque2,0)</f>
        <v>0</v>
      </c>
      <c r="H285" s="22">
        <f>IF(AND(A285&gt;CARGAS!$U$29,A285&lt;=CARGAS!$U$30),tanque3,0)</f>
        <v>0</v>
      </c>
      <c r="I285" s="22">
        <f>IF(AND(A285&gt;CARGAS!$X$29,A285&lt;=CARGAS!$X$30),tanque4,0)</f>
        <v>0</v>
      </c>
      <c r="J285" s="22">
        <f>IF(AND(A285&gt;CARGAS!$AA$29,A285&lt;=CARGAS!$AA$30),tanque5,0)</f>
        <v>0</v>
      </c>
      <c r="K285" s="22">
        <f>IF(AND($A285&gt;CARGAS!$AD$29,$A285&lt;=CARGAS!$AD$30),tanque6,0)</f>
        <v>0</v>
      </c>
      <c r="L285" s="22">
        <f>IF(AND($A285&gt;CARGAS!$AG$29,$A285&lt;=CARGAS!$AG$30),tanque7,0)</f>
        <v>571.20000000000005</v>
      </c>
      <c r="M285" s="22">
        <f>IF(AND($A285&gt;CARGAS!$AJ$29,$A285&lt;=CARGAS!$AJ$30),tanque8,0)</f>
        <v>0</v>
      </c>
      <c r="N285" s="22">
        <f t="shared" si="30"/>
        <v>684.69988971428575</v>
      </c>
      <c r="O285" s="22">
        <f t="shared" si="31"/>
        <v>23.933034737387036</v>
      </c>
      <c r="P285" s="22">
        <f>O285*Equilibrio!Y$39*Equilibrio!Y$38*DADOS!C$4</f>
        <v>735.94081817465133</v>
      </c>
      <c r="Q285" s="22">
        <f t="shared" si="32"/>
        <v>-51.240928460365581</v>
      </c>
      <c r="R285" s="22">
        <f t="shared" si="33"/>
        <v>13013.17646648086</v>
      </c>
      <c r="S285" s="22">
        <f t="shared" si="34"/>
        <v>-511611.40308792895</v>
      </c>
      <c r="T285" s="22">
        <f t="shared" si="35"/>
        <v>194454.76867885716</v>
      </c>
    </row>
    <row r="286" spans="1:20" x14ac:dyDescent="0.25">
      <c r="A286" s="21">
        <v>285</v>
      </c>
      <c r="B286" s="22">
        <f>CARGAS!$C$40*Equilibrio!A286^2+CARGAS!$D$40*Equilibrio!A286+CARGAS!$E$40</f>
        <v>96.689975510204079</v>
      </c>
      <c r="C286" s="22">
        <f>CARGAS!$C$53*Equilibrio!A286^2+CARGAS!$D$53*Equilibrio!A286+CARGAS!$E$53</f>
        <v>16.114995918367349</v>
      </c>
      <c r="D286">
        <f>IF(posisup=1,IF(A286&lt;=CARGAS!$E$68,sup,0),IF(posisup=2,IF(AND(A286&lt;=CARGAS!$E$69,A286&gt;=CARGAS!$D$69),sup,0),IF(posisup=3,IF(AND(A286&lt;=CARGAS!$E$70,A286&gt;=CARGAS!$D$70),sup,0),0)))</f>
        <v>0</v>
      </c>
      <c r="E286">
        <f>IF(A286&lt;=CARGAS!$H$25,CARGAS!$I$20,0)</f>
        <v>0</v>
      </c>
      <c r="F286" s="22">
        <f>IF(AND(A286&gt;CARGAS!$O$29,A286&lt;=CARGAS!$O$30),tanque1,0)</f>
        <v>0</v>
      </c>
      <c r="G286" s="22">
        <f>IF(AND(A286&gt;CARGAS!$R$29,A286&lt;=CARGAS!$R$30),tanque2,0)</f>
        <v>0</v>
      </c>
      <c r="H286" s="22">
        <f>IF(AND(A286&gt;CARGAS!$U$29,A286&lt;=CARGAS!$U$30),tanque3,0)</f>
        <v>0</v>
      </c>
      <c r="I286" s="22">
        <f>IF(AND(A286&gt;CARGAS!$X$29,A286&lt;=CARGAS!$X$30),tanque4,0)</f>
        <v>0</v>
      </c>
      <c r="J286" s="22">
        <f>IF(AND(A286&gt;CARGAS!$AA$29,A286&lt;=CARGAS!$AA$30),tanque5,0)</f>
        <v>0</v>
      </c>
      <c r="K286" s="22">
        <f>IF(AND($A286&gt;CARGAS!$AD$29,$A286&lt;=CARGAS!$AD$30),tanque6,0)</f>
        <v>0</v>
      </c>
      <c r="L286" s="22">
        <f>IF(AND($A286&gt;CARGAS!$AG$29,$A286&lt;=CARGAS!$AG$30),tanque7,0)</f>
        <v>571.20000000000005</v>
      </c>
      <c r="M286" s="22">
        <f>IF(AND($A286&gt;CARGAS!$AJ$29,$A286&lt;=CARGAS!$AJ$30),tanque8,0)</f>
        <v>0</v>
      </c>
      <c r="N286" s="22">
        <f t="shared" si="30"/>
        <v>684.00497142857148</v>
      </c>
      <c r="O286" s="22">
        <f t="shared" si="31"/>
        <v>24.085478662114465</v>
      </c>
      <c r="P286" s="22">
        <f>O286*Equilibrio!Y$39*Equilibrio!Y$38*DADOS!C$4</f>
        <v>740.62846886001967</v>
      </c>
      <c r="Q286" s="22">
        <f t="shared" si="32"/>
        <v>-56.623497431448186</v>
      </c>
      <c r="R286" s="22">
        <f t="shared" si="33"/>
        <v>12956.552969049411</v>
      </c>
      <c r="S286" s="22">
        <f t="shared" si="34"/>
        <v>-498654.85011887952</v>
      </c>
      <c r="T286" s="22">
        <f t="shared" si="35"/>
        <v>194941.41685714287</v>
      </c>
    </row>
    <row r="287" spans="1:20" x14ac:dyDescent="0.25">
      <c r="A287" s="21">
        <v>286</v>
      </c>
      <c r="B287" s="22">
        <f>CARGAS!$C$40*Equilibrio!A287^2+CARGAS!$D$40*Equilibrio!A287+CARGAS!$E$40</f>
        <v>96.088891591836727</v>
      </c>
      <c r="C287" s="22">
        <f>CARGAS!$C$53*Equilibrio!A287^2+CARGAS!$D$53*Equilibrio!A287+CARGAS!$E$53</f>
        <v>16.014815265306126</v>
      </c>
      <c r="D287">
        <f>IF(posisup=1,IF(A287&lt;=CARGAS!$E$68,sup,0),IF(posisup=2,IF(AND(A287&lt;=CARGAS!$E$69,A287&gt;=CARGAS!$D$69),sup,0),IF(posisup=3,IF(AND(A287&lt;=CARGAS!$E$70,A287&gt;=CARGAS!$D$70),sup,0),0)))</f>
        <v>0</v>
      </c>
      <c r="E287">
        <f>IF(A287&lt;=CARGAS!$H$25,CARGAS!$I$20,0)</f>
        <v>0</v>
      </c>
      <c r="F287" s="22">
        <f>IF(AND(A287&gt;CARGAS!$O$29,A287&lt;=CARGAS!$O$30),tanque1,0)</f>
        <v>0</v>
      </c>
      <c r="G287" s="22">
        <f>IF(AND(A287&gt;CARGAS!$R$29,A287&lt;=CARGAS!$R$30),tanque2,0)</f>
        <v>0</v>
      </c>
      <c r="H287" s="22">
        <f>IF(AND(A287&gt;CARGAS!$U$29,A287&lt;=CARGAS!$U$30),tanque3,0)</f>
        <v>0</v>
      </c>
      <c r="I287" s="22">
        <f>IF(AND(A287&gt;CARGAS!$X$29,A287&lt;=CARGAS!$X$30),tanque4,0)</f>
        <v>0</v>
      </c>
      <c r="J287" s="22">
        <f>IF(AND(A287&gt;CARGAS!$AA$29,A287&lt;=CARGAS!$AA$30),tanque5,0)</f>
        <v>0</v>
      </c>
      <c r="K287" s="22">
        <f>IF(AND($A287&gt;CARGAS!$AD$29,$A287&lt;=CARGAS!$AD$30),tanque6,0)</f>
        <v>0</v>
      </c>
      <c r="L287" s="22">
        <f>IF(AND($A287&gt;CARGAS!$AG$29,$A287&lt;=CARGAS!$AG$30),tanque7,0)</f>
        <v>571.20000000000005</v>
      </c>
      <c r="M287" s="22">
        <f>IF(AND($A287&gt;CARGAS!$AJ$29,$A287&lt;=CARGAS!$AJ$30),tanque8,0)</f>
        <v>0</v>
      </c>
      <c r="N287" s="22">
        <f t="shared" si="30"/>
        <v>683.30370685714286</v>
      </c>
      <c r="O287" s="22">
        <f t="shared" si="31"/>
        <v>24.236814330439458</v>
      </c>
      <c r="P287" s="22">
        <f>O287*Equilibrio!Y$39*Equilibrio!Y$38*DADOS!C$4</f>
        <v>745.2820406610133</v>
      </c>
      <c r="Q287" s="22">
        <f t="shared" si="32"/>
        <v>-61.978333803870441</v>
      </c>
      <c r="R287" s="22">
        <f t="shared" si="33"/>
        <v>12894.574635245541</v>
      </c>
      <c r="S287" s="22">
        <f t="shared" si="34"/>
        <v>-485760.27548363397</v>
      </c>
      <c r="T287" s="22">
        <f t="shared" si="35"/>
        <v>195424.86016114286</v>
      </c>
    </row>
    <row r="288" spans="1:20" x14ac:dyDescent="0.25">
      <c r="A288" s="21">
        <v>287</v>
      </c>
      <c r="B288" s="22">
        <f>CARGAS!$C$40*Equilibrio!A288^2+CARGAS!$D$40*Equilibrio!A288+CARGAS!$E$40</f>
        <v>95.48236799999998</v>
      </c>
      <c r="C288" s="22">
        <f>CARGAS!$C$53*Equilibrio!A288^2+CARGAS!$D$53*Equilibrio!A288+CARGAS!$E$53</f>
        <v>15.913727999999999</v>
      </c>
      <c r="D288">
        <f>IF(posisup=1,IF(A288&lt;=CARGAS!$E$68,sup,0),IF(posisup=2,IF(AND(A288&lt;=CARGAS!$E$69,A288&gt;=CARGAS!$D$69),sup,0),IF(posisup=3,IF(AND(A288&lt;=CARGAS!$E$70,A288&gt;=CARGAS!$D$70),sup,0),0)))</f>
        <v>0</v>
      </c>
      <c r="E288">
        <f>IF(A288&lt;=CARGAS!$H$25,CARGAS!$I$20,0)</f>
        <v>0</v>
      </c>
      <c r="F288" s="22">
        <f>IF(AND(A288&gt;CARGAS!$O$29,A288&lt;=CARGAS!$O$30),tanque1,0)</f>
        <v>0</v>
      </c>
      <c r="G288" s="22">
        <f>IF(AND(A288&gt;CARGAS!$R$29,A288&lt;=CARGAS!$R$30),tanque2,0)</f>
        <v>0</v>
      </c>
      <c r="H288" s="22">
        <f>IF(AND(A288&gt;CARGAS!$U$29,A288&lt;=CARGAS!$U$30),tanque3,0)</f>
        <v>0</v>
      </c>
      <c r="I288" s="22">
        <f>IF(AND(A288&gt;CARGAS!$X$29,A288&lt;=CARGAS!$X$30),tanque4,0)</f>
        <v>0</v>
      </c>
      <c r="J288" s="22">
        <f>IF(AND(A288&gt;CARGAS!$AA$29,A288&lt;=CARGAS!$AA$30),tanque5,0)</f>
        <v>0</v>
      </c>
      <c r="K288" s="22">
        <f>IF(AND($A288&gt;CARGAS!$AD$29,$A288&lt;=CARGAS!$AD$30),tanque6,0)</f>
        <v>0</v>
      </c>
      <c r="L288" s="22">
        <f>IF(AND($A288&gt;CARGAS!$AG$29,$A288&lt;=CARGAS!$AG$30),tanque7,0)</f>
        <v>571.20000000000005</v>
      </c>
      <c r="M288" s="22">
        <f>IF(AND($A288&gt;CARGAS!$AJ$29,$A288&lt;=CARGAS!$AJ$30),tanque8,0)</f>
        <v>0</v>
      </c>
      <c r="N288" s="22">
        <f t="shared" si="30"/>
        <v>682.59609599999999</v>
      </c>
      <c r="O288" s="22">
        <f t="shared" si="31"/>
        <v>24.386995375900078</v>
      </c>
      <c r="P288" s="22">
        <f>O288*Equilibrio!Y$39*Equilibrio!Y$38*DADOS!C$4</f>
        <v>749.90010780892726</v>
      </c>
      <c r="Q288" s="22">
        <f t="shared" si="32"/>
        <v>-67.304011808927271</v>
      </c>
      <c r="R288" s="22">
        <f t="shared" si="33"/>
        <v>12827.270623436614</v>
      </c>
      <c r="S288" s="22">
        <f t="shared" si="34"/>
        <v>-472933.00486019737</v>
      </c>
      <c r="T288" s="22">
        <f t="shared" si="35"/>
        <v>195905.07955200001</v>
      </c>
    </row>
    <row r="289" spans="1:20" x14ac:dyDescent="0.25">
      <c r="A289" s="21">
        <v>288</v>
      </c>
      <c r="B289" s="22">
        <f>CARGAS!$C$40*Equilibrio!A289^2+CARGAS!$D$40*Equilibrio!A289+CARGAS!$E$40</f>
        <v>94.870404734693864</v>
      </c>
      <c r="C289" s="22">
        <f>CARGAS!$C$53*Equilibrio!A289^2+CARGAS!$D$53*Equilibrio!A289+CARGAS!$E$53</f>
        <v>15.811734122448982</v>
      </c>
      <c r="D289">
        <f>IF(posisup=1,IF(A289&lt;=CARGAS!$E$68,sup,0),IF(posisup=2,IF(AND(A289&lt;=CARGAS!$E$69,A289&gt;=CARGAS!$D$69),sup,0),IF(posisup=3,IF(AND(A289&lt;=CARGAS!$E$70,A289&gt;=CARGAS!$D$70),sup,0),0)))</f>
        <v>0</v>
      </c>
      <c r="E289">
        <f>IF(A289&lt;=CARGAS!$H$25,CARGAS!$I$20,0)</f>
        <v>0</v>
      </c>
      <c r="F289" s="22">
        <f>IF(AND(A289&gt;CARGAS!$O$29,A289&lt;=CARGAS!$O$30),tanque1,0)</f>
        <v>0</v>
      </c>
      <c r="G289" s="22">
        <f>IF(AND(A289&gt;CARGAS!$R$29,A289&lt;=CARGAS!$R$30),tanque2,0)</f>
        <v>0</v>
      </c>
      <c r="H289" s="22">
        <f>IF(AND(A289&gt;CARGAS!$U$29,A289&lt;=CARGAS!$U$30),tanque3,0)</f>
        <v>0</v>
      </c>
      <c r="I289" s="22">
        <f>IF(AND(A289&gt;CARGAS!$X$29,A289&lt;=CARGAS!$X$30),tanque4,0)</f>
        <v>0</v>
      </c>
      <c r="J289" s="22">
        <f>IF(AND(A289&gt;CARGAS!$AA$29,A289&lt;=CARGAS!$AA$30),tanque5,0)</f>
        <v>0</v>
      </c>
      <c r="K289" s="22">
        <f>IF(AND($A289&gt;CARGAS!$AD$29,$A289&lt;=CARGAS!$AD$30),tanque6,0)</f>
        <v>0</v>
      </c>
      <c r="L289" s="22">
        <f>IF(AND($A289&gt;CARGAS!$AG$29,$A289&lt;=CARGAS!$AG$30),tanque7,0)</f>
        <v>571.20000000000005</v>
      </c>
      <c r="M289" s="22">
        <f>IF(AND($A289&gt;CARGAS!$AJ$29,$A289&lt;=CARGAS!$AJ$30),tanque8,0)</f>
        <v>0</v>
      </c>
      <c r="N289" s="22">
        <f t="shared" si="30"/>
        <v>681.88213885714288</v>
      </c>
      <c r="O289" s="22">
        <f t="shared" si="31"/>
        <v>24.535975804127951</v>
      </c>
      <c r="P289" s="22">
        <f>O289*Equilibrio!Y$39*Equilibrio!Y$38*DADOS!C$4</f>
        <v>754.48125597693445</v>
      </c>
      <c r="Q289" s="22">
        <f t="shared" si="32"/>
        <v>-72.599117119791572</v>
      </c>
      <c r="R289" s="22">
        <f t="shared" si="33"/>
        <v>12754.671506316823</v>
      </c>
      <c r="S289" s="22">
        <f t="shared" si="34"/>
        <v>-460178.33335388056</v>
      </c>
      <c r="T289" s="22">
        <f t="shared" si="35"/>
        <v>196382.05599085716</v>
      </c>
    </row>
    <row r="290" spans="1:20" x14ac:dyDescent="0.25">
      <c r="A290" s="21">
        <v>289</v>
      </c>
      <c r="B290" s="22">
        <f>CARGAS!$C$40*Equilibrio!A290^2+CARGAS!$D$40*Equilibrio!A290+CARGAS!$E$40</f>
        <v>94.253001795918351</v>
      </c>
      <c r="C290" s="22">
        <f>CARGAS!$C$53*Equilibrio!A290^2+CARGAS!$D$53*Equilibrio!A290+CARGAS!$E$53</f>
        <v>15.708833632653061</v>
      </c>
      <c r="D290">
        <f>IF(posisup=1,IF(A290&lt;=CARGAS!$E$68,sup,0),IF(posisup=2,IF(AND(A290&lt;=CARGAS!$E$69,A290&gt;=CARGAS!$D$69),sup,0),IF(posisup=3,IF(AND(A290&lt;=CARGAS!$E$70,A290&gt;=CARGAS!$D$70),sup,0),0)))</f>
        <v>0</v>
      </c>
      <c r="E290">
        <f>IF(A290&lt;=CARGAS!$H$25,CARGAS!$I$20,0)</f>
        <v>0</v>
      </c>
      <c r="F290" s="22">
        <f>IF(AND(A290&gt;CARGAS!$O$29,A290&lt;=CARGAS!$O$30),tanque1,0)</f>
        <v>0</v>
      </c>
      <c r="G290" s="22">
        <f>IF(AND(A290&gt;CARGAS!$R$29,A290&lt;=CARGAS!$R$30),tanque2,0)</f>
        <v>0</v>
      </c>
      <c r="H290" s="22">
        <f>IF(AND(A290&gt;CARGAS!$U$29,A290&lt;=CARGAS!$U$30),tanque3,0)</f>
        <v>0</v>
      </c>
      <c r="I290" s="22">
        <f>IF(AND(A290&gt;CARGAS!$X$29,A290&lt;=CARGAS!$X$30),tanque4,0)</f>
        <v>0</v>
      </c>
      <c r="J290" s="22">
        <f>IF(AND(A290&gt;CARGAS!$AA$29,A290&lt;=CARGAS!$AA$30),tanque5,0)</f>
        <v>0</v>
      </c>
      <c r="K290" s="22">
        <f>IF(AND($A290&gt;CARGAS!$AD$29,$A290&lt;=CARGAS!$AD$30),tanque6,0)</f>
        <v>0</v>
      </c>
      <c r="L290" s="22">
        <f>IF(AND($A290&gt;CARGAS!$AG$29,$A290&lt;=CARGAS!$AG$30),tanque7,0)</f>
        <v>571.20000000000005</v>
      </c>
      <c r="M290" s="22">
        <f>IF(AND($A290&gt;CARGAS!$AJ$29,$A290&lt;=CARGAS!$AJ$30),tanque8,0)</f>
        <v>0</v>
      </c>
      <c r="N290" s="22">
        <f t="shared" si="30"/>
        <v>681.16183542857152</v>
      </c>
      <c r="O290" s="22">
        <f t="shared" si="31"/>
        <v>24.683710007670591</v>
      </c>
      <c r="P290" s="22">
        <f>O290*Equilibrio!Y$39*Equilibrio!Y$38*DADOS!C$4</f>
        <v>759.02408273587059</v>
      </c>
      <c r="Q290" s="22">
        <f t="shared" si="32"/>
        <v>-77.862247307299072</v>
      </c>
      <c r="R290" s="22">
        <f t="shared" si="33"/>
        <v>12676.809259009524</v>
      </c>
      <c r="S290" s="22">
        <f t="shared" si="34"/>
        <v>-447501.52409487101</v>
      </c>
      <c r="T290" s="22">
        <f t="shared" si="35"/>
        <v>196855.77043885717</v>
      </c>
    </row>
    <row r="291" spans="1:20" x14ac:dyDescent="0.25">
      <c r="A291" s="21">
        <v>290</v>
      </c>
      <c r="B291" s="22">
        <f>CARGAS!$C$40*Equilibrio!A291^2+CARGAS!$D$40*Equilibrio!A291+CARGAS!$E$40</f>
        <v>93.630159183673499</v>
      </c>
      <c r="C291" s="22">
        <f>CARGAS!$C$53*Equilibrio!A291^2+CARGAS!$D$53*Equilibrio!A291+CARGAS!$E$53</f>
        <v>15.60502653061225</v>
      </c>
      <c r="D291">
        <f>IF(posisup=1,IF(A291&lt;=CARGAS!$E$68,sup,0),IF(posisup=2,IF(AND(A291&lt;=CARGAS!$E$69,A291&gt;=CARGAS!$D$69),sup,0),IF(posisup=3,IF(AND(A291&lt;=CARGAS!$E$70,A291&gt;=CARGAS!$D$70),sup,0),0)))</f>
        <v>0</v>
      </c>
      <c r="E291">
        <f>IF(A291&lt;=CARGAS!$H$25,CARGAS!$I$20,0)</f>
        <v>0</v>
      </c>
      <c r="F291" s="22">
        <f>IF(AND(A291&gt;CARGAS!$O$29,A291&lt;=CARGAS!$O$30),tanque1,0)</f>
        <v>0</v>
      </c>
      <c r="G291" s="22">
        <f>IF(AND(A291&gt;CARGAS!$R$29,A291&lt;=CARGAS!$R$30),tanque2,0)</f>
        <v>0</v>
      </c>
      <c r="H291" s="22">
        <f>IF(AND(A291&gt;CARGAS!$U$29,A291&lt;=CARGAS!$U$30),tanque3,0)</f>
        <v>0</v>
      </c>
      <c r="I291" s="22">
        <f>IF(AND(A291&gt;CARGAS!$X$29,A291&lt;=CARGAS!$X$30),tanque4,0)</f>
        <v>0</v>
      </c>
      <c r="J291" s="22">
        <f>IF(AND(A291&gt;CARGAS!$AA$29,A291&lt;=CARGAS!$AA$30),tanque5,0)</f>
        <v>0</v>
      </c>
      <c r="K291" s="22">
        <f>IF(AND($A291&gt;CARGAS!$AD$29,$A291&lt;=CARGAS!$AD$30),tanque6,0)</f>
        <v>0</v>
      </c>
      <c r="L291" s="22">
        <f>IF(AND($A291&gt;CARGAS!$AG$29,$A291&lt;=CARGAS!$AG$30),tanque7,0)</f>
        <v>571.20000000000005</v>
      </c>
      <c r="M291" s="22">
        <f>IF(AND($A291&gt;CARGAS!$AJ$29,$A291&lt;=CARGAS!$AJ$30),tanque8,0)</f>
        <v>0</v>
      </c>
      <c r="N291" s="22">
        <f t="shared" si="30"/>
        <v>680.43518571428581</v>
      </c>
      <c r="O291" s="22">
        <f t="shared" si="31"/>
        <v>24.830152780689012</v>
      </c>
      <c r="P291" s="22">
        <f>O291*Equilibrio!Y$39*Equilibrio!Y$38*DADOS!C$4</f>
        <v>763.52719800618706</v>
      </c>
      <c r="Q291" s="22">
        <f t="shared" si="32"/>
        <v>-83.092012291901256</v>
      </c>
      <c r="R291" s="22">
        <f t="shared" si="33"/>
        <v>12593.717246717622</v>
      </c>
      <c r="S291" s="22">
        <f t="shared" si="34"/>
        <v>-434907.80684815341</v>
      </c>
      <c r="T291" s="22">
        <f t="shared" si="35"/>
        <v>197326.20385714289</v>
      </c>
    </row>
    <row r="292" spans="1:20" x14ac:dyDescent="0.25">
      <c r="A292" s="21">
        <v>291</v>
      </c>
      <c r="B292" s="22">
        <f>CARGAS!$C$40*Equilibrio!A292^2+CARGAS!$D$40*Equilibrio!A292+CARGAS!$E$40</f>
        <v>93.001876897959221</v>
      </c>
      <c r="C292" s="22">
        <f>CARGAS!$C$53*Equilibrio!A292^2+CARGAS!$D$53*Equilibrio!A292+CARGAS!$E$53</f>
        <v>15.500312816326527</v>
      </c>
      <c r="D292">
        <f>IF(posisup=1,IF(A292&lt;=CARGAS!$E$68,sup,0),IF(posisup=2,IF(AND(A292&lt;=CARGAS!$E$69,A292&gt;=CARGAS!$D$69),sup,0),IF(posisup=3,IF(AND(A292&lt;=CARGAS!$E$70,A292&gt;=CARGAS!$D$70),sup,0),0)))</f>
        <v>0</v>
      </c>
      <c r="E292">
        <f>IF(A292&lt;=CARGAS!$H$25,CARGAS!$I$20,0)</f>
        <v>0</v>
      </c>
      <c r="F292" s="22">
        <f>IF(AND(A292&gt;CARGAS!$O$29,A292&lt;=CARGAS!$O$30),tanque1,0)</f>
        <v>0</v>
      </c>
      <c r="G292" s="22">
        <f>IF(AND(A292&gt;CARGAS!$R$29,A292&lt;=CARGAS!$R$30),tanque2,0)</f>
        <v>0</v>
      </c>
      <c r="H292" s="22">
        <f>IF(AND(A292&gt;CARGAS!$U$29,A292&lt;=CARGAS!$U$30),tanque3,0)</f>
        <v>0</v>
      </c>
      <c r="I292" s="22">
        <f>IF(AND(A292&gt;CARGAS!$X$29,A292&lt;=CARGAS!$X$30),tanque4,0)</f>
        <v>0</v>
      </c>
      <c r="J292" s="22">
        <f>IF(AND(A292&gt;CARGAS!$AA$29,A292&lt;=CARGAS!$AA$30),tanque5,0)</f>
        <v>0</v>
      </c>
      <c r="K292" s="22">
        <f>IF(AND($A292&gt;CARGAS!$AD$29,$A292&lt;=CARGAS!$AD$30),tanque6,0)</f>
        <v>0</v>
      </c>
      <c r="L292" s="22">
        <f>IF(AND($A292&gt;CARGAS!$AG$29,$A292&lt;=CARGAS!$AG$30),tanque7,0)</f>
        <v>571.20000000000005</v>
      </c>
      <c r="M292" s="22">
        <f>IF(AND($A292&gt;CARGAS!$AJ$29,$A292&lt;=CARGAS!$AJ$30),tanque8,0)</f>
        <v>0</v>
      </c>
      <c r="N292" s="22">
        <f t="shared" si="30"/>
        <v>679.70218971428585</v>
      </c>
      <c r="O292" s="22">
        <f t="shared" si="31"/>
        <v>24.975259333526012</v>
      </c>
      <c r="P292" s="22">
        <f>O292*Equilibrio!Y$39*Equilibrio!Y$38*DADOS!C$4</f>
        <v>767.98922450592477</v>
      </c>
      <c r="Q292" s="22">
        <f t="shared" si="32"/>
        <v>-88.287034791638916</v>
      </c>
      <c r="R292" s="22">
        <f t="shared" si="33"/>
        <v>12505.430211925983</v>
      </c>
      <c r="S292" s="22">
        <f t="shared" si="34"/>
        <v>-422402.37663622742</v>
      </c>
      <c r="T292" s="22">
        <f t="shared" si="35"/>
        <v>197793.33720685719</v>
      </c>
    </row>
    <row r="293" spans="1:20" x14ac:dyDescent="0.25">
      <c r="A293" s="21">
        <v>292</v>
      </c>
      <c r="B293" s="22">
        <f>CARGAS!$C$40*Equilibrio!A293^2+CARGAS!$D$40*Equilibrio!A293+CARGAS!$E$40</f>
        <v>92.368154938775547</v>
      </c>
      <c r="C293" s="22">
        <f>CARGAS!$C$53*Equilibrio!A293^2+CARGAS!$D$53*Equilibrio!A293+CARGAS!$E$53</f>
        <v>15.394692489795922</v>
      </c>
      <c r="D293">
        <f>IF(posisup=1,IF(A293&lt;=CARGAS!$E$68,sup,0),IF(posisup=2,IF(AND(A293&lt;=CARGAS!$E$69,A293&gt;=CARGAS!$D$69),sup,0),IF(posisup=3,IF(AND(A293&lt;=CARGAS!$E$70,A293&gt;=CARGAS!$D$70),sup,0),0)))</f>
        <v>0</v>
      </c>
      <c r="E293">
        <f>IF(A293&lt;=CARGAS!$H$25,CARGAS!$I$20,0)</f>
        <v>0</v>
      </c>
      <c r="F293" s="22">
        <f>IF(AND(A293&gt;CARGAS!$O$29,A293&lt;=CARGAS!$O$30),tanque1,0)</f>
        <v>0</v>
      </c>
      <c r="G293" s="22">
        <f>IF(AND(A293&gt;CARGAS!$R$29,A293&lt;=CARGAS!$R$30),tanque2,0)</f>
        <v>0</v>
      </c>
      <c r="H293" s="22">
        <f>IF(AND(A293&gt;CARGAS!$U$29,A293&lt;=CARGAS!$U$30),tanque3,0)</f>
        <v>0</v>
      </c>
      <c r="I293" s="22">
        <f>IF(AND(A293&gt;CARGAS!$X$29,A293&lt;=CARGAS!$X$30),tanque4,0)</f>
        <v>0</v>
      </c>
      <c r="J293" s="22">
        <f>IF(AND(A293&gt;CARGAS!$AA$29,A293&lt;=CARGAS!$AA$30),tanque5,0)</f>
        <v>0</v>
      </c>
      <c r="K293" s="22">
        <f>IF(AND($A293&gt;CARGAS!$AD$29,$A293&lt;=CARGAS!$AD$30),tanque6,0)</f>
        <v>0</v>
      </c>
      <c r="L293" s="22">
        <f>IF(AND($A293&gt;CARGAS!$AG$29,$A293&lt;=CARGAS!$AG$30),tanque7,0)</f>
        <v>571.20000000000005</v>
      </c>
      <c r="M293" s="22">
        <f>IF(AND($A293&gt;CARGAS!$AJ$29,$A293&lt;=CARGAS!$AJ$30),tanque8,0)</f>
        <v>0</v>
      </c>
      <c r="N293" s="22">
        <f t="shared" ref="N293:N351" si="36">B293+C293+D293+F293+E293+G293+H293+I293+J293+K293+L293+M293</f>
        <v>678.96284742857154</v>
      </c>
      <c r="O293" s="22">
        <f t="shared" ref="O293:O351" si="37">IF($X$4=1,tmedio+((loa/2)-A293)*TAN(trimrad),IF($X$4=2,tmedio+$Z$3*COS(2*PI()*A293/$Z$2)+((loa/2)-A293)*TAN(trimrad),IF($X$4=3,tmedio-$Z$3*COS(2*PI()*A293/$Z$2)+((loa/2)-A293)*TAN(trimrad),tmedio+((loa/2)-A293)*TAN(trimrad))))</f>
        <v>25.118985307140218</v>
      </c>
      <c r="P293" s="22">
        <f>O293*Equilibrio!Y$39*Equilibrio!Y$38*DADOS!C$4</f>
        <v>772.40879819456154</v>
      </c>
      <c r="Q293" s="22">
        <f t="shared" ref="Q293:Q351" si="38">N293-P293</f>
        <v>-93.445950765990005</v>
      </c>
      <c r="R293" s="22">
        <f t="shared" ref="R293:R351" si="39">R292+Q293</f>
        <v>12411.984261159992</v>
      </c>
      <c r="S293" s="22">
        <f t="shared" ref="S293:S351" si="40">S292+R293</f>
        <v>-409990.3923750674</v>
      </c>
      <c r="T293" s="22">
        <f t="shared" ref="T293:T351" si="41">N293*A293</f>
        <v>198257.1514491429</v>
      </c>
    </row>
    <row r="294" spans="1:20" x14ac:dyDescent="0.25">
      <c r="A294" s="21">
        <v>293</v>
      </c>
      <c r="B294" s="22">
        <f>CARGAS!$C$40*Equilibrio!A294^2+CARGAS!$D$40*Equilibrio!A294+CARGAS!$E$40</f>
        <v>91.728993306122476</v>
      </c>
      <c r="C294" s="22">
        <f>CARGAS!$C$53*Equilibrio!A294^2+CARGAS!$D$53*Equilibrio!A294+CARGAS!$E$53</f>
        <v>15.288165551020413</v>
      </c>
      <c r="D294">
        <f>IF(posisup=1,IF(A294&lt;=CARGAS!$E$68,sup,0),IF(posisup=2,IF(AND(A294&lt;=CARGAS!$E$69,A294&gt;=CARGAS!$D$69),sup,0),IF(posisup=3,IF(AND(A294&lt;=CARGAS!$E$70,A294&gt;=CARGAS!$D$70),sup,0),0)))</f>
        <v>0</v>
      </c>
      <c r="E294">
        <f>IF(A294&lt;=CARGAS!$H$25,CARGAS!$I$20,0)</f>
        <v>0</v>
      </c>
      <c r="F294" s="22">
        <f>IF(AND(A294&gt;CARGAS!$O$29,A294&lt;=CARGAS!$O$30),tanque1,0)</f>
        <v>0</v>
      </c>
      <c r="G294" s="22">
        <f>IF(AND(A294&gt;CARGAS!$R$29,A294&lt;=CARGAS!$R$30),tanque2,0)</f>
        <v>0</v>
      </c>
      <c r="H294" s="22">
        <f>IF(AND(A294&gt;CARGAS!$U$29,A294&lt;=CARGAS!$U$30),tanque3,0)</f>
        <v>0</v>
      </c>
      <c r="I294" s="22">
        <f>IF(AND(A294&gt;CARGAS!$X$29,A294&lt;=CARGAS!$X$30),tanque4,0)</f>
        <v>0</v>
      </c>
      <c r="J294" s="22">
        <f>IF(AND(A294&gt;CARGAS!$AA$29,A294&lt;=CARGAS!$AA$30),tanque5,0)</f>
        <v>0</v>
      </c>
      <c r="K294" s="22">
        <f>IF(AND($A294&gt;CARGAS!$AD$29,$A294&lt;=CARGAS!$AD$30),tanque6,0)</f>
        <v>0</v>
      </c>
      <c r="L294" s="22">
        <f>IF(AND($A294&gt;CARGAS!$AG$29,$A294&lt;=CARGAS!$AG$30),tanque7,0)</f>
        <v>571.20000000000005</v>
      </c>
      <c r="M294" s="22">
        <f>IF(AND($A294&gt;CARGAS!$AJ$29,$A294&lt;=CARGAS!$AJ$30),tanque8,0)</f>
        <v>0</v>
      </c>
      <c r="N294" s="22">
        <f t="shared" si="36"/>
        <v>678.21715885714298</v>
      </c>
      <c r="O294" s="22">
        <f t="shared" si="37"/>
        <v>25.261286787401431</v>
      </c>
      <c r="P294" s="22">
        <f>O294*Equilibrio!Y$39*Equilibrio!Y$38*DADOS!C$4</f>
        <v>776.78456871259391</v>
      </c>
      <c r="Q294" s="22">
        <f t="shared" si="38"/>
        <v>-98.567409855450933</v>
      </c>
      <c r="R294" s="22">
        <f t="shared" si="39"/>
        <v>12313.416851304541</v>
      </c>
      <c r="S294" s="22">
        <f t="shared" si="40"/>
        <v>-397676.97552376287</v>
      </c>
      <c r="T294" s="22">
        <f t="shared" si="41"/>
        <v>198717.6275451429</v>
      </c>
    </row>
    <row r="295" spans="1:20" x14ac:dyDescent="0.25">
      <c r="A295" s="21">
        <v>294</v>
      </c>
      <c r="B295" s="22">
        <f>CARGAS!$C$40*Equilibrio!A295^2+CARGAS!$D$40*Equilibrio!A295+CARGAS!$E$40</f>
        <v>91.084392000000037</v>
      </c>
      <c r="C295" s="22">
        <f>CARGAS!$C$53*Equilibrio!A295^2+CARGAS!$D$53*Equilibrio!A295+CARGAS!$E$53</f>
        <v>15.180732000000006</v>
      </c>
      <c r="D295">
        <f>IF(posisup=1,IF(A295&lt;=CARGAS!$E$68,sup,0),IF(posisup=2,IF(AND(A295&lt;=CARGAS!$E$69,A295&gt;=CARGAS!$D$69),sup,0),IF(posisup=3,IF(AND(A295&lt;=CARGAS!$E$70,A295&gt;=CARGAS!$D$70),sup,0),0)))</f>
        <v>0</v>
      </c>
      <c r="E295">
        <f>IF(A295&lt;=CARGAS!$H$25,CARGAS!$I$20,0)</f>
        <v>0</v>
      </c>
      <c r="F295" s="22">
        <f>IF(AND(A295&gt;CARGAS!$O$29,A295&lt;=CARGAS!$O$30),tanque1,0)</f>
        <v>0</v>
      </c>
      <c r="G295" s="22">
        <f>IF(AND(A295&gt;CARGAS!$R$29,A295&lt;=CARGAS!$R$30),tanque2,0)</f>
        <v>0</v>
      </c>
      <c r="H295" s="22">
        <f>IF(AND(A295&gt;CARGAS!$U$29,A295&lt;=CARGAS!$U$30),tanque3,0)</f>
        <v>0</v>
      </c>
      <c r="I295" s="22">
        <f>IF(AND(A295&gt;CARGAS!$X$29,A295&lt;=CARGAS!$X$30),tanque4,0)</f>
        <v>0</v>
      </c>
      <c r="J295" s="22">
        <f>IF(AND(A295&gt;CARGAS!$AA$29,A295&lt;=CARGAS!$AA$30),tanque5,0)</f>
        <v>0</v>
      </c>
      <c r="K295" s="22">
        <f>IF(AND($A295&gt;CARGAS!$AD$29,$A295&lt;=CARGAS!$AD$30),tanque6,0)</f>
        <v>0</v>
      </c>
      <c r="L295" s="22">
        <f>IF(AND($A295&gt;CARGAS!$AG$29,$A295&lt;=CARGAS!$AG$30),tanque7,0)</f>
        <v>571.20000000000005</v>
      </c>
      <c r="M295" s="22">
        <f>IF(AND($A295&gt;CARGAS!$AJ$29,$A295&lt;=CARGAS!$AJ$30),tanque8,0)</f>
        <v>0</v>
      </c>
      <c r="N295" s="22">
        <f t="shared" si="36"/>
        <v>677.46512400000006</v>
      </c>
      <c r="O295" s="22">
        <f t="shared" si="37"/>
        <v>25.402120319242613</v>
      </c>
      <c r="P295" s="22">
        <f>O295*Equilibrio!Y$39*Equilibrio!Y$38*DADOS!C$4</f>
        <v>781.11519981671029</v>
      </c>
      <c r="Q295" s="22">
        <f t="shared" si="38"/>
        <v>-103.65007581671023</v>
      </c>
      <c r="R295" s="22">
        <f t="shared" si="39"/>
        <v>12209.766775487831</v>
      </c>
      <c r="S295" s="22">
        <f t="shared" si="40"/>
        <v>-385467.20874827506</v>
      </c>
      <c r="T295" s="22">
        <f t="shared" si="41"/>
        <v>199174.74645600002</v>
      </c>
    </row>
    <row r="296" spans="1:20" x14ac:dyDescent="0.25">
      <c r="A296" s="21">
        <v>295</v>
      </c>
      <c r="B296" s="22">
        <f>CARGAS!$C$40*Equilibrio!A296^2+CARGAS!$D$40*Equilibrio!A296+CARGAS!$E$40</f>
        <v>90.434351020408201</v>
      </c>
      <c r="C296" s="22">
        <f>CARGAS!$C$53*Equilibrio!A296^2+CARGAS!$D$53*Equilibrio!A296+CARGAS!$E$53</f>
        <v>15.072391836734695</v>
      </c>
      <c r="D296">
        <f>IF(posisup=1,IF(A296&lt;=CARGAS!$E$68,sup,0),IF(posisup=2,IF(AND(A296&lt;=CARGAS!$E$69,A296&gt;=CARGAS!$D$69),sup,0),IF(posisup=3,IF(AND(A296&lt;=CARGAS!$E$70,A296&gt;=CARGAS!$D$70),sup,0),0)))</f>
        <v>0</v>
      </c>
      <c r="E296">
        <f>IF(A296&lt;=CARGAS!$H$25,CARGAS!$I$20,0)</f>
        <v>0</v>
      </c>
      <c r="F296" s="22">
        <f>IF(AND(A296&gt;CARGAS!$O$29,A296&lt;=CARGAS!$O$30),tanque1,0)</f>
        <v>0</v>
      </c>
      <c r="G296" s="22">
        <f>IF(AND(A296&gt;CARGAS!$R$29,A296&lt;=CARGAS!$R$30),tanque2,0)</f>
        <v>0</v>
      </c>
      <c r="H296" s="22">
        <f>IF(AND(A296&gt;CARGAS!$U$29,A296&lt;=CARGAS!$U$30),tanque3,0)</f>
        <v>0</v>
      </c>
      <c r="I296" s="22">
        <f>IF(AND(A296&gt;CARGAS!$X$29,A296&lt;=CARGAS!$X$30),tanque4,0)</f>
        <v>0</v>
      </c>
      <c r="J296" s="22">
        <f>IF(AND(A296&gt;CARGAS!$AA$29,A296&lt;=CARGAS!$AA$30),tanque5,0)</f>
        <v>0</v>
      </c>
      <c r="K296" s="22">
        <f>IF(AND($A296&gt;CARGAS!$AD$29,$A296&lt;=CARGAS!$AD$30),tanque6,0)</f>
        <v>0</v>
      </c>
      <c r="L296" s="22">
        <f>IF(AND($A296&gt;CARGAS!$AG$29,$A296&lt;=CARGAS!$AG$30),tanque7,0)</f>
        <v>571.20000000000005</v>
      </c>
      <c r="M296" s="22">
        <f>IF(AND($A296&gt;CARGAS!$AJ$29,$A296&lt;=CARGAS!$AJ$30),tanque8,0)</f>
        <v>0</v>
      </c>
      <c r="N296" s="22">
        <f t="shared" si="36"/>
        <v>676.7067428571429</v>
      </c>
      <c r="O296" s="22">
        <f t="shared" si="37"/>
        <v>25.541442920663815</v>
      </c>
      <c r="P296" s="22">
        <f>O296*Equilibrio!Y$39*Equilibrio!Y$38*DADOS!C$4</f>
        <v>785.39936981041228</v>
      </c>
      <c r="Q296" s="22">
        <f t="shared" si="38"/>
        <v>-108.69262695326938</v>
      </c>
      <c r="R296" s="22">
        <f t="shared" si="39"/>
        <v>12101.074148534562</v>
      </c>
      <c r="S296" s="22">
        <f t="shared" si="40"/>
        <v>-373366.1345997405</v>
      </c>
      <c r="T296" s="22">
        <f t="shared" si="41"/>
        <v>199628.48914285714</v>
      </c>
    </row>
    <row r="297" spans="1:20" x14ac:dyDescent="0.25">
      <c r="A297" s="21">
        <v>296</v>
      </c>
      <c r="B297" s="22">
        <f>CARGAS!$C$40*Equilibrio!A297^2+CARGAS!$D$40*Equilibrio!A297+CARGAS!$E$40</f>
        <v>89.778870367346968</v>
      </c>
      <c r="C297" s="22">
        <f>CARGAS!$C$53*Equilibrio!A297^2+CARGAS!$D$53*Equilibrio!A297+CARGAS!$E$53</f>
        <v>14.963145061224488</v>
      </c>
      <c r="D297">
        <f>IF(posisup=1,IF(A297&lt;=CARGAS!$E$68,sup,0),IF(posisup=2,IF(AND(A297&lt;=CARGAS!$E$69,A297&gt;=CARGAS!$D$69),sup,0),IF(posisup=3,IF(AND(A297&lt;=CARGAS!$E$70,A297&gt;=CARGAS!$D$70),sup,0),0)))</f>
        <v>0</v>
      </c>
      <c r="E297">
        <f>IF(A297&lt;=CARGAS!$H$25,CARGAS!$I$20,0)</f>
        <v>0</v>
      </c>
      <c r="F297" s="22">
        <f>IF(AND(A297&gt;CARGAS!$O$29,A297&lt;=CARGAS!$O$30),tanque1,0)</f>
        <v>0</v>
      </c>
      <c r="G297" s="22">
        <f>IF(AND(A297&gt;CARGAS!$R$29,A297&lt;=CARGAS!$R$30),tanque2,0)</f>
        <v>0</v>
      </c>
      <c r="H297" s="22">
        <f>IF(AND(A297&gt;CARGAS!$U$29,A297&lt;=CARGAS!$U$30),tanque3,0)</f>
        <v>0</v>
      </c>
      <c r="I297" s="22">
        <f>IF(AND(A297&gt;CARGAS!$X$29,A297&lt;=CARGAS!$X$30),tanque4,0)</f>
        <v>0</v>
      </c>
      <c r="J297" s="22">
        <f>IF(AND(A297&gt;CARGAS!$AA$29,A297&lt;=CARGAS!$AA$30),tanque5,0)</f>
        <v>0</v>
      </c>
      <c r="K297" s="22">
        <f>IF(AND($A297&gt;CARGAS!$AD$29,$A297&lt;=CARGAS!$AD$30),tanque6,0)</f>
        <v>0</v>
      </c>
      <c r="L297" s="22">
        <f>IF(AND($A297&gt;CARGAS!$AG$29,$A297&lt;=CARGAS!$AG$30),tanque7,0)</f>
        <v>571.20000000000005</v>
      </c>
      <c r="M297" s="22">
        <f>IF(AND($A297&gt;CARGAS!$AJ$29,$A297&lt;=CARGAS!$AJ$30),tanque8,0)</f>
        <v>0</v>
      </c>
      <c r="N297" s="22">
        <f t="shared" si="36"/>
        <v>675.94201542857149</v>
      </c>
      <c r="O297" s="22">
        <f t="shared" si="37"/>
        <v>25.679212096583825</v>
      </c>
      <c r="P297" s="22">
        <f>O297*Equilibrio!Y$39*Equilibrio!Y$38*DADOS!C$4</f>
        <v>789.63577196995266</v>
      </c>
      <c r="Q297" s="22">
        <f t="shared" si="38"/>
        <v>-113.69375654138116</v>
      </c>
      <c r="R297" s="22">
        <f t="shared" si="39"/>
        <v>11987.380391993182</v>
      </c>
      <c r="S297" s="22">
        <f t="shared" si="40"/>
        <v>-361378.75420774729</v>
      </c>
      <c r="T297" s="22">
        <f t="shared" si="41"/>
        <v>200078.83656685715</v>
      </c>
    </row>
    <row r="298" spans="1:20" x14ac:dyDescent="0.25">
      <c r="A298" s="21">
        <v>297</v>
      </c>
      <c r="B298" s="22">
        <f>CARGAS!$C$40*Equilibrio!A298^2+CARGAS!$D$40*Equilibrio!A298+CARGAS!$E$40</f>
        <v>89.117950040816339</v>
      </c>
      <c r="C298" s="22">
        <f>CARGAS!$C$53*Equilibrio!A298^2+CARGAS!$D$53*Equilibrio!A298+CARGAS!$E$53</f>
        <v>14.85299167346939</v>
      </c>
      <c r="D298">
        <f>IF(posisup=1,IF(A298&lt;=CARGAS!$E$68,sup,0),IF(posisup=2,IF(AND(A298&lt;=CARGAS!$E$69,A298&gt;=CARGAS!$D$69),sup,0),IF(posisup=3,IF(AND(A298&lt;=CARGAS!$E$70,A298&gt;=CARGAS!$D$70),sup,0),0)))</f>
        <v>0</v>
      </c>
      <c r="E298">
        <f>IF(A298&lt;=CARGAS!$H$25,CARGAS!$I$20,0)</f>
        <v>0</v>
      </c>
      <c r="F298" s="22">
        <f>IF(AND(A298&gt;CARGAS!$O$29,A298&lt;=CARGAS!$O$30),tanque1,0)</f>
        <v>0</v>
      </c>
      <c r="G298" s="22">
        <f>IF(AND(A298&gt;CARGAS!$R$29,A298&lt;=CARGAS!$R$30),tanque2,0)</f>
        <v>0</v>
      </c>
      <c r="H298" s="22">
        <f>IF(AND(A298&gt;CARGAS!$U$29,A298&lt;=CARGAS!$U$30),tanque3,0)</f>
        <v>0</v>
      </c>
      <c r="I298" s="22">
        <f>IF(AND(A298&gt;CARGAS!$X$29,A298&lt;=CARGAS!$X$30),tanque4,0)</f>
        <v>0</v>
      </c>
      <c r="J298" s="22">
        <f>IF(AND(A298&gt;CARGAS!$AA$29,A298&lt;=CARGAS!$AA$30),tanque5,0)</f>
        <v>0</v>
      </c>
      <c r="K298" s="22">
        <f>IF(AND($A298&gt;CARGAS!$AD$29,$A298&lt;=CARGAS!$AD$30),tanque6,0)</f>
        <v>0</v>
      </c>
      <c r="L298" s="22">
        <f>IF(AND($A298&gt;CARGAS!$AG$29,$A298&lt;=CARGAS!$AG$30),tanque7,0)</f>
        <v>571.20000000000005</v>
      </c>
      <c r="M298" s="22">
        <f>IF(AND($A298&gt;CARGAS!$AJ$29,$A298&lt;=CARGAS!$AJ$30),tanque8,0)</f>
        <v>0</v>
      </c>
      <c r="N298" s="22">
        <f t="shared" si="36"/>
        <v>675.17094171428573</v>
      </c>
      <c r="O298" s="22">
        <f t="shared" si="37"/>
        <v>25.815385852534739</v>
      </c>
      <c r="P298" s="22">
        <f>O298*Equilibrio!Y$39*Equilibrio!Y$38*DADOS!C$4</f>
        <v>793.82311496544321</v>
      </c>
      <c r="Q298" s="22">
        <f t="shared" si="38"/>
        <v>-118.65217325115748</v>
      </c>
      <c r="R298" s="22">
        <f t="shared" si="39"/>
        <v>11868.728218742024</v>
      </c>
      <c r="S298" s="22">
        <f t="shared" si="40"/>
        <v>-349510.02598900528</v>
      </c>
      <c r="T298" s="22">
        <f t="shared" si="41"/>
        <v>200525.76968914285</v>
      </c>
    </row>
    <row r="299" spans="1:20" x14ac:dyDescent="0.25">
      <c r="A299" s="21">
        <v>298</v>
      </c>
      <c r="B299" s="22">
        <f>CARGAS!$C$40*Equilibrio!A299^2+CARGAS!$D$40*Equilibrio!A299+CARGAS!$E$40</f>
        <v>88.451590040816342</v>
      </c>
      <c r="C299" s="22">
        <f>CARGAS!$C$53*Equilibrio!A299^2+CARGAS!$D$53*Equilibrio!A299+CARGAS!$E$53</f>
        <v>14.741931673469395</v>
      </c>
      <c r="D299">
        <f>IF(posisup=1,IF(A299&lt;=CARGAS!$E$68,sup,0),IF(posisup=2,IF(AND(A299&lt;=CARGAS!$E$69,A299&gt;=CARGAS!$D$69),sup,0),IF(posisup=3,IF(AND(A299&lt;=CARGAS!$E$70,A299&gt;=CARGAS!$D$70),sup,0),0)))</f>
        <v>0</v>
      </c>
      <c r="E299">
        <f>IF(A299&lt;=CARGAS!$H$25,CARGAS!$I$20,0)</f>
        <v>0</v>
      </c>
      <c r="F299" s="22">
        <f>IF(AND(A299&gt;CARGAS!$O$29,A299&lt;=CARGAS!$O$30),tanque1,0)</f>
        <v>0</v>
      </c>
      <c r="G299" s="22">
        <f>IF(AND(A299&gt;CARGAS!$R$29,A299&lt;=CARGAS!$R$30),tanque2,0)</f>
        <v>0</v>
      </c>
      <c r="H299" s="22">
        <f>IF(AND(A299&gt;CARGAS!$U$29,A299&lt;=CARGAS!$U$30),tanque3,0)</f>
        <v>0</v>
      </c>
      <c r="I299" s="22">
        <f>IF(AND(A299&gt;CARGAS!$X$29,A299&lt;=CARGAS!$X$30),tanque4,0)</f>
        <v>0</v>
      </c>
      <c r="J299" s="22">
        <f>IF(AND(A299&gt;CARGAS!$AA$29,A299&lt;=CARGAS!$AA$30),tanque5,0)</f>
        <v>0</v>
      </c>
      <c r="K299" s="22">
        <f>IF(AND($A299&gt;CARGAS!$AD$29,$A299&lt;=CARGAS!$AD$30),tanque6,0)</f>
        <v>0</v>
      </c>
      <c r="L299" s="22">
        <f>IF(AND($A299&gt;CARGAS!$AG$29,$A299&lt;=CARGAS!$AG$30),tanque7,0)</f>
        <v>571.20000000000005</v>
      </c>
      <c r="M299" s="22">
        <f>IF(AND($A299&gt;CARGAS!$AJ$29,$A299&lt;=CARGAS!$AJ$30),tanque8,0)</f>
        <v>0</v>
      </c>
      <c r="N299" s="22">
        <f t="shared" si="36"/>
        <v>674.39352171428573</v>
      </c>
      <c r="O299" s="22">
        <f t="shared" si="37"/>
        <v>25.949922708195324</v>
      </c>
      <c r="P299" s="22">
        <f>O299*Equilibrio!Y$39*Equilibrio!Y$38*DADOS!C$4</f>
        <v>797.96012327700612</v>
      </c>
      <c r="Q299" s="22">
        <f t="shared" si="38"/>
        <v>-123.56660156272039</v>
      </c>
      <c r="R299" s="22">
        <f t="shared" si="39"/>
        <v>11745.161617179303</v>
      </c>
      <c r="S299" s="22">
        <f t="shared" si="40"/>
        <v>-337764.864371826</v>
      </c>
      <c r="T299" s="22">
        <f t="shared" si="41"/>
        <v>200969.26947085714</v>
      </c>
    </row>
    <row r="300" spans="1:20" x14ac:dyDescent="0.25">
      <c r="A300" s="21">
        <v>299</v>
      </c>
      <c r="B300" s="22">
        <f>CARGAS!$C$40*Equilibrio!A300^2+CARGAS!$D$40*Equilibrio!A300+CARGAS!$E$40</f>
        <v>87.779790367346948</v>
      </c>
      <c r="C300" s="22">
        <f>CARGAS!$C$53*Equilibrio!A300^2+CARGAS!$D$53*Equilibrio!A300+CARGAS!$E$53</f>
        <v>14.629965061224489</v>
      </c>
      <c r="D300">
        <f>IF(posisup=1,IF(A300&lt;=CARGAS!$E$68,sup,0),IF(posisup=2,IF(AND(A300&lt;=CARGAS!$E$69,A300&gt;=CARGAS!$D$69),sup,0),IF(posisup=3,IF(AND(A300&lt;=CARGAS!$E$70,A300&gt;=CARGAS!$D$70),sup,0),0)))</f>
        <v>0</v>
      </c>
      <c r="E300">
        <f>IF(A300&lt;=CARGAS!$H$25,CARGAS!$I$20,0)</f>
        <v>0</v>
      </c>
      <c r="F300" s="22">
        <f>IF(AND(A300&gt;CARGAS!$O$29,A300&lt;=CARGAS!$O$30),tanque1,0)</f>
        <v>0</v>
      </c>
      <c r="G300" s="22">
        <f>IF(AND(A300&gt;CARGAS!$R$29,A300&lt;=CARGAS!$R$30),tanque2,0)</f>
        <v>0</v>
      </c>
      <c r="H300" s="22">
        <f>IF(AND(A300&gt;CARGAS!$U$29,A300&lt;=CARGAS!$U$30),tanque3,0)</f>
        <v>0</v>
      </c>
      <c r="I300" s="22">
        <f>IF(AND(A300&gt;CARGAS!$X$29,A300&lt;=CARGAS!$X$30),tanque4,0)</f>
        <v>0</v>
      </c>
      <c r="J300" s="22">
        <f>IF(AND(A300&gt;CARGAS!$AA$29,A300&lt;=CARGAS!$AA$30),tanque5,0)</f>
        <v>0</v>
      </c>
      <c r="K300" s="22">
        <f>IF(AND($A300&gt;CARGAS!$AD$29,$A300&lt;=CARGAS!$AD$30),tanque6,0)</f>
        <v>0</v>
      </c>
      <c r="L300" s="22">
        <f>IF(AND($A300&gt;CARGAS!$AG$29,$A300&lt;=CARGAS!$AG$30),tanque7,0)</f>
        <v>571.20000000000005</v>
      </c>
      <c r="M300" s="22">
        <f>IF(AND($A300&gt;CARGAS!$AJ$29,$A300&lt;=CARGAS!$AJ$30),tanque8,0)</f>
        <v>0</v>
      </c>
      <c r="N300" s="22">
        <f t="shared" si="36"/>
        <v>673.60975542857148</v>
      </c>
      <c r="O300" s="22">
        <f t="shared" si="37"/>
        <v>26.082781710758603</v>
      </c>
      <c r="P300" s="22">
        <f>O300*Equilibrio!Y$39*Equilibrio!Y$38*DADOS!C$4</f>
        <v>802.04553760582701</v>
      </c>
      <c r="Q300" s="22">
        <f t="shared" si="38"/>
        <v>-128.43578217725553</v>
      </c>
      <c r="R300" s="22">
        <f t="shared" si="39"/>
        <v>11616.725835002047</v>
      </c>
      <c r="S300" s="22">
        <f t="shared" si="40"/>
        <v>-326148.13853682397</v>
      </c>
      <c r="T300" s="22">
        <f t="shared" si="41"/>
        <v>201409.31687314287</v>
      </c>
    </row>
    <row r="301" spans="1:20" x14ac:dyDescent="0.25">
      <c r="A301" s="21">
        <v>300</v>
      </c>
      <c r="B301" s="22">
        <f>CARGAS!$C$40*Equilibrio!A301^2+CARGAS!$D$40*Equilibrio!A301+CARGAS!$E$40</f>
        <v>87.102551020408185</v>
      </c>
      <c r="C301" s="22">
        <f>CARGAS!$C$53*Equilibrio!A301^2+CARGAS!$D$53*Equilibrio!A301+CARGAS!$E$53</f>
        <v>14.517091836734693</v>
      </c>
      <c r="D301">
        <f>IF(posisup=1,IF(A301&lt;=CARGAS!$E$68,sup,0),IF(posisup=2,IF(AND(A301&lt;=CARGAS!$E$69,A301&gt;=CARGAS!$D$69),sup,0),IF(posisup=3,IF(AND(A301&lt;=CARGAS!$E$70,A301&gt;=CARGAS!$D$70),sup,0),0)))</f>
        <v>0</v>
      </c>
      <c r="E301">
        <f>IF(A301&lt;=CARGAS!$H$25,CARGAS!$I$20,0)</f>
        <v>0</v>
      </c>
      <c r="F301" s="22">
        <f>IF(AND(A301&gt;CARGAS!$O$29,A301&lt;=CARGAS!$O$30),tanque1,0)</f>
        <v>0</v>
      </c>
      <c r="G301" s="22">
        <f>IF(AND(A301&gt;CARGAS!$R$29,A301&lt;=CARGAS!$R$30),tanque2,0)</f>
        <v>0</v>
      </c>
      <c r="H301" s="22">
        <f>IF(AND(A301&gt;CARGAS!$U$29,A301&lt;=CARGAS!$U$30),tanque3,0)</f>
        <v>0</v>
      </c>
      <c r="I301" s="22">
        <f>IF(AND(A301&gt;CARGAS!$X$29,A301&lt;=CARGAS!$X$30),tanque4,0)</f>
        <v>0</v>
      </c>
      <c r="J301" s="22">
        <f>IF(AND(A301&gt;CARGAS!$AA$29,A301&lt;=CARGAS!$AA$30),tanque5,0)</f>
        <v>0</v>
      </c>
      <c r="K301" s="22">
        <f>IF(AND($A301&gt;CARGAS!$AD$29,$A301&lt;=CARGAS!$AD$30),tanque6,0)</f>
        <v>0</v>
      </c>
      <c r="L301" s="22">
        <f>IF(AND($A301&gt;CARGAS!$AG$29,$A301&lt;=CARGAS!$AG$30),tanque7,0)</f>
        <v>571.20000000000005</v>
      </c>
      <c r="M301" s="22">
        <f>IF(AND($A301&gt;CARGAS!$AJ$29,$A301&lt;=CARGAS!$AJ$30),tanque8,0)</f>
        <v>0</v>
      </c>
      <c r="N301" s="22">
        <f t="shared" si="36"/>
        <v>672.81964285714298</v>
      </c>
      <c r="O301" s="22">
        <f t="shared" si="37"/>
        <v>26.213922448129477</v>
      </c>
      <c r="P301" s="22">
        <f>O301*Equilibrio!Y$39*Equilibrio!Y$38*DADOS!C$4</f>
        <v>806.07811527998138</v>
      </c>
      <c r="Q301" s="22">
        <f t="shared" si="38"/>
        <v>-133.25847242283839</v>
      </c>
      <c r="R301" s="22">
        <f t="shared" si="39"/>
        <v>11483.467362579209</v>
      </c>
      <c r="S301" s="22">
        <f t="shared" si="40"/>
        <v>-314664.67117424478</v>
      </c>
      <c r="T301" s="22">
        <f t="shared" si="41"/>
        <v>201845.8928571429</v>
      </c>
    </row>
    <row r="302" spans="1:20" x14ac:dyDescent="0.25">
      <c r="A302" s="21">
        <v>301</v>
      </c>
      <c r="B302" s="22">
        <f>CARGAS!$C$40*Equilibrio!A302^2+CARGAS!$D$40*Equilibrio!A302+CARGAS!$E$40</f>
        <v>86.419871999999998</v>
      </c>
      <c r="C302" s="22">
        <f>CARGAS!$C$53*Equilibrio!A302^2+CARGAS!$D$53*Equilibrio!A302+CARGAS!$E$53</f>
        <v>14.403312</v>
      </c>
      <c r="D302">
        <f>IF(posisup=1,IF(A302&lt;=CARGAS!$E$68,sup,0),IF(posisup=2,IF(AND(A302&lt;=CARGAS!$E$69,A302&gt;=CARGAS!$D$69),sup,0),IF(posisup=3,IF(AND(A302&lt;=CARGAS!$E$70,A302&gt;=CARGAS!$D$70),sup,0),0)))</f>
        <v>0</v>
      </c>
      <c r="E302">
        <f>IF(A302&lt;=CARGAS!$H$25,CARGAS!$I$20,0)</f>
        <v>0</v>
      </c>
      <c r="F302" s="22">
        <f>IF(AND(A302&gt;CARGAS!$O$29,A302&lt;=CARGAS!$O$30),tanque1,0)</f>
        <v>0</v>
      </c>
      <c r="G302" s="22">
        <f>IF(AND(A302&gt;CARGAS!$R$29,A302&lt;=CARGAS!$R$30),tanque2,0)</f>
        <v>0</v>
      </c>
      <c r="H302" s="22">
        <f>IF(AND(A302&gt;CARGAS!$U$29,A302&lt;=CARGAS!$U$30),tanque3,0)</f>
        <v>0</v>
      </c>
      <c r="I302" s="22">
        <f>IF(AND(A302&gt;CARGAS!$X$29,A302&lt;=CARGAS!$X$30),tanque4,0)</f>
        <v>0</v>
      </c>
      <c r="J302" s="22">
        <f>IF(AND(A302&gt;CARGAS!$AA$29,A302&lt;=CARGAS!$AA$30),tanque5,0)</f>
        <v>0</v>
      </c>
      <c r="K302" s="22">
        <f>IF(AND($A302&gt;CARGAS!$AD$29,$A302&lt;=CARGAS!$AD$30),tanque6,0)</f>
        <v>0</v>
      </c>
      <c r="L302" s="22">
        <f>IF(AND($A302&gt;CARGAS!$AG$29,$A302&lt;=CARGAS!$AG$30),tanque7,0)</f>
        <v>571.20000000000005</v>
      </c>
      <c r="M302" s="22">
        <f>IF(AND($A302&gt;CARGAS!$AJ$29,$A302&lt;=CARGAS!$AJ$30),tanque8,0)</f>
        <v>0</v>
      </c>
      <c r="N302" s="22">
        <f t="shared" si="36"/>
        <v>672.02318400000001</v>
      </c>
      <c r="O302" s="22">
        <f t="shared" si="37"/>
        <v>26.343305061948115</v>
      </c>
      <c r="P302" s="22">
        <f>O302*Equilibrio!Y$39*Equilibrio!Y$38*DADOS!C$4</f>
        <v>810.05663065490444</v>
      </c>
      <c r="Q302" s="22">
        <f t="shared" si="38"/>
        <v>-138.03344665490442</v>
      </c>
      <c r="R302" s="22">
        <f t="shared" si="39"/>
        <v>11345.433915924305</v>
      </c>
      <c r="S302" s="22">
        <f t="shared" si="40"/>
        <v>-303319.2372583205</v>
      </c>
      <c r="T302" s="22">
        <f t="shared" si="41"/>
        <v>202278.97838400002</v>
      </c>
    </row>
    <row r="303" spans="1:20" x14ac:dyDescent="0.25">
      <c r="A303" s="21">
        <v>302</v>
      </c>
      <c r="B303" s="22">
        <f>CARGAS!$C$40*Equilibrio!A303^2+CARGAS!$D$40*Equilibrio!A303+CARGAS!$E$40</f>
        <v>85.731753306122471</v>
      </c>
      <c r="C303" s="22">
        <f>CARGAS!$C$53*Equilibrio!A303^2+CARGAS!$D$53*Equilibrio!A303+CARGAS!$E$53</f>
        <v>14.288625551020409</v>
      </c>
      <c r="D303">
        <f>IF(posisup=1,IF(A303&lt;=CARGAS!$E$68,sup,0),IF(posisup=2,IF(AND(A303&lt;=CARGAS!$E$69,A303&gt;=CARGAS!$D$69),sup,0),IF(posisup=3,IF(AND(A303&lt;=CARGAS!$E$70,A303&gt;=CARGAS!$D$70),sup,0),0)))</f>
        <v>0</v>
      </c>
      <c r="E303">
        <f>IF(A303&lt;=CARGAS!$H$25,CARGAS!$I$20,0)</f>
        <v>0</v>
      </c>
      <c r="F303" s="22">
        <f>IF(AND(A303&gt;CARGAS!$O$29,A303&lt;=CARGAS!$O$30),tanque1,0)</f>
        <v>0</v>
      </c>
      <c r="G303" s="22">
        <f>IF(AND(A303&gt;CARGAS!$R$29,A303&lt;=CARGAS!$R$30),tanque2,0)</f>
        <v>0</v>
      </c>
      <c r="H303" s="22">
        <f>IF(AND(A303&gt;CARGAS!$U$29,A303&lt;=CARGAS!$U$30),tanque3,0)</f>
        <v>0</v>
      </c>
      <c r="I303" s="22">
        <f>IF(AND(A303&gt;CARGAS!$X$29,A303&lt;=CARGAS!$X$30),tanque4,0)</f>
        <v>0</v>
      </c>
      <c r="J303" s="22">
        <f>IF(AND(A303&gt;CARGAS!$AA$29,A303&lt;=CARGAS!$AA$30),tanque5,0)</f>
        <v>0</v>
      </c>
      <c r="K303" s="22">
        <f>IF(AND($A303&gt;CARGAS!$AD$29,$A303&lt;=CARGAS!$AD$30),tanque6,0)</f>
        <v>0</v>
      </c>
      <c r="L303" s="22">
        <f>IF(AND($A303&gt;CARGAS!$AG$29,$A303&lt;=CARGAS!$AG$30),tanque7,0)</f>
        <v>571.20000000000005</v>
      </c>
      <c r="M303" s="22">
        <f>IF(AND($A303&gt;CARGAS!$AJ$29,$A303&lt;=CARGAS!$AJ$30),tanque8,0)</f>
        <v>0</v>
      </c>
      <c r="N303" s="22">
        <f t="shared" si="36"/>
        <v>671.22037885714292</v>
      </c>
      <c r="O303" s="22">
        <f t="shared" si="37"/>
        <v>26.470890260434881</v>
      </c>
      <c r="P303" s="22">
        <f>O303*Equilibrio!Y$39*Equilibrio!Y$38*DADOS!C$4</f>
        <v>813.97987550837252</v>
      </c>
      <c r="Q303" s="22">
        <f t="shared" si="38"/>
        <v>-142.7594966512296</v>
      </c>
      <c r="R303" s="22">
        <f t="shared" si="39"/>
        <v>11202.674419273075</v>
      </c>
      <c r="S303" s="22">
        <f t="shared" si="40"/>
        <v>-292116.5628390474</v>
      </c>
      <c r="T303" s="22">
        <f t="shared" si="41"/>
        <v>202708.55441485715</v>
      </c>
    </row>
    <row r="304" spans="1:20" x14ac:dyDescent="0.25">
      <c r="A304" s="21">
        <v>303</v>
      </c>
      <c r="B304" s="22">
        <f>CARGAS!$C$40*Equilibrio!A304^2+CARGAS!$D$40*Equilibrio!A304+CARGAS!$E$40</f>
        <v>85.038194938775518</v>
      </c>
      <c r="C304" s="22">
        <f>CARGAS!$C$53*Equilibrio!A304^2+CARGAS!$D$53*Equilibrio!A304+CARGAS!$E$53</f>
        <v>14.173032489795915</v>
      </c>
      <c r="D304">
        <f>IF(posisup=1,IF(A304&lt;=CARGAS!$E$68,sup,0),IF(posisup=2,IF(AND(A304&lt;=CARGAS!$E$69,A304&gt;=CARGAS!$D$69),sup,0),IF(posisup=3,IF(AND(A304&lt;=CARGAS!$E$70,A304&gt;=CARGAS!$D$70),sup,0),0)))</f>
        <v>0</v>
      </c>
      <c r="E304">
        <f>IF(A304&lt;=CARGAS!$H$25,CARGAS!$I$20,0)</f>
        <v>0</v>
      </c>
      <c r="F304" s="22">
        <f>IF(AND(A304&gt;CARGAS!$O$29,A304&lt;=CARGAS!$O$30),tanque1,0)</f>
        <v>0</v>
      </c>
      <c r="G304" s="22">
        <f>IF(AND(A304&gt;CARGAS!$R$29,A304&lt;=CARGAS!$R$30),tanque2,0)</f>
        <v>0</v>
      </c>
      <c r="H304" s="22">
        <f>IF(AND(A304&gt;CARGAS!$U$29,A304&lt;=CARGAS!$U$30),tanque3,0)</f>
        <v>0</v>
      </c>
      <c r="I304" s="22">
        <f>IF(AND(A304&gt;CARGAS!$X$29,A304&lt;=CARGAS!$X$30),tanque4,0)</f>
        <v>0</v>
      </c>
      <c r="J304" s="22">
        <f>IF(AND(A304&gt;CARGAS!$AA$29,A304&lt;=CARGAS!$AA$30),tanque5,0)</f>
        <v>0</v>
      </c>
      <c r="K304" s="22">
        <f>IF(AND($A304&gt;CARGAS!$AD$29,$A304&lt;=CARGAS!$AD$30),tanque6,0)</f>
        <v>0</v>
      </c>
      <c r="L304" s="22">
        <f>IF(AND($A304&gt;CARGAS!$AG$29,$A304&lt;=CARGAS!$AG$30),tanque7,0)</f>
        <v>571.20000000000005</v>
      </c>
      <c r="M304" s="22">
        <f>IF(AND($A304&gt;CARGAS!$AJ$29,$A304&lt;=CARGAS!$AJ$30),tanque8,0)</f>
        <v>0</v>
      </c>
      <c r="N304" s="22">
        <f t="shared" si="36"/>
        <v>670.41122742857146</v>
      </c>
      <c r="O304" s="22">
        <f t="shared" si="37"/>
        <v>26.596639331052614</v>
      </c>
      <c r="P304" s="22">
        <f>O304*Equilibrio!Y$39*Equilibrio!Y$38*DADOS!C$4</f>
        <v>817.84665942986783</v>
      </c>
      <c r="Q304" s="22">
        <f t="shared" si="38"/>
        <v>-147.43543200129636</v>
      </c>
      <c r="R304" s="22">
        <f t="shared" si="39"/>
        <v>11055.238987271778</v>
      </c>
      <c r="S304" s="22">
        <f t="shared" si="40"/>
        <v>-281061.32385177561</v>
      </c>
      <c r="T304" s="22">
        <f t="shared" si="41"/>
        <v>203134.60191085716</v>
      </c>
    </row>
    <row r="305" spans="1:20" x14ac:dyDescent="0.25">
      <c r="A305" s="21">
        <v>304</v>
      </c>
      <c r="B305" s="22">
        <f>CARGAS!$C$40*Equilibrio!A305^2+CARGAS!$D$40*Equilibrio!A305+CARGAS!$E$40</f>
        <v>84.339196897959198</v>
      </c>
      <c r="C305" s="22">
        <f>CARGAS!$C$53*Equilibrio!A305^2+CARGAS!$D$53*Equilibrio!A305+CARGAS!$E$53</f>
        <v>14.056532816326531</v>
      </c>
      <c r="D305">
        <f>IF(posisup=1,IF(A305&lt;=CARGAS!$E$68,sup,0),IF(posisup=2,IF(AND(A305&lt;=CARGAS!$E$69,A305&gt;=CARGAS!$D$69),sup,0),IF(posisup=3,IF(AND(A305&lt;=CARGAS!$E$70,A305&gt;=CARGAS!$D$70),sup,0),0)))</f>
        <v>0</v>
      </c>
      <c r="E305">
        <f>IF(A305&lt;=CARGAS!$H$25,CARGAS!$I$20,0)</f>
        <v>0</v>
      </c>
      <c r="F305" s="22">
        <f>IF(AND(A305&gt;CARGAS!$O$29,A305&lt;=CARGAS!$O$30),tanque1,0)</f>
        <v>0</v>
      </c>
      <c r="G305" s="22">
        <f>IF(AND(A305&gt;CARGAS!$R$29,A305&lt;=CARGAS!$R$30),tanque2,0)</f>
        <v>0</v>
      </c>
      <c r="H305" s="22">
        <f>IF(AND(A305&gt;CARGAS!$U$29,A305&lt;=CARGAS!$U$30),tanque3,0)</f>
        <v>0</v>
      </c>
      <c r="I305" s="22">
        <f>IF(AND(A305&gt;CARGAS!$X$29,A305&lt;=CARGAS!$X$30),tanque4,0)</f>
        <v>0</v>
      </c>
      <c r="J305" s="22">
        <f>IF(AND(A305&gt;CARGAS!$AA$29,A305&lt;=CARGAS!$AA$30),tanque5,0)</f>
        <v>0</v>
      </c>
      <c r="K305" s="22">
        <f>IF(AND($A305&gt;CARGAS!$AD$29,$A305&lt;=CARGAS!$AD$30),tanque6,0)</f>
        <v>0</v>
      </c>
      <c r="L305" s="22">
        <f>IF(AND($A305&gt;CARGAS!$AG$29,$A305&lt;=CARGAS!$AG$30),tanque7,0)</f>
        <v>571.20000000000005</v>
      </c>
      <c r="M305" s="22">
        <f>IF(AND($A305&gt;CARGAS!$AJ$29,$A305&lt;=CARGAS!$AJ$30),tanque8,0)</f>
        <v>0</v>
      </c>
      <c r="N305" s="22">
        <f t="shared" si="36"/>
        <v>669.59572971428577</v>
      </c>
      <c r="O305" s="22">
        <f t="shared" si="37"/>
        <v>26.72051415298235</v>
      </c>
      <c r="P305" s="22">
        <f>O305*Equilibrio!Y$39*Equilibrio!Y$38*DADOS!C$4</f>
        <v>821.65581020420723</v>
      </c>
      <c r="Q305" s="22">
        <f t="shared" si="38"/>
        <v>-152.06008048992146</v>
      </c>
      <c r="R305" s="22">
        <f t="shared" si="39"/>
        <v>10903.178906781855</v>
      </c>
      <c r="S305" s="22">
        <f t="shared" si="40"/>
        <v>-270158.14494499378</v>
      </c>
      <c r="T305" s="22">
        <f t="shared" si="41"/>
        <v>203557.10183314286</v>
      </c>
    </row>
    <row r="306" spans="1:20" x14ac:dyDescent="0.25">
      <c r="A306" s="21">
        <v>305</v>
      </c>
      <c r="B306" s="22">
        <f>CARGAS!$C$40*Equilibrio!A306^2+CARGAS!$D$40*Equilibrio!A306+CARGAS!$E$40</f>
        <v>83.634759183673481</v>
      </c>
      <c r="C306" s="22">
        <f>CARGAS!$C$53*Equilibrio!A306^2+CARGAS!$D$53*Equilibrio!A306+CARGAS!$E$53</f>
        <v>13.939126530612249</v>
      </c>
      <c r="D306">
        <f>IF(posisup=1,IF(A306&lt;=CARGAS!$E$68,sup,0),IF(posisup=2,IF(AND(A306&lt;=CARGAS!$E$69,A306&gt;=CARGAS!$D$69),sup,0),IF(posisup=3,IF(AND(A306&lt;=CARGAS!$E$70,A306&gt;=CARGAS!$D$70),sup,0),0)))</f>
        <v>0</v>
      </c>
      <c r="E306">
        <f>IF(A306&lt;=CARGAS!$H$25,CARGAS!$I$20,0)</f>
        <v>0</v>
      </c>
      <c r="F306" s="22">
        <f>IF(AND(A306&gt;CARGAS!$O$29,A306&lt;=CARGAS!$O$30),tanque1,0)</f>
        <v>0</v>
      </c>
      <c r="G306" s="22">
        <f>IF(AND(A306&gt;CARGAS!$R$29,A306&lt;=CARGAS!$R$30),tanque2,0)</f>
        <v>0</v>
      </c>
      <c r="H306" s="22">
        <f>IF(AND(A306&gt;CARGAS!$U$29,A306&lt;=CARGAS!$U$30),tanque3,0)</f>
        <v>0</v>
      </c>
      <c r="I306" s="22">
        <f>IF(AND(A306&gt;CARGAS!$X$29,A306&lt;=CARGAS!$X$30),tanque4,0)</f>
        <v>0</v>
      </c>
      <c r="J306" s="22">
        <f>IF(AND(A306&gt;CARGAS!$AA$29,A306&lt;=CARGAS!$AA$30),tanque5,0)</f>
        <v>0</v>
      </c>
      <c r="K306" s="22">
        <f>IF(AND($A306&gt;CARGAS!$AD$29,$A306&lt;=CARGAS!$AD$30),tanque6,0)</f>
        <v>0</v>
      </c>
      <c r="L306" s="22">
        <f>IF(AND($A306&gt;CARGAS!$AG$29,$A306&lt;=CARGAS!$AG$30),tanque7,0)</f>
        <v>571.20000000000005</v>
      </c>
      <c r="M306" s="22">
        <f>IF(AND($A306&gt;CARGAS!$AJ$29,$A306&lt;=CARGAS!$AJ$30),tanque8,0)</f>
        <v>0</v>
      </c>
      <c r="N306" s="22">
        <f t="shared" si="36"/>
        <v>668.77388571428583</v>
      </c>
      <c r="O306" s="22">
        <f t="shared" si="37"/>
        <v>26.842477209408262</v>
      </c>
      <c r="P306" s="22">
        <f>O306*Equilibrio!Y$39*Equilibrio!Y$38*DADOS!C$4</f>
        <v>825.40617418930401</v>
      </c>
      <c r="Q306" s="22">
        <f t="shared" si="38"/>
        <v>-156.63228847501819</v>
      </c>
      <c r="R306" s="22">
        <f t="shared" si="39"/>
        <v>10746.546618306837</v>
      </c>
      <c r="S306" s="22">
        <f t="shared" si="40"/>
        <v>-259411.59832668694</v>
      </c>
      <c r="T306" s="22">
        <f t="shared" si="41"/>
        <v>203976.03514285717</v>
      </c>
    </row>
    <row r="307" spans="1:20" x14ac:dyDescent="0.25">
      <c r="A307" s="21">
        <v>306</v>
      </c>
      <c r="B307" s="22">
        <f>CARGAS!$C$40*Equilibrio!A307^2+CARGAS!$D$40*Equilibrio!A307+CARGAS!$E$40</f>
        <v>82.924881795918424</v>
      </c>
      <c r="C307" s="22">
        <f>CARGAS!$C$53*Equilibrio!A307^2+CARGAS!$D$53*Equilibrio!A307+CARGAS!$E$53</f>
        <v>13.820813632653064</v>
      </c>
      <c r="D307">
        <f>IF(posisup=1,IF(A307&lt;=CARGAS!$E$68,sup,0),IF(posisup=2,IF(AND(A307&lt;=CARGAS!$E$69,A307&gt;=CARGAS!$D$69),sup,0),IF(posisup=3,IF(AND(A307&lt;=CARGAS!$E$70,A307&gt;=CARGAS!$D$70),sup,0),0)))</f>
        <v>0</v>
      </c>
      <c r="E307">
        <f>IF(A307&lt;=CARGAS!$H$25,CARGAS!$I$20,0)</f>
        <v>0</v>
      </c>
      <c r="F307" s="22">
        <f>IF(AND(A307&gt;CARGAS!$O$29,A307&lt;=CARGAS!$O$30),tanque1,0)</f>
        <v>0</v>
      </c>
      <c r="G307" s="22">
        <f>IF(AND(A307&gt;CARGAS!$R$29,A307&lt;=CARGAS!$R$30),tanque2,0)</f>
        <v>0</v>
      </c>
      <c r="H307" s="22">
        <f>IF(AND(A307&gt;CARGAS!$U$29,A307&lt;=CARGAS!$U$30),tanque3,0)</f>
        <v>0</v>
      </c>
      <c r="I307" s="22">
        <f>IF(AND(A307&gt;CARGAS!$X$29,A307&lt;=CARGAS!$X$30),tanque4,0)</f>
        <v>0</v>
      </c>
      <c r="J307" s="22">
        <f>IF(AND(A307&gt;CARGAS!$AA$29,A307&lt;=CARGAS!$AA$30),tanque5,0)</f>
        <v>0</v>
      </c>
      <c r="K307" s="22">
        <f>IF(AND($A307&gt;CARGAS!$AD$29,$A307&lt;=CARGAS!$AD$30),tanque6,0)</f>
        <v>0</v>
      </c>
      <c r="L307" s="22">
        <f>IF(AND($A307&gt;CARGAS!$AG$29,$A307&lt;=CARGAS!$AG$30),tanque7,0)</f>
        <v>571.20000000000005</v>
      </c>
      <c r="M307" s="22">
        <f>IF(AND($A307&gt;CARGAS!$AJ$29,$A307&lt;=CARGAS!$AJ$30),tanque8,0)</f>
        <v>0</v>
      </c>
      <c r="N307" s="22">
        <f t="shared" si="36"/>
        <v>667.94569542857153</v>
      </c>
      <c r="O307" s="22">
        <f t="shared" si="37"/>
        <v>26.962491599607997</v>
      </c>
      <c r="P307" s="22">
        <f>O307*Equilibrio!Y$39*Equilibrio!Y$38*DADOS!C$4</f>
        <v>829.09661668794581</v>
      </c>
      <c r="Q307" s="22">
        <f t="shared" si="38"/>
        <v>-161.15092125937429</v>
      </c>
      <c r="R307" s="22">
        <f t="shared" si="39"/>
        <v>10585.395697047463</v>
      </c>
      <c r="S307" s="22">
        <f t="shared" si="40"/>
        <v>-248826.20262963948</v>
      </c>
      <c r="T307" s="22">
        <f t="shared" si="41"/>
        <v>204391.3828011429</v>
      </c>
    </row>
    <row r="308" spans="1:20" x14ac:dyDescent="0.25">
      <c r="A308" s="21">
        <v>307</v>
      </c>
      <c r="B308" s="22">
        <f>CARGAS!$C$40*Equilibrio!A308^2+CARGAS!$D$40*Equilibrio!A308+CARGAS!$E$40</f>
        <v>82.209564734693913</v>
      </c>
      <c r="C308" s="22">
        <f>CARGAS!$C$53*Equilibrio!A308^2+CARGAS!$D$53*Equilibrio!A308+CARGAS!$E$53</f>
        <v>13.701594122448981</v>
      </c>
      <c r="D308">
        <f>IF(posisup=1,IF(A308&lt;=CARGAS!$E$68,sup,0),IF(posisup=2,IF(AND(A308&lt;=CARGAS!$E$69,A308&gt;=CARGAS!$D$69),sup,0),IF(posisup=3,IF(AND(A308&lt;=CARGAS!$E$70,A308&gt;=CARGAS!$D$70),sup,0),0)))</f>
        <v>0</v>
      </c>
      <c r="E308">
        <f>IF(A308&lt;=CARGAS!$H$25,CARGAS!$I$20,0)</f>
        <v>0</v>
      </c>
      <c r="F308" s="22">
        <f>IF(AND(A308&gt;CARGAS!$O$29,A308&lt;=CARGAS!$O$30),tanque1,0)</f>
        <v>0</v>
      </c>
      <c r="G308" s="22">
        <f>IF(AND(A308&gt;CARGAS!$R$29,A308&lt;=CARGAS!$R$30),tanque2,0)</f>
        <v>0</v>
      </c>
      <c r="H308" s="22">
        <f>IF(AND(A308&gt;CARGAS!$U$29,A308&lt;=CARGAS!$U$30),tanque3,0)</f>
        <v>0</v>
      </c>
      <c r="I308" s="22">
        <f>IF(AND(A308&gt;CARGAS!$X$29,A308&lt;=CARGAS!$X$30),tanque4,0)</f>
        <v>0</v>
      </c>
      <c r="J308" s="22">
        <f>IF(AND(A308&gt;CARGAS!$AA$29,A308&lt;=CARGAS!$AA$30),tanque5,0)</f>
        <v>0</v>
      </c>
      <c r="K308" s="22">
        <f>IF(AND($A308&gt;CARGAS!$AD$29,$A308&lt;=CARGAS!$AD$30),tanque6,0)</f>
        <v>0</v>
      </c>
      <c r="L308" s="22">
        <f>IF(AND($A308&gt;CARGAS!$AG$29,$A308&lt;=CARGAS!$AG$30),tanque7,0)</f>
        <v>571.20000000000005</v>
      </c>
      <c r="M308" s="22">
        <f>IF(AND($A308&gt;CARGAS!$AJ$29,$A308&lt;=CARGAS!$AJ$30),tanque8,0)</f>
        <v>0</v>
      </c>
      <c r="N308" s="22">
        <f t="shared" si="36"/>
        <v>667.11115885714298</v>
      </c>
      <c r="O308" s="22">
        <f t="shared" si="37"/>
        <v>27.080521050844435</v>
      </c>
      <c r="P308" s="22">
        <f>O308*Equilibrio!Y$39*Equilibrio!Y$38*DADOS!C$4</f>
        <v>832.72602231346627</v>
      </c>
      <c r="Q308" s="22">
        <f t="shared" si="38"/>
        <v>-165.61486345632329</v>
      </c>
      <c r="R308" s="22">
        <f t="shared" si="39"/>
        <v>10419.78083359114</v>
      </c>
      <c r="S308" s="22">
        <f t="shared" si="40"/>
        <v>-238406.42179604835</v>
      </c>
      <c r="T308" s="22">
        <f t="shared" si="41"/>
        <v>204803.12576914291</v>
      </c>
    </row>
    <row r="309" spans="1:20" x14ac:dyDescent="0.25">
      <c r="A309" s="21">
        <v>308</v>
      </c>
      <c r="B309" s="22">
        <f>CARGAS!$C$40*Equilibrio!A309^2+CARGAS!$D$40*Equilibrio!A309+CARGAS!$E$40</f>
        <v>81.488808000000063</v>
      </c>
      <c r="C309" s="22">
        <f>CARGAS!$C$53*Equilibrio!A309^2+CARGAS!$D$53*Equilibrio!A309+CARGAS!$E$53</f>
        <v>13.581468000000001</v>
      </c>
      <c r="D309">
        <f>IF(posisup=1,IF(A309&lt;=CARGAS!$E$68,sup,0),IF(posisup=2,IF(AND(A309&lt;=CARGAS!$E$69,A309&gt;=CARGAS!$D$69),sup,0),IF(posisup=3,IF(AND(A309&lt;=CARGAS!$E$70,A309&gt;=CARGAS!$D$70),sup,0),0)))</f>
        <v>0</v>
      </c>
      <c r="E309">
        <f>IF(A309&lt;=CARGAS!$H$25,CARGAS!$I$20,0)</f>
        <v>0</v>
      </c>
      <c r="F309" s="22">
        <f>IF(AND(A309&gt;CARGAS!$O$29,A309&lt;=CARGAS!$O$30),tanque1,0)</f>
        <v>0</v>
      </c>
      <c r="G309" s="22">
        <f>IF(AND(A309&gt;CARGAS!$R$29,A309&lt;=CARGAS!$R$30),tanque2,0)</f>
        <v>0</v>
      </c>
      <c r="H309" s="22">
        <f>IF(AND(A309&gt;CARGAS!$U$29,A309&lt;=CARGAS!$U$30),tanque3,0)</f>
        <v>0</v>
      </c>
      <c r="I309" s="22">
        <f>IF(AND(A309&gt;CARGAS!$X$29,A309&lt;=CARGAS!$X$30),tanque4,0)</f>
        <v>0</v>
      </c>
      <c r="J309" s="22">
        <f>IF(AND(A309&gt;CARGAS!$AA$29,A309&lt;=CARGAS!$AA$30),tanque5,0)</f>
        <v>0</v>
      </c>
      <c r="K309" s="22">
        <f>IF(AND($A309&gt;CARGAS!$AD$29,$A309&lt;=CARGAS!$AD$30),tanque6,0)</f>
        <v>0</v>
      </c>
      <c r="L309" s="22">
        <f>IF(AND($A309&gt;CARGAS!$AG$29,$A309&lt;=CARGAS!$AG$30),tanque7,0)</f>
        <v>571.20000000000005</v>
      </c>
      <c r="M309" s="22">
        <f>IF(AND($A309&gt;CARGAS!$AJ$29,$A309&lt;=CARGAS!$AJ$30),tanque8,0)</f>
        <v>0</v>
      </c>
      <c r="N309" s="22">
        <f t="shared" si="36"/>
        <v>666.27027600000008</v>
      </c>
      <c r="O309" s="22">
        <f t="shared" si="37"/>
        <v>27.196529930055132</v>
      </c>
      <c r="P309" s="22">
        <f>O309*Equilibrio!Y$39*Equilibrio!Y$38*DADOS!C$4</f>
        <v>836.2932953491952</v>
      </c>
      <c r="Q309" s="22">
        <f t="shared" si="38"/>
        <v>-170.02301934919512</v>
      </c>
      <c r="R309" s="22">
        <f t="shared" si="39"/>
        <v>10249.757814241944</v>
      </c>
      <c r="S309" s="22">
        <f t="shared" si="40"/>
        <v>-228156.6639818064</v>
      </c>
      <c r="T309" s="22">
        <f t="shared" si="41"/>
        <v>205211.24500800003</v>
      </c>
    </row>
    <row r="310" spans="1:20" x14ac:dyDescent="0.25">
      <c r="A310" s="21">
        <v>309</v>
      </c>
      <c r="B310" s="22">
        <f>CARGAS!$C$40*Equilibrio!A310^2+CARGAS!$D$40*Equilibrio!A310+CARGAS!$E$40</f>
        <v>80.762611591836787</v>
      </c>
      <c r="C310" s="22">
        <f>CARGAS!$C$53*Equilibrio!A310^2+CARGAS!$D$53*Equilibrio!A310+CARGAS!$E$53</f>
        <v>13.460435265306124</v>
      </c>
      <c r="D310">
        <f>IF(posisup=1,IF(A310&lt;=CARGAS!$E$68,sup,0),IF(posisup=2,IF(AND(A310&lt;=CARGAS!$E$69,A310&gt;=CARGAS!$D$69),sup,0),IF(posisup=3,IF(AND(A310&lt;=CARGAS!$E$70,A310&gt;=CARGAS!$D$70),sup,0),0)))</f>
        <v>0</v>
      </c>
      <c r="E310">
        <f>IF(A310&lt;=CARGAS!$H$25,CARGAS!$I$20,0)</f>
        <v>0</v>
      </c>
      <c r="F310" s="22">
        <f>IF(AND(A310&gt;CARGAS!$O$29,A310&lt;=CARGAS!$O$30),tanque1,0)</f>
        <v>0</v>
      </c>
      <c r="G310" s="22">
        <f>IF(AND(A310&gt;CARGAS!$R$29,A310&lt;=CARGAS!$R$30),tanque2,0)</f>
        <v>0</v>
      </c>
      <c r="H310" s="22">
        <f>IF(AND(A310&gt;CARGAS!$U$29,A310&lt;=CARGAS!$U$30),tanque3,0)</f>
        <v>0</v>
      </c>
      <c r="I310" s="22">
        <f>IF(AND(A310&gt;CARGAS!$X$29,A310&lt;=CARGAS!$X$30),tanque4,0)</f>
        <v>0</v>
      </c>
      <c r="J310" s="22">
        <f>IF(AND(A310&gt;CARGAS!$AA$29,A310&lt;=CARGAS!$AA$30),tanque5,0)</f>
        <v>0</v>
      </c>
      <c r="K310" s="22">
        <f>IF(AND($A310&gt;CARGAS!$AD$29,$A310&lt;=CARGAS!$AD$30),tanque6,0)</f>
        <v>0</v>
      </c>
      <c r="L310" s="22">
        <f>IF(AND($A310&gt;CARGAS!$AG$29,$A310&lt;=CARGAS!$AG$30),tanque7,0)</f>
        <v>0</v>
      </c>
      <c r="M310" s="22">
        <f>IF(AND($A310&gt;CARGAS!$AJ$29,$A310&lt;=CARGAS!$AJ$30),tanque8,0)</f>
        <v>571.20000000000005</v>
      </c>
      <c r="N310" s="22">
        <f t="shared" si="36"/>
        <v>665.42304685714294</v>
      </c>
      <c r="O310" s="22">
        <f t="shared" si="37"/>
        <v>27.310483255335541</v>
      </c>
      <c r="P310" s="22">
        <f>O310*Equilibrio!Y$39*Equilibrio!Y$38*DADOS!C$4</f>
        <v>839.79736010156785</v>
      </c>
      <c r="Q310" s="22">
        <f t="shared" si="38"/>
        <v>-174.37431324442491</v>
      </c>
      <c r="R310" s="22">
        <f t="shared" si="39"/>
        <v>10075.383500997519</v>
      </c>
      <c r="S310" s="22">
        <f t="shared" si="40"/>
        <v>-218081.28048080887</v>
      </c>
      <c r="T310" s="22">
        <f t="shared" si="41"/>
        <v>205615.72147885716</v>
      </c>
    </row>
    <row r="311" spans="1:20" x14ac:dyDescent="0.25">
      <c r="A311" s="21">
        <v>310</v>
      </c>
      <c r="B311" s="22">
        <f>CARGAS!$C$40*Equilibrio!A311^2+CARGAS!$D$40*Equilibrio!A311+CARGAS!$E$40</f>
        <v>80.030975510204144</v>
      </c>
      <c r="C311" s="22">
        <f>CARGAS!$C$53*Equilibrio!A311^2+CARGAS!$D$53*Equilibrio!A311+CARGAS!$E$53</f>
        <v>13.33849591836735</v>
      </c>
      <c r="D311">
        <f>IF(posisup=1,IF(A311&lt;=CARGAS!$E$68,sup,0),IF(posisup=2,IF(AND(A311&lt;=CARGAS!$E$69,A311&gt;=CARGAS!$D$69),sup,0),IF(posisup=3,IF(AND(A311&lt;=CARGAS!$E$70,A311&gt;=CARGAS!$D$70),sup,0),0)))</f>
        <v>0</v>
      </c>
      <c r="E311">
        <f>IF(A311&lt;=CARGAS!$H$25,CARGAS!$I$20,0)</f>
        <v>0</v>
      </c>
      <c r="F311" s="22">
        <f>IF(AND(A311&gt;CARGAS!$O$29,A311&lt;=CARGAS!$O$30),tanque1,0)</f>
        <v>0</v>
      </c>
      <c r="G311" s="22">
        <f>IF(AND(A311&gt;CARGAS!$R$29,A311&lt;=CARGAS!$R$30),tanque2,0)</f>
        <v>0</v>
      </c>
      <c r="H311" s="22">
        <f>IF(AND(A311&gt;CARGAS!$U$29,A311&lt;=CARGAS!$U$30),tanque3,0)</f>
        <v>0</v>
      </c>
      <c r="I311" s="22">
        <f>IF(AND(A311&gt;CARGAS!$X$29,A311&lt;=CARGAS!$X$30),tanque4,0)</f>
        <v>0</v>
      </c>
      <c r="J311" s="22">
        <f>IF(AND(A311&gt;CARGAS!$AA$29,A311&lt;=CARGAS!$AA$30),tanque5,0)</f>
        <v>0</v>
      </c>
      <c r="K311" s="22">
        <f>IF(AND($A311&gt;CARGAS!$AD$29,$A311&lt;=CARGAS!$AD$30),tanque6,0)</f>
        <v>0</v>
      </c>
      <c r="L311" s="22">
        <f>IF(AND($A311&gt;CARGAS!$AG$29,$A311&lt;=CARGAS!$AG$30),tanque7,0)</f>
        <v>0</v>
      </c>
      <c r="M311" s="22">
        <f>IF(AND($A311&gt;CARGAS!$AJ$29,$A311&lt;=CARGAS!$AJ$30),tanque8,0)</f>
        <v>571.20000000000005</v>
      </c>
      <c r="N311" s="22">
        <f t="shared" si="36"/>
        <v>664.56947142857155</v>
      </c>
      <c r="O311" s="22">
        <f t="shared" si="37"/>
        <v>27.422346707212434</v>
      </c>
      <c r="P311" s="22">
        <f>O311*Equilibrio!Y$39*Equilibrio!Y$38*DADOS!C$4</f>
        <v>843.23716124678219</v>
      </c>
      <c r="Q311" s="22">
        <f t="shared" si="38"/>
        <v>-178.66768981821065</v>
      </c>
      <c r="R311" s="22">
        <f t="shared" si="39"/>
        <v>9896.7158111793087</v>
      </c>
      <c r="S311" s="22">
        <f t="shared" si="40"/>
        <v>-208184.56466962956</v>
      </c>
      <c r="T311" s="22">
        <f t="shared" si="41"/>
        <v>206016.53614285719</v>
      </c>
    </row>
    <row r="312" spans="1:20" x14ac:dyDescent="0.25">
      <c r="A312" s="21">
        <v>311</v>
      </c>
      <c r="B312" s="22">
        <f>CARGAS!$C$40*Equilibrio!A312^2+CARGAS!$D$40*Equilibrio!A312+CARGAS!$E$40</f>
        <v>79.293899755102075</v>
      </c>
      <c r="C312" s="22">
        <f>CARGAS!$C$53*Equilibrio!A312^2+CARGAS!$D$53*Equilibrio!A312+CARGAS!$E$53</f>
        <v>13.215649959183672</v>
      </c>
      <c r="D312">
        <f>IF(posisup=1,IF(A312&lt;=CARGAS!$E$68,sup,0),IF(posisup=2,IF(AND(A312&lt;=CARGAS!$E$69,A312&gt;=CARGAS!$D$69),sup,0),IF(posisup=3,IF(AND(A312&lt;=CARGAS!$E$70,A312&gt;=CARGAS!$D$70),sup,0),0)))</f>
        <v>0</v>
      </c>
      <c r="E312">
        <f>IF(A312&lt;=CARGAS!$H$25,CARGAS!$I$20,0)</f>
        <v>0</v>
      </c>
      <c r="F312" s="22">
        <f>IF(AND(A312&gt;CARGAS!$O$29,A312&lt;=CARGAS!$O$30),tanque1,0)</f>
        <v>0</v>
      </c>
      <c r="G312" s="22">
        <f>IF(AND(A312&gt;CARGAS!$R$29,A312&lt;=CARGAS!$R$30),tanque2,0)</f>
        <v>0</v>
      </c>
      <c r="H312" s="22">
        <f>IF(AND(A312&gt;CARGAS!$U$29,A312&lt;=CARGAS!$U$30),tanque3,0)</f>
        <v>0</v>
      </c>
      <c r="I312" s="22">
        <f>IF(AND(A312&gt;CARGAS!$X$29,A312&lt;=CARGAS!$X$30),tanque4,0)</f>
        <v>0</v>
      </c>
      <c r="J312" s="22">
        <f>IF(AND(A312&gt;CARGAS!$AA$29,A312&lt;=CARGAS!$AA$30),tanque5,0)</f>
        <v>0</v>
      </c>
      <c r="K312" s="22">
        <f>IF(AND($A312&gt;CARGAS!$AD$29,$A312&lt;=CARGAS!$AD$30),tanque6,0)</f>
        <v>0</v>
      </c>
      <c r="L312" s="22">
        <f>IF(AND($A312&gt;CARGAS!$AG$29,$A312&lt;=CARGAS!$AG$30),tanque7,0)</f>
        <v>0</v>
      </c>
      <c r="M312" s="22">
        <f>IF(AND($A312&gt;CARGAS!$AJ$29,$A312&lt;=CARGAS!$AJ$30),tanque8,0)</f>
        <v>571.20000000000005</v>
      </c>
      <c r="N312" s="22">
        <f t="shared" si="36"/>
        <v>663.7095497142858</v>
      </c>
      <c r="O312" s="22">
        <f t="shared" si="37"/>
        <v>27.532086639703849</v>
      </c>
      <c r="P312" s="22">
        <f>O312*Equilibrio!Y$39*Equilibrio!Y$38*DADOS!C$4</f>
        <v>846.61166417089328</v>
      </c>
      <c r="Q312" s="22">
        <f t="shared" si="38"/>
        <v>-182.90211445660748</v>
      </c>
      <c r="R312" s="22">
        <f t="shared" si="39"/>
        <v>9713.8136967227019</v>
      </c>
      <c r="S312" s="22">
        <f t="shared" si="40"/>
        <v>-198470.75097290686</v>
      </c>
      <c r="T312" s="22">
        <f t="shared" si="41"/>
        <v>206413.66996114288</v>
      </c>
    </row>
    <row r="313" spans="1:20" x14ac:dyDescent="0.25">
      <c r="A313" s="21">
        <v>312</v>
      </c>
      <c r="B313" s="22">
        <f>CARGAS!$C$40*Equilibrio!A313^2+CARGAS!$D$40*Equilibrio!A313+CARGAS!$E$40</f>
        <v>78.551384326530638</v>
      </c>
      <c r="C313" s="22">
        <f>CARGAS!$C$53*Equilibrio!A313^2+CARGAS!$D$53*Equilibrio!A313+CARGAS!$E$53</f>
        <v>13.091897387755104</v>
      </c>
      <c r="D313">
        <f>IF(posisup=1,IF(A313&lt;=CARGAS!$E$68,sup,0),IF(posisup=2,IF(AND(A313&lt;=CARGAS!$E$69,A313&gt;=CARGAS!$D$69),sup,0),IF(posisup=3,IF(AND(A313&lt;=CARGAS!$E$70,A313&gt;=CARGAS!$D$70),sup,0),0)))</f>
        <v>0</v>
      </c>
      <c r="E313">
        <f>IF(A313&lt;=CARGAS!$H$25,CARGAS!$I$20,0)</f>
        <v>0</v>
      </c>
      <c r="F313" s="22">
        <f>IF(AND(A313&gt;CARGAS!$O$29,A313&lt;=CARGAS!$O$30),tanque1,0)</f>
        <v>0</v>
      </c>
      <c r="G313" s="22">
        <f>IF(AND(A313&gt;CARGAS!$R$29,A313&lt;=CARGAS!$R$30),tanque2,0)</f>
        <v>0</v>
      </c>
      <c r="H313" s="22">
        <f>IF(AND(A313&gt;CARGAS!$U$29,A313&lt;=CARGAS!$U$30),tanque3,0)</f>
        <v>0</v>
      </c>
      <c r="I313" s="22">
        <f>IF(AND(A313&gt;CARGAS!$X$29,A313&lt;=CARGAS!$X$30),tanque4,0)</f>
        <v>0</v>
      </c>
      <c r="J313" s="22">
        <f>IF(AND(A313&gt;CARGAS!$AA$29,A313&lt;=CARGAS!$AA$30),tanque5,0)</f>
        <v>0</v>
      </c>
      <c r="K313" s="22">
        <f>IF(AND($A313&gt;CARGAS!$AD$29,$A313&lt;=CARGAS!$AD$30),tanque6,0)</f>
        <v>0</v>
      </c>
      <c r="L313" s="22">
        <f>IF(AND($A313&gt;CARGAS!$AG$29,$A313&lt;=CARGAS!$AG$30),tanque7,0)</f>
        <v>0</v>
      </c>
      <c r="M313" s="22">
        <f>IF(AND($A313&gt;CARGAS!$AJ$29,$A313&lt;=CARGAS!$AJ$30),tanque8,0)</f>
        <v>571.20000000000005</v>
      </c>
      <c r="N313" s="22">
        <f t="shared" si="36"/>
        <v>662.84328171428581</v>
      </c>
      <c r="O313" s="22">
        <f t="shared" si="37"/>
        <v>27.639670091161985</v>
      </c>
      <c r="P313" s="22">
        <f>O313*Equilibrio!Y$39*Equilibrio!Y$38*DADOS!C$4</f>
        <v>849.91985530323097</v>
      </c>
      <c r="Q313" s="22">
        <f t="shared" si="38"/>
        <v>-187.07657358894517</v>
      </c>
      <c r="R313" s="22">
        <f t="shared" si="39"/>
        <v>9526.7371231337565</v>
      </c>
      <c r="S313" s="22">
        <f t="shared" si="40"/>
        <v>-188944.01384977309</v>
      </c>
      <c r="T313" s="22">
        <f t="shared" si="41"/>
        <v>206807.10389485717</v>
      </c>
    </row>
    <row r="314" spans="1:20" x14ac:dyDescent="0.25">
      <c r="A314" s="21">
        <v>313</v>
      </c>
      <c r="B314" s="22">
        <f>CARGAS!$C$40*Equilibrio!A314^2+CARGAS!$D$40*Equilibrio!A314+CARGAS!$E$40</f>
        <v>77.803429224489832</v>
      </c>
      <c r="C314" s="22">
        <f>CARGAS!$C$53*Equilibrio!A314^2+CARGAS!$D$53*Equilibrio!A314+CARGAS!$E$53</f>
        <v>12.967238204081639</v>
      </c>
      <c r="D314">
        <f>IF(posisup=1,IF(A314&lt;=CARGAS!$E$68,sup,0),IF(posisup=2,IF(AND(A314&lt;=CARGAS!$E$69,A314&gt;=CARGAS!$D$69),sup,0),IF(posisup=3,IF(AND(A314&lt;=CARGAS!$E$70,A314&gt;=CARGAS!$D$70),sup,0),0)))</f>
        <v>0</v>
      </c>
      <c r="E314">
        <f>IF(A314&lt;=CARGAS!$H$25,CARGAS!$I$20,0)</f>
        <v>0</v>
      </c>
      <c r="F314" s="22">
        <f>IF(AND(A314&gt;CARGAS!$O$29,A314&lt;=CARGAS!$O$30),tanque1,0)</f>
        <v>0</v>
      </c>
      <c r="G314" s="22">
        <f>IF(AND(A314&gt;CARGAS!$R$29,A314&lt;=CARGAS!$R$30),tanque2,0)</f>
        <v>0</v>
      </c>
      <c r="H314" s="22">
        <f>IF(AND(A314&gt;CARGAS!$U$29,A314&lt;=CARGAS!$U$30),tanque3,0)</f>
        <v>0</v>
      </c>
      <c r="I314" s="22">
        <f>IF(AND(A314&gt;CARGAS!$X$29,A314&lt;=CARGAS!$X$30),tanque4,0)</f>
        <v>0</v>
      </c>
      <c r="J314" s="22">
        <f>IF(AND(A314&gt;CARGAS!$AA$29,A314&lt;=CARGAS!$AA$30),tanque5,0)</f>
        <v>0</v>
      </c>
      <c r="K314" s="22">
        <f>IF(AND($A314&gt;CARGAS!$AD$29,$A314&lt;=CARGAS!$AD$30),tanque6,0)</f>
        <v>0</v>
      </c>
      <c r="L314" s="22">
        <f>IF(AND($A314&gt;CARGAS!$AG$29,$A314&lt;=CARGAS!$AG$30),tanque7,0)</f>
        <v>0</v>
      </c>
      <c r="M314" s="22">
        <f>IF(AND($A314&gt;CARGAS!$AJ$29,$A314&lt;=CARGAS!$AJ$30),tanque8,0)</f>
        <v>571.20000000000005</v>
      </c>
      <c r="N314" s="22">
        <f t="shared" si="36"/>
        <v>661.97066742857146</v>
      </c>
      <c r="O314" s="22">
        <f t="shared" si="37"/>
        <v>27.745064794895523</v>
      </c>
      <c r="P314" s="22">
        <f>O314*Equilibrio!Y$39*Equilibrio!Y$38*DADOS!C$4</f>
        <v>853.16074244303729</v>
      </c>
      <c r="Q314" s="22">
        <f t="shared" si="38"/>
        <v>-191.19007501446583</v>
      </c>
      <c r="R314" s="22">
        <f t="shared" si="39"/>
        <v>9335.5470481192915</v>
      </c>
      <c r="S314" s="22">
        <f t="shared" si="40"/>
        <v>-179608.46680165379</v>
      </c>
      <c r="T314" s="22">
        <f t="shared" si="41"/>
        <v>207196.81890514286</v>
      </c>
    </row>
    <row r="315" spans="1:20" x14ac:dyDescent="0.25">
      <c r="A315" s="21">
        <v>314</v>
      </c>
      <c r="B315" s="22">
        <f>CARGAS!$C$40*Equilibrio!A315^2+CARGAS!$D$40*Equilibrio!A315+CARGAS!$E$40</f>
        <v>77.050034448979602</v>
      </c>
      <c r="C315" s="22">
        <f>CARGAS!$C$53*Equilibrio!A315^2+CARGAS!$D$53*Equilibrio!A315+CARGAS!$E$53</f>
        <v>12.841672408163269</v>
      </c>
      <c r="D315">
        <f>IF(posisup=1,IF(A315&lt;=CARGAS!$E$68,sup,0),IF(posisup=2,IF(AND(A315&lt;=CARGAS!$E$69,A315&gt;=CARGAS!$D$69),sup,0),IF(posisup=3,IF(AND(A315&lt;=CARGAS!$E$70,A315&gt;=CARGAS!$D$70),sup,0),0)))</f>
        <v>0</v>
      </c>
      <c r="E315">
        <f>IF(A315&lt;=CARGAS!$H$25,CARGAS!$I$20,0)</f>
        <v>0</v>
      </c>
      <c r="F315" s="22">
        <f>IF(AND(A315&gt;CARGAS!$O$29,A315&lt;=CARGAS!$O$30),tanque1,0)</f>
        <v>0</v>
      </c>
      <c r="G315" s="22">
        <f>IF(AND(A315&gt;CARGAS!$R$29,A315&lt;=CARGAS!$R$30),tanque2,0)</f>
        <v>0</v>
      </c>
      <c r="H315" s="22">
        <f>IF(AND(A315&gt;CARGAS!$U$29,A315&lt;=CARGAS!$U$30),tanque3,0)</f>
        <v>0</v>
      </c>
      <c r="I315" s="22">
        <f>IF(AND(A315&gt;CARGAS!$X$29,A315&lt;=CARGAS!$X$30),tanque4,0)</f>
        <v>0</v>
      </c>
      <c r="J315" s="22">
        <f>IF(AND(A315&gt;CARGAS!$AA$29,A315&lt;=CARGAS!$AA$30),tanque5,0)</f>
        <v>0</v>
      </c>
      <c r="K315" s="22">
        <f>IF(AND($A315&gt;CARGAS!$AD$29,$A315&lt;=CARGAS!$AD$30),tanque6,0)</f>
        <v>0</v>
      </c>
      <c r="L315" s="22">
        <f>IF(AND($A315&gt;CARGAS!$AG$29,$A315&lt;=CARGAS!$AG$30),tanque7,0)</f>
        <v>0</v>
      </c>
      <c r="M315" s="22">
        <f>IF(AND($A315&gt;CARGAS!$AJ$29,$A315&lt;=CARGAS!$AJ$30),tanque8,0)</f>
        <v>571.20000000000005</v>
      </c>
      <c r="N315" s="22">
        <f t="shared" si="36"/>
        <v>661.09170685714298</v>
      </c>
      <c r="O315" s="22">
        <f t="shared" si="37"/>
        <v>27.848239189568083</v>
      </c>
      <c r="P315" s="22">
        <f>O315*Equilibrio!Y$39*Equilibrio!Y$38*DADOS!C$4</f>
        <v>856.33335507921856</v>
      </c>
      <c r="Q315" s="22">
        <f t="shared" si="38"/>
        <v>-195.24164822207558</v>
      </c>
      <c r="R315" s="22">
        <f t="shared" si="39"/>
        <v>9140.3053998972155</v>
      </c>
      <c r="S315" s="22">
        <f t="shared" si="40"/>
        <v>-170468.16140175657</v>
      </c>
      <c r="T315" s="22">
        <f t="shared" si="41"/>
        <v>207582.79595314289</v>
      </c>
    </row>
    <row r="316" spans="1:20" x14ac:dyDescent="0.25">
      <c r="A316" s="21">
        <v>315</v>
      </c>
      <c r="B316" s="22">
        <f>CARGAS!$C$40*Equilibrio!A316^2+CARGAS!$D$40*Equilibrio!A316+CARGAS!$E$40</f>
        <v>76.291200000000003</v>
      </c>
      <c r="C316" s="22">
        <f>CARGAS!$C$53*Equilibrio!A316^2+CARGAS!$D$53*Equilibrio!A316+CARGAS!$E$53</f>
        <v>12.715200000000003</v>
      </c>
      <c r="D316">
        <f>IF(posisup=1,IF(A316&lt;=CARGAS!$E$68,sup,0),IF(posisup=2,IF(AND(A316&lt;=CARGAS!$E$69,A316&gt;=CARGAS!$D$69),sup,0),IF(posisup=3,IF(AND(A316&lt;=CARGAS!$E$70,A316&gt;=CARGAS!$D$70),sup,0),0)))</f>
        <v>0</v>
      </c>
      <c r="E316">
        <f>IF(A316&lt;=CARGAS!$H$25,CARGAS!$I$20,0)</f>
        <v>0</v>
      </c>
      <c r="F316" s="22">
        <f>IF(AND(A316&gt;CARGAS!$O$29,A316&lt;=CARGAS!$O$30),tanque1,0)</f>
        <v>0</v>
      </c>
      <c r="G316" s="22">
        <f>IF(AND(A316&gt;CARGAS!$R$29,A316&lt;=CARGAS!$R$30),tanque2,0)</f>
        <v>0</v>
      </c>
      <c r="H316" s="22">
        <f>IF(AND(A316&gt;CARGAS!$U$29,A316&lt;=CARGAS!$U$30),tanque3,0)</f>
        <v>0</v>
      </c>
      <c r="I316" s="22">
        <f>IF(AND(A316&gt;CARGAS!$X$29,A316&lt;=CARGAS!$X$30),tanque4,0)</f>
        <v>0</v>
      </c>
      <c r="J316" s="22">
        <f>IF(AND(A316&gt;CARGAS!$AA$29,A316&lt;=CARGAS!$AA$30),tanque5,0)</f>
        <v>0</v>
      </c>
      <c r="K316" s="22">
        <f>IF(AND($A316&gt;CARGAS!$AD$29,$A316&lt;=CARGAS!$AD$30),tanque6,0)</f>
        <v>0</v>
      </c>
      <c r="L316" s="22">
        <f>IF(AND($A316&gt;CARGAS!$AG$29,$A316&lt;=CARGAS!$AG$30),tanque7,0)</f>
        <v>0</v>
      </c>
      <c r="M316" s="22">
        <f>IF(AND($A316&gt;CARGAS!$AJ$29,$A316&lt;=CARGAS!$AJ$30),tanque8,0)</f>
        <v>571.20000000000005</v>
      </c>
      <c r="N316" s="22">
        <f t="shared" si="36"/>
        <v>660.20640000000003</v>
      </c>
      <c r="O316" s="22">
        <f t="shared" si="37"/>
        <v>27.94916242936927</v>
      </c>
      <c r="P316" s="22">
        <f>O316*Equilibrio!Y$39*Equilibrio!Y$38*DADOS!C$4</f>
        <v>859.43674470310498</v>
      </c>
      <c r="Q316" s="22">
        <f t="shared" si="38"/>
        <v>-199.23034470310495</v>
      </c>
      <c r="R316" s="22">
        <f t="shared" si="39"/>
        <v>8941.075055194111</v>
      </c>
      <c r="S316" s="22">
        <f t="shared" si="40"/>
        <v>-161527.08634656246</v>
      </c>
      <c r="T316" s="22">
        <f t="shared" si="41"/>
        <v>207965.016</v>
      </c>
    </row>
    <row r="317" spans="1:20" x14ac:dyDescent="0.25">
      <c r="A317" s="21">
        <v>316</v>
      </c>
      <c r="B317" s="22">
        <f>CARGAS!$C$40*Equilibrio!A317^2+CARGAS!$D$40*Equilibrio!A317+CARGAS!$E$40</f>
        <v>75.526925877551037</v>
      </c>
      <c r="C317" s="22">
        <f>CARGAS!$C$53*Equilibrio!A317^2+CARGAS!$D$53*Equilibrio!A317+CARGAS!$E$53</f>
        <v>12.587820979591839</v>
      </c>
      <c r="D317">
        <f>IF(posisup=1,IF(A317&lt;=CARGAS!$E$68,sup,0),IF(posisup=2,IF(AND(A317&lt;=CARGAS!$E$69,A317&gt;=CARGAS!$D$69),sup,0),IF(posisup=3,IF(AND(A317&lt;=CARGAS!$E$70,A317&gt;=CARGAS!$D$70),sup,0),0)))</f>
        <v>0</v>
      </c>
      <c r="E317">
        <f>IF(A317&lt;=CARGAS!$H$25,CARGAS!$I$20,0)</f>
        <v>0</v>
      </c>
      <c r="F317" s="22">
        <f>IF(AND(A317&gt;CARGAS!$O$29,A317&lt;=CARGAS!$O$30),tanque1,0)</f>
        <v>0</v>
      </c>
      <c r="G317" s="22">
        <f>IF(AND(A317&gt;CARGAS!$R$29,A317&lt;=CARGAS!$R$30),tanque2,0)</f>
        <v>0</v>
      </c>
      <c r="H317" s="22">
        <f>IF(AND(A317&gt;CARGAS!$U$29,A317&lt;=CARGAS!$U$30),tanque3,0)</f>
        <v>0</v>
      </c>
      <c r="I317" s="22">
        <f>IF(AND(A317&gt;CARGAS!$X$29,A317&lt;=CARGAS!$X$30),tanque4,0)</f>
        <v>0</v>
      </c>
      <c r="J317" s="22">
        <f>IF(AND(A317&gt;CARGAS!$AA$29,A317&lt;=CARGAS!$AA$30),tanque5,0)</f>
        <v>0</v>
      </c>
      <c r="K317" s="22">
        <f>IF(AND($A317&gt;CARGAS!$AD$29,$A317&lt;=CARGAS!$AD$30),tanque6,0)</f>
        <v>0</v>
      </c>
      <c r="L317" s="22">
        <f>IF(AND($A317&gt;CARGAS!$AG$29,$A317&lt;=CARGAS!$AG$30),tanque7,0)</f>
        <v>0</v>
      </c>
      <c r="M317" s="22">
        <f>IF(AND($A317&gt;CARGAS!$AJ$29,$A317&lt;=CARGAS!$AJ$30),tanque8,0)</f>
        <v>571.20000000000005</v>
      </c>
      <c r="N317" s="22">
        <f t="shared" si="36"/>
        <v>659.31474685714295</v>
      </c>
      <c r="O317" s="22">
        <f t="shared" si="37"/>
        <v>28.047804393955165</v>
      </c>
      <c r="P317" s="22">
        <f>O317*Equilibrio!Y$39*Equilibrio!Y$38*DADOS!C$4</f>
        <v>862.46998511412119</v>
      </c>
      <c r="Q317" s="22">
        <f t="shared" si="38"/>
        <v>-203.15523825697824</v>
      </c>
      <c r="R317" s="22">
        <f t="shared" si="39"/>
        <v>8737.9198169371321</v>
      </c>
      <c r="S317" s="22">
        <f t="shared" si="40"/>
        <v>-152789.16652962533</v>
      </c>
      <c r="T317" s="22">
        <f t="shared" si="41"/>
        <v>208343.46000685717</v>
      </c>
    </row>
    <row r="318" spans="1:20" x14ac:dyDescent="0.25">
      <c r="A318" s="21">
        <v>317</v>
      </c>
      <c r="B318" s="22">
        <f>CARGAS!$C$40*Equilibrio!A318^2+CARGAS!$D$40*Equilibrio!A318+CARGAS!$E$40</f>
        <v>74.757212081632701</v>
      </c>
      <c r="C318" s="22">
        <f>CARGAS!$C$53*Equilibrio!A318^2+CARGAS!$D$53*Equilibrio!A318+CARGAS!$E$53</f>
        <v>12.459535346938779</v>
      </c>
      <c r="D318">
        <f>IF(posisup=1,IF(A318&lt;=CARGAS!$E$68,sup,0),IF(posisup=2,IF(AND(A318&lt;=CARGAS!$E$69,A318&gt;=CARGAS!$D$69),sup,0),IF(posisup=3,IF(AND(A318&lt;=CARGAS!$E$70,A318&gt;=CARGAS!$D$70),sup,0),0)))</f>
        <v>0</v>
      </c>
      <c r="E318">
        <f>IF(A318&lt;=CARGAS!$H$25,CARGAS!$I$20,0)</f>
        <v>0</v>
      </c>
      <c r="F318" s="22">
        <f>IF(AND(A318&gt;CARGAS!$O$29,A318&lt;=CARGAS!$O$30),tanque1,0)</f>
        <v>0</v>
      </c>
      <c r="G318" s="22">
        <f>IF(AND(A318&gt;CARGAS!$R$29,A318&lt;=CARGAS!$R$30),tanque2,0)</f>
        <v>0</v>
      </c>
      <c r="H318" s="22">
        <f>IF(AND(A318&gt;CARGAS!$U$29,A318&lt;=CARGAS!$U$30),tanque3,0)</f>
        <v>0</v>
      </c>
      <c r="I318" s="22">
        <f>IF(AND(A318&gt;CARGAS!$X$29,A318&lt;=CARGAS!$X$30),tanque4,0)</f>
        <v>0</v>
      </c>
      <c r="J318" s="22">
        <f>IF(AND(A318&gt;CARGAS!$AA$29,A318&lt;=CARGAS!$AA$30),tanque5,0)</f>
        <v>0</v>
      </c>
      <c r="K318" s="22">
        <f>IF(AND($A318&gt;CARGAS!$AD$29,$A318&lt;=CARGAS!$AD$30),tanque6,0)</f>
        <v>0</v>
      </c>
      <c r="L318" s="22">
        <f>IF(AND($A318&gt;CARGAS!$AG$29,$A318&lt;=CARGAS!$AG$30),tanque7,0)</f>
        <v>0</v>
      </c>
      <c r="M318" s="22">
        <f>IF(AND($A318&gt;CARGAS!$AJ$29,$A318&lt;=CARGAS!$AJ$30),tanque8,0)</f>
        <v>571.20000000000005</v>
      </c>
      <c r="N318" s="22">
        <f t="shared" si="36"/>
        <v>658.41674742857151</v>
      </c>
      <c r="O318" s="22">
        <f t="shared" si="37"/>
        <v>28.144135698155058</v>
      </c>
      <c r="P318" s="22">
        <f>O318*Equilibrio!Y$39*Equilibrio!Y$38*DADOS!C$4</f>
        <v>865.43217271826802</v>
      </c>
      <c r="Q318" s="22">
        <f t="shared" si="38"/>
        <v>-207.01542528969651</v>
      </c>
      <c r="R318" s="22">
        <f t="shared" si="39"/>
        <v>8530.9043916474347</v>
      </c>
      <c r="S318" s="22">
        <f t="shared" si="40"/>
        <v>-144258.2621379779</v>
      </c>
      <c r="T318" s="22">
        <f t="shared" si="41"/>
        <v>208718.10893485715</v>
      </c>
    </row>
    <row r="319" spans="1:20" x14ac:dyDescent="0.25">
      <c r="A319" s="21">
        <v>318</v>
      </c>
      <c r="B319" s="22">
        <f>CARGAS!$C$40*Equilibrio!A319^2+CARGAS!$D$40*Equilibrio!A319+CARGAS!$E$40</f>
        <v>73.982058612244941</v>
      </c>
      <c r="C319" s="22">
        <f>CARGAS!$C$53*Equilibrio!A319^2+CARGAS!$D$53*Equilibrio!A319+CARGAS!$E$53</f>
        <v>12.330343102040821</v>
      </c>
      <c r="D319">
        <f>IF(posisup=1,IF(A319&lt;=CARGAS!$E$68,sup,0),IF(posisup=2,IF(AND(A319&lt;=CARGAS!$E$69,A319&gt;=CARGAS!$D$69),sup,0),IF(posisup=3,IF(AND(A319&lt;=CARGAS!$E$70,A319&gt;=CARGAS!$D$70),sup,0),0)))</f>
        <v>0</v>
      </c>
      <c r="E319">
        <f>IF(A319&lt;=CARGAS!$H$25,CARGAS!$I$20,0)</f>
        <v>0</v>
      </c>
      <c r="F319" s="22">
        <f>IF(AND(A319&gt;CARGAS!$O$29,A319&lt;=CARGAS!$O$30),tanque1,0)</f>
        <v>0</v>
      </c>
      <c r="G319" s="22">
        <f>IF(AND(A319&gt;CARGAS!$R$29,A319&lt;=CARGAS!$R$30),tanque2,0)</f>
        <v>0</v>
      </c>
      <c r="H319" s="22">
        <f>IF(AND(A319&gt;CARGAS!$U$29,A319&lt;=CARGAS!$U$30),tanque3,0)</f>
        <v>0</v>
      </c>
      <c r="I319" s="22">
        <f>IF(AND(A319&gt;CARGAS!$X$29,A319&lt;=CARGAS!$X$30),tanque4,0)</f>
        <v>0</v>
      </c>
      <c r="J319" s="22">
        <f>IF(AND(A319&gt;CARGAS!$AA$29,A319&lt;=CARGAS!$AA$30),tanque5,0)</f>
        <v>0</v>
      </c>
      <c r="K319" s="22">
        <f>IF(AND($A319&gt;CARGAS!$AD$29,$A319&lt;=CARGAS!$AD$30),tanque6,0)</f>
        <v>0</v>
      </c>
      <c r="L319" s="22">
        <f>IF(AND($A319&gt;CARGAS!$AG$29,$A319&lt;=CARGAS!$AG$30),tanque7,0)</f>
        <v>0</v>
      </c>
      <c r="M319" s="22">
        <f>IF(AND($A319&gt;CARGAS!$AJ$29,$A319&lt;=CARGAS!$AJ$30),tanque8,0)</f>
        <v>571.20000000000005</v>
      </c>
      <c r="N319" s="22">
        <f t="shared" si="36"/>
        <v>657.51240171428583</v>
      </c>
      <c r="O319" s="22">
        <f t="shared" si="37"/>
        <v>28.238127701441236</v>
      </c>
      <c r="P319" s="22">
        <f>O319*Equilibrio!Y$39*Equilibrio!Y$38*DADOS!C$4</f>
        <v>868.32242681931791</v>
      </c>
      <c r="Q319" s="22">
        <f t="shared" si="38"/>
        <v>-210.81002510503208</v>
      </c>
      <c r="R319" s="22">
        <f t="shared" si="39"/>
        <v>8320.094366542402</v>
      </c>
      <c r="S319" s="22">
        <f t="shared" si="40"/>
        <v>-135938.16777143549</v>
      </c>
      <c r="T319" s="22">
        <f t="shared" si="41"/>
        <v>209088.9437451429</v>
      </c>
    </row>
    <row r="320" spans="1:20" x14ac:dyDescent="0.25">
      <c r="A320" s="21">
        <v>319</v>
      </c>
      <c r="B320" s="22">
        <f>CARGAS!$C$40*Equilibrio!A320^2+CARGAS!$D$40*Equilibrio!A320+CARGAS!$E$40</f>
        <v>73.201465469387756</v>
      </c>
      <c r="C320" s="22">
        <f>CARGAS!$C$53*Equilibrio!A320^2+CARGAS!$D$53*Equilibrio!A320+CARGAS!$E$53</f>
        <v>12.200244244897959</v>
      </c>
      <c r="D320">
        <f>IF(posisup=1,IF(A320&lt;=CARGAS!$E$68,sup,0),IF(posisup=2,IF(AND(A320&lt;=CARGAS!$E$69,A320&gt;=CARGAS!$D$69),sup,0),IF(posisup=3,IF(AND(A320&lt;=CARGAS!$E$70,A320&gt;=CARGAS!$D$70),sup,0),0)))</f>
        <v>0</v>
      </c>
      <c r="E320">
        <f>IF(A320&lt;=CARGAS!$H$25,CARGAS!$I$20,0)</f>
        <v>0</v>
      </c>
      <c r="F320" s="22">
        <f>IF(AND(A320&gt;CARGAS!$O$29,A320&lt;=CARGAS!$O$30),tanque1,0)</f>
        <v>0</v>
      </c>
      <c r="G320" s="22">
        <f>IF(AND(A320&gt;CARGAS!$R$29,A320&lt;=CARGAS!$R$30),tanque2,0)</f>
        <v>0</v>
      </c>
      <c r="H320" s="22">
        <f>IF(AND(A320&gt;CARGAS!$U$29,A320&lt;=CARGAS!$U$30),tanque3,0)</f>
        <v>0</v>
      </c>
      <c r="I320" s="22">
        <f>IF(AND(A320&gt;CARGAS!$X$29,A320&lt;=CARGAS!$X$30),tanque4,0)</f>
        <v>0</v>
      </c>
      <c r="J320" s="22">
        <f>IF(AND(A320&gt;CARGAS!$AA$29,A320&lt;=CARGAS!$AA$30),tanque5,0)</f>
        <v>0</v>
      </c>
      <c r="K320" s="22">
        <f>IF(AND($A320&gt;CARGAS!$AD$29,$A320&lt;=CARGAS!$AD$30),tanque6,0)</f>
        <v>0</v>
      </c>
      <c r="L320" s="22">
        <f>IF(AND($A320&gt;CARGAS!$AG$29,$A320&lt;=CARGAS!$AG$30),tanque7,0)</f>
        <v>0</v>
      </c>
      <c r="M320" s="22">
        <f>IF(AND($A320&gt;CARGAS!$AJ$29,$A320&lt;=CARGAS!$AJ$30),tanque8,0)</f>
        <v>571.20000000000005</v>
      </c>
      <c r="N320" s="22">
        <f t="shared" si="36"/>
        <v>656.60170971428579</v>
      </c>
      <c r="O320" s="22">
        <f t="shared" si="37"/>
        <v>28.329752517158784</v>
      </c>
      <c r="P320" s="22">
        <f>O320*Equilibrio!Y$39*Equilibrio!Y$38*DADOS!C$4</f>
        <v>871.13988990263249</v>
      </c>
      <c r="Q320" s="22">
        <f t="shared" si="38"/>
        <v>-214.5381801883467</v>
      </c>
      <c r="R320" s="22">
        <f t="shared" si="39"/>
        <v>8105.5561863540552</v>
      </c>
      <c r="S320" s="22">
        <f t="shared" si="40"/>
        <v>-127832.61158508144</v>
      </c>
      <c r="T320" s="22">
        <f t="shared" si="41"/>
        <v>209455.94539885718</v>
      </c>
    </row>
    <row r="321" spans="1:20" x14ac:dyDescent="0.25">
      <c r="A321" s="21">
        <v>320</v>
      </c>
      <c r="B321" s="22">
        <f>CARGAS!$C$40*Equilibrio!A321^2+CARGAS!$D$40*Equilibrio!A321+CARGAS!$E$40</f>
        <v>72.415432653061259</v>
      </c>
      <c r="C321" s="22">
        <f>CARGAS!$C$53*Equilibrio!A321^2+CARGAS!$D$53*Equilibrio!A321+CARGAS!$E$53</f>
        <v>12.069238775510208</v>
      </c>
      <c r="D321">
        <f>IF(posisup=1,IF(A321&lt;=CARGAS!$E$68,sup,0),IF(posisup=2,IF(AND(A321&lt;=CARGAS!$E$69,A321&gt;=CARGAS!$D$69),sup,0),IF(posisup=3,IF(AND(A321&lt;=CARGAS!$E$70,A321&gt;=CARGAS!$D$70),sup,0),0)))</f>
        <v>0</v>
      </c>
      <c r="E321">
        <f>IF(A321&lt;=CARGAS!$H$25,CARGAS!$I$20,0)</f>
        <v>0</v>
      </c>
      <c r="F321" s="22">
        <f>IF(AND(A321&gt;CARGAS!$O$29,A321&lt;=CARGAS!$O$30),tanque1,0)</f>
        <v>0</v>
      </c>
      <c r="G321" s="22">
        <f>IF(AND(A321&gt;CARGAS!$R$29,A321&lt;=CARGAS!$R$30),tanque2,0)</f>
        <v>0</v>
      </c>
      <c r="H321" s="22">
        <f>IF(AND(A321&gt;CARGAS!$U$29,A321&lt;=CARGAS!$U$30),tanque3,0)</f>
        <v>0</v>
      </c>
      <c r="I321" s="22">
        <f>IF(AND(A321&gt;CARGAS!$X$29,A321&lt;=CARGAS!$X$30),tanque4,0)</f>
        <v>0</v>
      </c>
      <c r="J321" s="22">
        <f>IF(AND(A321&gt;CARGAS!$AA$29,A321&lt;=CARGAS!$AA$30),tanque5,0)</f>
        <v>0</v>
      </c>
      <c r="K321" s="22">
        <f>IF(AND($A321&gt;CARGAS!$AD$29,$A321&lt;=CARGAS!$AD$30),tanque6,0)</f>
        <v>0</v>
      </c>
      <c r="L321" s="22">
        <f>IF(AND($A321&gt;CARGAS!$AG$29,$A321&lt;=CARGAS!$AG$30),tanque7,0)</f>
        <v>0</v>
      </c>
      <c r="M321" s="22">
        <f>IF(AND($A321&gt;CARGAS!$AJ$29,$A321&lt;=CARGAS!$AJ$30),tanque8,0)</f>
        <v>571.20000000000005</v>
      </c>
      <c r="N321" s="22">
        <f t="shared" si="36"/>
        <v>655.68467142857151</v>
      </c>
      <c r="O321" s="22">
        <f t="shared" si="37"/>
        <v>28.418983021512449</v>
      </c>
      <c r="P321" s="22">
        <f>O321*Equilibrio!Y$39*Equilibrio!Y$38*DADOS!C$4</f>
        <v>873.88372791150778</v>
      </c>
      <c r="Q321" s="22">
        <f t="shared" si="38"/>
        <v>-218.19905648293627</v>
      </c>
      <c r="R321" s="22">
        <f t="shared" si="39"/>
        <v>7887.3571298711186</v>
      </c>
      <c r="S321" s="22">
        <f t="shared" si="40"/>
        <v>-119945.25445521032</v>
      </c>
      <c r="T321" s="22">
        <f t="shared" si="41"/>
        <v>209819.09485714289</v>
      </c>
    </row>
    <row r="322" spans="1:20" x14ac:dyDescent="0.25">
      <c r="A322" s="21">
        <v>321</v>
      </c>
      <c r="B322" s="22">
        <f>CARGAS!$C$40*Equilibrio!A322^2+CARGAS!$D$40*Equilibrio!A322+CARGAS!$E$40</f>
        <v>71.623960163265338</v>
      </c>
      <c r="C322" s="22">
        <f>CARGAS!$C$53*Equilibrio!A322^2+CARGAS!$D$53*Equilibrio!A322+CARGAS!$E$53</f>
        <v>11.937326693877552</v>
      </c>
      <c r="D322">
        <f>IF(posisup=1,IF(A322&lt;=CARGAS!$E$68,sup,0),IF(posisup=2,IF(AND(A322&lt;=CARGAS!$E$69,A322&gt;=CARGAS!$D$69),sup,0),IF(posisup=3,IF(AND(A322&lt;=CARGAS!$E$70,A322&gt;=CARGAS!$D$70),sup,0),0)))</f>
        <v>0</v>
      </c>
      <c r="E322">
        <f>IF(A322&lt;=CARGAS!$H$25,CARGAS!$I$20,0)</f>
        <v>0</v>
      </c>
      <c r="F322" s="22">
        <f>IF(AND(A322&gt;CARGAS!$O$29,A322&lt;=CARGAS!$O$30),tanque1,0)</f>
        <v>0</v>
      </c>
      <c r="G322" s="22">
        <f>IF(AND(A322&gt;CARGAS!$R$29,A322&lt;=CARGAS!$R$30),tanque2,0)</f>
        <v>0</v>
      </c>
      <c r="H322" s="22">
        <f>IF(AND(A322&gt;CARGAS!$U$29,A322&lt;=CARGAS!$U$30),tanque3,0)</f>
        <v>0</v>
      </c>
      <c r="I322" s="22">
        <f>IF(AND(A322&gt;CARGAS!$X$29,A322&lt;=CARGAS!$X$30),tanque4,0)</f>
        <v>0</v>
      </c>
      <c r="J322" s="22">
        <f>IF(AND(A322&gt;CARGAS!$AA$29,A322&lt;=CARGAS!$AA$30),tanque5,0)</f>
        <v>0</v>
      </c>
      <c r="K322" s="22">
        <f>IF(AND($A322&gt;CARGAS!$AD$29,$A322&lt;=CARGAS!$AD$30),tanque6,0)</f>
        <v>0</v>
      </c>
      <c r="L322" s="22">
        <f>IF(AND($A322&gt;CARGAS!$AG$29,$A322&lt;=CARGAS!$AG$30),tanque7,0)</f>
        <v>0</v>
      </c>
      <c r="M322" s="22">
        <f>IF(AND($A322&gt;CARGAS!$AJ$29,$A322&lt;=CARGAS!$AJ$30),tanque8,0)</f>
        <v>571.20000000000005</v>
      </c>
      <c r="N322" s="22">
        <f t="shared" si="36"/>
        <v>654.76128685714298</v>
      </c>
      <c r="O322" s="22">
        <f t="shared" si="37"/>
        <v>28.505792862307672</v>
      </c>
      <c r="P322" s="22">
        <f>O322*Equilibrio!Y$39*Equilibrio!Y$38*DADOS!C$4</f>
        <v>876.55313051596079</v>
      </c>
      <c r="Q322" s="22">
        <f t="shared" si="38"/>
        <v>-221.79184365881781</v>
      </c>
      <c r="R322" s="22">
        <f t="shared" si="39"/>
        <v>7665.5652862123006</v>
      </c>
      <c r="S322" s="22">
        <f t="shared" si="40"/>
        <v>-112279.68916899803</v>
      </c>
      <c r="T322" s="22">
        <f t="shared" si="41"/>
        <v>210178.3730811429</v>
      </c>
    </row>
    <row r="323" spans="1:20" x14ac:dyDescent="0.25">
      <c r="A323" s="21">
        <v>322</v>
      </c>
      <c r="B323" s="22">
        <f>CARGAS!$C$40*Equilibrio!A323^2+CARGAS!$D$40*Equilibrio!A323+CARGAS!$E$40</f>
        <v>70.827047999999991</v>
      </c>
      <c r="C323" s="22">
        <f>CARGAS!$C$53*Equilibrio!A323^2+CARGAS!$D$53*Equilibrio!A323+CARGAS!$E$53</f>
        <v>11.804508000000006</v>
      </c>
      <c r="D323">
        <f>IF(posisup=1,IF(A323&lt;=CARGAS!$E$68,sup,0),IF(posisup=2,IF(AND(A323&lt;=CARGAS!$E$69,A323&gt;=CARGAS!$D$69),sup,0),IF(posisup=3,IF(AND(A323&lt;=CARGAS!$E$70,A323&gt;=CARGAS!$D$70),sup,0),0)))</f>
        <v>0</v>
      </c>
      <c r="E323">
        <f>IF(A323&lt;=CARGAS!$H$25,CARGAS!$I$20,0)</f>
        <v>0</v>
      </c>
      <c r="F323" s="22">
        <f>IF(AND(A323&gt;CARGAS!$O$29,A323&lt;=CARGAS!$O$30),tanque1,0)</f>
        <v>0</v>
      </c>
      <c r="G323" s="22">
        <f>IF(AND(A323&gt;CARGAS!$R$29,A323&lt;=CARGAS!$R$30),tanque2,0)</f>
        <v>0</v>
      </c>
      <c r="H323" s="22">
        <f>IF(AND(A323&gt;CARGAS!$U$29,A323&lt;=CARGAS!$U$30),tanque3,0)</f>
        <v>0</v>
      </c>
      <c r="I323" s="22">
        <f>IF(AND(A323&gt;CARGAS!$X$29,A323&lt;=CARGAS!$X$30),tanque4,0)</f>
        <v>0</v>
      </c>
      <c r="J323" s="22">
        <f>IF(AND(A323&gt;CARGAS!$AA$29,A323&lt;=CARGAS!$AA$30),tanque5,0)</f>
        <v>0</v>
      </c>
      <c r="K323" s="22">
        <f>IF(AND($A323&gt;CARGAS!$AD$29,$A323&lt;=CARGAS!$AD$30),tanque6,0)</f>
        <v>0</v>
      </c>
      <c r="L323" s="22">
        <f>IF(AND($A323&gt;CARGAS!$AG$29,$A323&lt;=CARGAS!$AG$30),tanque7,0)</f>
        <v>0</v>
      </c>
      <c r="M323" s="22">
        <f>IF(AND($A323&gt;CARGAS!$AJ$29,$A323&lt;=CARGAS!$AJ$30),tanque8,0)</f>
        <v>571.20000000000005</v>
      </c>
      <c r="N323" s="22">
        <f t="shared" si="36"/>
        <v>653.83155600000009</v>
      </c>
      <c r="O323" s="22">
        <f t="shared" si="37"/>
        <v>28.590156467442981</v>
      </c>
      <c r="P323" s="22">
        <f>O323*Equilibrio!Y$39*Equilibrio!Y$38*DADOS!C$4</f>
        <v>879.1473113738715</v>
      </c>
      <c r="Q323" s="22">
        <f t="shared" si="38"/>
        <v>-225.31575537387141</v>
      </c>
      <c r="R323" s="22">
        <f t="shared" si="39"/>
        <v>7440.2495308384296</v>
      </c>
      <c r="S323" s="22">
        <f t="shared" si="40"/>
        <v>-104839.4396381596</v>
      </c>
      <c r="T323" s="22">
        <f t="shared" si="41"/>
        <v>210533.76103200004</v>
      </c>
    </row>
    <row r="324" spans="1:20" x14ac:dyDescent="0.25">
      <c r="A324" s="21">
        <v>323</v>
      </c>
      <c r="B324" s="22">
        <f>CARGAS!$C$40*Equilibrio!A324^2+CARGAS!$D$40*Equilibrio!A324+CARGAS!$E$40</f>
        <v>70.024696163265389</v>
      </c>
      <c r="C324" s="22">
        <f>CARGAS!$C$53*Equilibrio!A324^2+CARGAS!$D$53*Equilibrio!A324+CARGAS!$E$53</f>
        <v>11.670782693877555</v>
      </c>
      <c r="D324">
        <f>IF(posisup=1,IF(A324&lt;=CARGAS!$E$68,sup,0),IF(posisup=2,IF(AND(A324&lt;=CARGAS!$E$69,A324&gt;=CARGAS!$D$69),sup,0),IF(posisup=3,IF(AND(A324&lt;=CARGAS!$E$70,A324&gt;=CARGAS!$D$70),sup,0),0)))</f>
        <v>0</v>
      </c>
      <c r="E324">
        <f>IF(A324&lt;=CARGAS!$H$25,CARGAS!$I$20,0)</f>
        <v>0</v>
      </c>
      <c r="F324" s="22">
        <f>IF(AND(A324&gt;CARGAS!$O$29,A324&lt;=CARGAS!$O$30),tanque1,0)</f>
        <v>0</v>
      </c>
      <c r="G324" s="22">
        <f>IF(AND(A324&gt;CARGAS!$R$29,A324&lt;=CARGAS!$R$30),tanque2,0)</f>
        <v>0</v>
      </c>
      <c r="H324" s="22">
        <f>IF(AND(A324&gt;CARGAS!$U$29,A324&lt;=CARGAS!$U$30),tanque3,0)</f>
        <v>0</v>
      </c>
      <c r="I324" s="22">
        <f>IF(AND(A324&gt;CARGAS!$X$29,A324&lt;=CARGAS!$X$30),tanque4,0)</f>
        <v>0</v>
      </c>
      <c r="J324" s="22">
        <f>IF(AND(A324&gt;CARGAS!$AA$29,A324&lt;=CARGAS!$AA$30),tanque5,0)</f>
        <v>0</v>
      </c>
      <c r="K324" s="22">
        <f>IF(AND($A324&gt;CARGAS!$AD$29,$A324&lt;=CARGAS!$AD$30),tanque6,0)</f>
        <v>0</v>
      </c>
      <c r="L324" s="22">
        <f>IF(AND($A324&gt;CARGAS!$AG$29,$A324&lt;=CARGAS!$AG$30),tanque7,0)</f>
        <v>0</v>
      </c>
      <c r="M324" s="22">
        <f>IF(AND($A324&gt;CARGAS!$AJ$29,$A324&lt;=CARGAS!$AJ$30),tanque8,0)</f>
        <v>571.20000000000005</v>
      </c>
      <c r="N324" s="22">
        <f t="shared" si="36"/>
        <v>652.89547885714296</v>
      </c>
      <c r="O324" s="22">
        <f t="shared" si="37"/>
        <v>28.672049053150914</v>
      </c>
      <c r="P324" s="22">
        <f>O324*Equilibrio!Y$39*Equilibrio!Y$38*DADOS!C$4</f>
        <v>881.66550838439048</v>
      </c>
      <c r="Q324" s="22">
        <f t="shared" si="38"/>
        <v>-228.77002952724752</v>
      </c>
      <c r="R324" s="22">
        <f t="shared" si="39"/>
        <v>7211.4795013111816</v>
      </c>
      <c r="S324" s="22">
        <f t="shared" si="40"/>
        <v>-97627.960136848415</v>
      </c>
      <c r="T324" s="22">
        <f t="shared" si="41"/>
        <v>210885.23967085718</v>
      </c>
    </row>
    <row r="325" spans="1:20" x14ac:dyDescent="0.25">
      <c r="A325" s="21">
        <v>324</v>
      </c>
      <c r="B325" s="22">
        <f>CARGAS!$C$40*Equilibrio!A325^2+CARGAS!$D$40*Equilibrio!A325+CARGAS!$E$40</f>
        <v>69.216904653061306</v>
      </c>
      <c r="C325" s="22">
        <f>CARGAS!$C$53*Equilibrio!A325^2+CARGAS!$D$53*Equilibrio!A325+CARGAS!$E$53</f>
        <v>11.536150775510208</v>
      </c>
      <c r="D325">
        <f>IF(posisup=1,IF(A325&lt;=CARGAS!$E$68,sup,0),IF(posisup=2,IF(AND(A325&lt;=CARGAS!$E$69,A325&gt;=CARGAS!$D$69),sup,0),IF(posisup=3,IF(AND(A325&lt;=CARGAS!$E$70,A325&gt;=CARGAS!$D$70),sup,0),0)))</f>
        <v>0</v>
      </c>
      <c r="E325">
        <f>IF(A325&lt;=CARGAS!$H$25,CARGAS!$I$20,0)</f>
        <v>0</v>
      </c>
      <c r="F325" s="22">
        <f>IF(AND(A325&gt;CARGAS!$O$29,A325&lt;=CARGAS!$O$30),tanque1,0)</f>
        <v>0</v>
      </c>
      <c r="G325" s="22">
        <f>IF(AND(A325&gt;CARGAS!$R$29,A325&lt;=CARGAS!$R$30),tanque2,0)</f>
        <v>0</v>
      </c>
      <c r="H325" s="22">
        <f>IF(AND(A325&gt;CARGAS!$U$29,A325&lt;=CARGAS!$U$30),tanque3,0)</f>
        <v>0</v>
      </c>
      <c r="I325" s="22">
        <f>IF(AND(A325&gt;CARGAS!$X$29,A325&lt;=CARGAS!$X$30),tanque4,0)</f>
        <v>0</v>
      </c>
      <c r="J325" s="22">
        <f>IF(AND(A325&gt;CARGAS!$AA$29,A325&lt;=CARGAS!$AA$30),tanque5,0)</f>
        <v>0</v>
      </c>
      <c r="K325" s="22">
        <f>IF(AND($A325&gt;CARGAS!$AD$29,$A325&lt;=CARGAS!$AD$30),tanque6,0)</f>
        <v>0</v>
      </c>
      <c r="L325" s="22">
        <f>IF(AND($A325&gt;CARGAS!$AG$29,$A325&lt;=CARGAS!$AG$30),tanque7,0)</f>
        <v>0</v>
      </c>
      <c r="M325" s="22">
        <f>IF(AND($A325&gt;CARGAS!$AJ$29,$A325&lt;=CARGAS!$AJ$30),tanque8,0)</f>
        <v>571.20000000000005</v>
      </c>
      <c r="N325" s="22">
        <f t="shared" si="36"/>
        <v>651.95305542857159</v>
      </c>
      <c r="O325" s="22">
        <f t="shared" si="37"/>
        <v>28.75144663198498</v>
      </c>
      <c r="P325" s="22">
        <f>O325*Equilibrio!Y$39*Equilibrio!Y$38*DADOS!C$4</f>
        <v>884.106983933538</v>
      </c>
      <c r="Q325" s="22">
        <f t="shared" si="38"/>
        <v>-232.15392850496642</v>
      </c>
      <c r="R325" s="22">
        <f t="shared" si="39"/>
        <v>6979.325572806215</v>
      </c>
      <c r="S325" s="22">
        <f t="shared" si="40"/>
        <v>-90648.634564042193</v>
      </c>
      <c r="T325" s="22">
        <f t="shared" si="41"/>
        <v>211232.7899588572</v>
      </c>
    </row>
    <row r="326" spans="1:20" x14ac:dyDescent="0.25">
      <c r="A326" s="21">
        <v>325</v>
      </c>
      <c r="B326" s="22">
        <f>CARGAS!$C$40*Equilibrio!A326^2+CARGAS!$D$40*Equilibrio!A326+CARGAS!$E$40</f>
        <v>68.403673469387797</v>
      </c>
      <c r="C326" s="22">
        <f>CARGAS!$C$53*Equilibrio!A326^2+CARGAS!$D$53*Equilibrio!A326+CARGAS!$E$53</f>
        <v>11.400612244897964</v>
      </c>
      <c r="D326">
        <f>IF(posisup=1,IF(A326&lt;=CARGAS!$E$68,sup,0),IF(posisup=2,IF(AND(A326&lt;=CARGAS!$E$69,A326&gt;=CARGAS!$D$69),sup,0),IF(posisup=3,IF(AND(A326&lt;=CARGAS!$E$70,A326&gt;=CARGAS!$D$70),sup,0),0)))</f>
        <v>0</v>
      </c>
      <c r="E326">
        <f>IF(A326&lt;=CARGAS!$H$25,CARGAS!$I$20,0)</f>
        <v>0</v>
      </c>
      <c r="F326" s="22">
        <f>IF(AND(A326&gt;CARGAS!$O$29,A326&lt;=CARGAS!$O$30),tanque1,0)</f>
        <v>0</v>
      </c>
      <c r="G326" s="22">
        <f>IF(AND(A326&gt;CARGAS!$R$29,A326&lt;=CARGAS!$R$30),tanque2,0)</f>
        <v>0</v>
      </c>
      <c r="H326" s="22">
        <f>IF(AND(A326&gt;CARGAS!$U$29,A326&lt;=CARGAS!$U$30),tanque3,0)</f>
        <v>0</v>
      </c>
      <c r="I326" s="22">
        <f>IF(AND(A326&gt;CARGAS!$X$29,A326&lt;=CARGAS!$X$30),tanque4,0)</f>
        <v>0</v>
      </c>
      <c r="J326" s="22">
        <f>IF(AND(A326&gt;CARGAS!$AA$29,A326&lt;=CARGAS!$AA$30),tanque5,0)</f>
        <v>0</v>
      </c>
      <c r="K326" s="22">
        <f>IF(AND($A326&gt;CARGAS!$AD$29,$A326&lt;=CARGAS!$AD$30),tanque6,0)</f>
        <v>0</v>
      </c>
      <c r="L326" s="22">
        <f>IF(AND($A326&gt;CARGAS!$AG$29,$A326&lt;=CARGAS!$AG$30),tanque7,0)</f>
        <v>0</v>
      </c>
      <c r="M326" s="22">
        <f>IF(AND($A326&gt;CARGAS!$AJ$29,$A326&lt;=CARGAS!$AJ$30),tanque8,0)</f>
        <v>571.20000000000005</v>
      </c>
      <c r="N326" s="22">
        <f t="shared" si="36"/>
        <v>651.00428571428574</v>
      </c>
      <c r="O326" s="22">
        <f t="shared" si="37"/>
        <v>28.82832602054993</v>
      </c>
      <c r="P326" s="22">
        <f>O326*Equilibrio!Y$39*Equilibrio!Y$38*DADOS!C$4</f>
        <v>886.47102513191032</v>
      </c>
      <c r="Q326" s="22">
        <f t="shared" si="38"/>
        <v>-235.46673941762458</v>
      </c>
      <c r="R326" s="22">
        <f t="shared" si="39"/>
        <v>6743.85883338859</v>
      </c>
      <c r="S326" s="22">
        <f t="shared" si="40"/>
        <v>-83904.775730653608</v>
      </c>
      <c r="T326" s="22">
        <f t="shared" si="41"/>
        <v>211576.39285714287</v>
      </c>
    </row>
    <row r="327" spans="1:20" x14ac:dyDescent="0.25">
      <c r="A327" s="21">
        <v>326</v>
      </c>
      <c r="B327" s="22">
        <f>CARGAS!$C$40*Equilibrio!A327^2+CARGAS!$D$40*Equilibrio!A327+CARGAS!$E$40</f>
        <v>67.585002612244978</v>
      </c>
      <c r="C327" s="22">
        <f>CARGAS!$C$53*Equilibrio!A327^2+CARGAS!$D$53*Equilibrio!A327+CARGAS!$E$53</f>
        <v>11.264167102040822</v>
      </c>
      <c r="D327">
        <f>IF(posisup=1,IF(A327&lt;=CARGAS!$E$68,sup,0),IF(posisup=2,IF(AND(A327&lt;=CARGAS!$E$69,A327&gt;=CARGAS!$D$69),sup,0),IF(posisup=3,IF(AND(A327&lt;=CARGAS!$E$70,A327&gt;=CARGAS!$D$70),sup,0),0)))</f>
        <v>0</v>
      </c>
      <c r="E327">
        <f>IF(A327&lt;=CARGAS!$H$25,CARGAS!$I$20,0)</f>
        <v>0</v>
      </c>
      <c r="F327" s="22">
        <f>IF(AND(A327&gt;CARGAS!$O$29,A327&lt;=CARGAS!$O$30),tanque1,0)</f>
        <v>0</v>
      </c>
      <c r="G327" s="22">
        <f>IF(AND(A327&gt;CARGAS!$R$29,A327&lt;=CARGAS!$R$30),tanque2,0)</f>
        <v>0</v>
      </c>
      <c r="H327" s="22">
        <f>IF(AND(A327&gt;CARGAS!$U$29,A327&lt;=CARGAS!$U$30),tanque3,0)</f>
        <v>0</v>
      </c>
      <c r="I327" s="22">
        <f>IF(AND(A327&gt;CARGAS!$X$29,A327&lt;=CARGAS!$X$30),tanque4,0)</f>
        <v>0</v>
      </c>
      <c r="J327" s="22">
        <f>IF(AND(A327&gt;CARGAS!$AA$29,A327&lt;=CARGAS!$AA$30),tanque5,0)</f>
        <v>0</v>
      </c>
      <c r="K327" s="22">
        <f>IF(AND($A327&gt;CARGAS!$AD$29,$A327&lt;=CARGAS!$AD$30),tanque6,0)</f>
        <v>0</v>
      </c>
      <c r="L327" s="22">
        <f>IF(AND($A327&gt;CARGAS!$AG$29,$A327&lt;=CARGAS!$AG$30),tanque7,0)</f>
        <v>0</v>
      </c>
      <c r="M327" s="22">
        <f>IF(AND($A327&gt;CARGAS!$AJ$29,$A327&lt;=CARGAS!$AJ$30),tanque8,0)</f>
        <v>571.20000000000005</v>
      </c>
      <c r="N327" s="22">
        <f t="shared" si="36"/>
        <v>650.04916971428588</v>
      </c>
      <c r="O327" s="22">
        <f t="shared" si="37"/>
        <v>28.902664846972936</v>
      </c>
      <c r="P327" s="22">
        <f>O327*Equilibrio!Y$39*Equilibrio!Y$38*DADOS!C$4</f>
        <v>888.75694404441765</v>
      </c>
      <c r="Q327" s="22">
        <f t="shared" si="38"/>
        <v>-238.70777433013177</v>
      </c>
      <c r="R327" s="22">
        <f t="shared" si="39"/>
        <v>6505.1510590584585</v>
      </c>
      <c r="S327" s="22">
        <f t="shared" si="40"/>
        <v>-77399.624671595142</v>
      </c>
      <c r="T327" s="22">
        <f t="shared" si="41"/>
        <v>211916.02932685718</v>
      </c>
    </row>
    <row r="328" spans="1:20" x14ac:dyDescent="0.25">
      <c r="A328" s="21">
        <v>327</v>
      </c>
      <c r="B328" s="22">
        <f>CARGAS!$C$40*Equilibrio!A328^2+CARGAS!$D$40*Equilibrio!A328+CARGAS!$E$40</f>
        <v>66.760892081632733</v>
      </c>
      <c r="C328" s="22">
        <f>CARGAS!$C$53*Equilibrio!A328^2+CARGAS!$D$53*Equilibrio!A328+CARGAS!$E$53</f>
        <v>11.126815346938784</v>
      </c>
      <c r="D328">
        <f>IF(posisup=1,IF(A328&lt;=CARGAS!$E$68,sup,0),IF(posisup=2,IF(AND(A328&lt;=CARGAS!$E$69,A328&gt;=CARGAS!$D$69),sup,0),IF(posisup=3,IF(AND(A328&lt;=CARGAS!$E$70,A328&gt;=CARGAS!$D$70),sup,0),0)))</f>
        <v>0</v>
      </c>
      <c r="E328">
        <f>IF(A328&lt;=CARGAS!$H$25,CARGAS!$I$20,0)</f>
        <v>0</v>
      </c>
      <c r="F328" s="22">
        <f>IF(AND(A328&gt;CARGAS!$O$29,A328&lt;=CARGAS!$O$30),tanque1,0)</f>
        <v>0</v>
      </c>
      <c r="G328" s="22">
        <f>IF(AND(A328&gt;CARGAS!$R$29,A328&lt;=CARGAS!$R$30),tanque2,0)</f>
        <v>0</v>
      </c>
      <c r="H328" s="22">
        <f>IF(AND(A328&gt;CARGAS!$U$29,A328&lt;=CARGAS!$U$30),tanque3,0)</f>
        <v>0</v>
      </c>
      <c r="I328" s="22">
        <f>IF(AND(A328&gt;CARGAS!$X$29,A328&lt;=CARGAS!$X$30),tanque4,0)</f>
        <v>0</v>
      </c>
      <c r="J328" s="22">
        <f>IF(AND(A328&gt;CARGAS!$AA$29,A328&lt;=CARGAS!$AA$30),tanque5,0)</f>
        <v>0</v>
      </c>
      <c r="K328" s="22">
        <f>IF(AND($A328&gt;CARGAS!$AD$29,$A328&lt;=CARGAS!$AD$30),tanque6,0)</f>
        <v>0</v>
      </c>
      <c r="L328" s="22">
        <f>IF(AND($A328&gt;CARGAS!$AG$29,$A328&lt;=CARGAS!$AG$30),tanque7,0)</f>
        <v>0</v>
      </c>
      <c r="M328" s="22">
        <f>IF(AND($A328&gt;CARGAS!$AJ$29,$A328&lt;=CARGAS!$AJ$30),tanque8,0)</f>
        <v>571.20000000000005</v>
      </c>
      <c r="N328" s="22">
        <f t="shared" si="36"/>
        <v>649.08770742857155</v>
      </c>
      <c r="O328" s="22">
        <f t="shared" si="37"/>
        <v>28.974441558113273</v>
      </c>
      <c r="P328" s="22">
        <f>O328*Equilibrio!Y$39*Equilibrio!Y$38*DADOS!C$4</f>
        <v>890.96407791198305</v>
      </c>
      <c r="Q328" s="22">
        <f t="shared" si="38"/>
        <v>-241.87637048341151</v>
      </c>
      <c r="R328" s="22">
        <f t="shared" si="39"/>
        <v>6263.2746885750466</v>
      </c>
      <c r="S328" s="22">
        <f t="shared" si="40"/>
        <v>-71136.349983020089</v>
      </c>
      <c r="T328" s="22">
        <f t="shared" si="41"/>
        <v>212251.6803291429</v>
      </c>
    </row>
    <row r="329" spans="1:20" x14ac:dyDescent="0.25">
      <c r="A329" s="21">
        <v>328</v>
      </c>
      <c r="B329" s="22">
        <f>CARGAS!$C$40*Equilibrio!A329^2+CARGAS!$D$40*Equilibrio!A329+CARGAS!$E$40</f>
        <v>65.931341877551063</v>
      </c>
      <c r="C329" s="22">
        <f>CARGAS!$C$53*Equilibrio!A329^2+CARGAS!$D$53*Equilibrio!A329+CARGAS!$E$53</f>
        <v>10.988556979591841</v>
      </c>
      <c r="D329">
        <f>IF(posisup=1,IF(A329&lt;=CARGAS!$E$68,sup,0),IF(posisup=2,IF(AND(A329&lt;=CARGAS!$E$69,A329&gt;=CARGAS!$D$69),sup,0),IF(posisup=3,IF(AND(A329&lt;=CARGAS!$E$70,A329&gt;=CARGAS!$D$70),sup,0),0)))</f>
        <v>0</v>
      </c>
      <c r="E329">
        <f>IF(A329&lt;=CARGAS!$H$25,CARGAS!$I$20,0)</f>
        <v>0</v>
      </c>
      <c r="F329" s="22">
        <f>IF(AND(A329&gt;CARGAS!$O$29,A329&lt;=CARGAS!$O$30),tanque1,0)</f>
        <v>0</v>
      </c>
      <c r="G329" s="22">
        <f>IF(AND(A329&gt;CARGAS!$R$29,A329&lt;=CARGAS!$R$30),tanque2,0)</f>
        <v>0</v>
      </c>
      <c r="H329" s="22">
        <f>IF(AND(A329&gt;CARGAS!$U$29,A329&lt;=CARGAS!$U$30),tanque3,0)</f>
        <v>0</v>
      </c>
      <c r="I329" s="22">
        <f>IF(AND(A329&gt;CARGAS!$X$29,A329&lt;=CARGAS!$X$30),tanque4,0)</f>
        <v>0</v>
      </c>
      <c r="J329" s="22">
        <f>IF(AND(A329&gt;CARGAS!$AA$29,A329&lt;=CARGAS!$AA$30),tanque5,0)</f>
        <v>0</v>
      </c>
      <c r="K329" s="22">
        <f>IF(AND($A329&gt;CARGAS!$AD$29,$A329&lt;=CARGAS!$AD$30),tanque6,0)</f>
        <v>0</v>
      </c>
      <c r="L329" s="22">
        <f>IF(AND($A329&gt;CARGAS!$AG$29,$A329&lt;=CARGAS!$AG$30),tanque7,0)</f>
        <v>0</v>
      </c>
      <c r="M329" s="22">
        <f>IF(AND($A329&gt;CARGAS!$AJ$29,$A329&lt;=CARGAS!$AJ$30),tanque8,0)</f>
        <v>571.20000000000005</v>
      </c>
      <c r="N329" s="22">
        <f t="shared" si="36"/>
        <v>648.11989885714297</v>
      </c>
      <c r="O329" s="22">
        <f t="shared" si="37"/>
        <v>29.043635426508068</v>
      </c>
      <c r="P329" s="22">
        <f>O329*Equilibrio!Y$39*Equilibrio!Y$38*DADOS!C$4</f>
        <v>893.09178936512308</v>
      </c>
      <c r="Q329" s="22">
        <f t="shared" si="38"/>
        <v>-244.97189050798011</v>
      </c>
      <c r="R329" s="22">
        <f t="shared" si="39"/>
        <v>6018.3027980670668</v>
      </c>
      <c r="S329" s="22">
        <f t="shared" si="40"/>
        <v>-65118.047184953022</v>
      </c>
      <c r="T329" s="22">
        <f t="shared" si="41"/>
        <v>212583.3268251429</v>
      </c>
    </row>
    <row r="330" spans="1:20" x14ac:dyDescent="0.25">
      <c r="A330" s="21">
        <v>329</v>
      </c>
      <c r="B330" s="22">
        <f>CARGAS!$C$40*Equilibrio!A330^2+CARGAS!$D$40*Equilibrio!A330+CARGAS!$E$40</f>
        <v>65.096352000000024</v>
      </c>
      <c r="C330" s="22">
        <f>CARGAS!$C$53*Equilibrio!A330^2+CARGAS!$D$53*Equilibrio!A330+CARGAS!$E$53</f>
        <v>10.849392000000002</v>
      </c>
      <c r="D330">
        <f>IF(posisup=1,IF(A330&lt;=CARGAS!$E$68,sup,0),IF(posisup=2,IF(AND(A330&lt;=CARGAS!$E$69,A330&gt;=CARGAS!$D$69),sup,0),IF(posisup=3,IF(AND(A330&lt;=CARGAS!$E$70,A330&gt;=CARGAS!$D$70),sup,0),0)))</f>
        <v>0</v>
      </c>
      <c r="E330">
        <f>IF(A330&lt;=CARGAS!$H$25,CARGAS!$I$20,0)</f>
        <v>0</v>
      </c>
      <c r="F330" s="22">
        <f>IF(AND(A330&gt;CARGAS!$O$29,A330&lt;=CARGAS!$O$30),tanque1,0)</f>
        <v>0</v>
      </c>
      <c r="G330" s="22">
        <f>IF(AND(A330&gt;CARGAS!$R$29,A330&lt;=CARGAS!$R$30),tanque2,0)</f>
        <v>0</v>
      </c>
      <c r="H330" s="22">
        <f>IF(AND(A330&gt;CARGAS!$U$29,A330&lt;=CARGAS!$U$30),tanque3,0)</f>
        <v>0</v>
      </c>
      <c r="I330" s="22">
        <f>IF(AND(A330&gt;CARGAS!$X$29,A330&lt;=CARGAS!$X$30),tanque4,0)</f>
        <v>0</v>
      </c>
      <c r="J330" s="22">
        <f>IF(AND(A330&gt;CARGAS!$AA$29,A330&lt;=CARGAS!$AA$30),tanque5,0)</f>
        <v>0</v>
      </c>
      <c r="K330" s="22">
        <f>IF(AND($A330&gt;CARGAS!$AD$29,$A330&lt;=CARGAS!$AD$30),tanque6,0)</f>
        <v>0</v>
      </c>
      <c r="L330" s="22">
        <f>IF(AND($A330&gt;CARGAS!$AG$29,$A330&lt;=CARGAS!$AG$30),tanque7,0)</f>
        <v>0</v>
      </c>
      <c r="M330" s="22">
        <f>IF(AND($A330&gt;CARGAS!$AJ$29,$A330&lt;=CARGAS!$AJ$30),tanque8,0)</f>
        <v>571.20000000000005</v>
      </c>
      <c r="N330" s="22">
        <f t="shared" si="36"/>
        <v>647.14574400000004</v>
      </c>
      <c r="O330" s="22">
        <f t="shared" si="37"/>
        <v>29.110226557052073</v>
      </c>
      <c r="P330" s="22">
        <f>O330*Equilibrio!Y$39*Equilibrio!Y$38*DADOS!C$4</f>
        <v>895.1394666293512</v>
      </c>
      <c r="Q330" s="22">
        <f t="shared" si="38"/>
        <v>-247.99372262935117</v>
      </c>
      <c r="R330" s="22">
        <f t="shared" si="39"/>
        <v>5770.3090754377154</v>
      </c>
      <c r="S330" s="22">
        <f t="shared" si="40"/>
        <v>-59347.73810951531</v>
      </c>
      <c r="T330" s="22">
        <f t="shared" si="41"/>
        <v>212910.94977600002</v>
      </c>
    </row>
    <row r="331" spans="1:20" x14ac:dyDescent="0.25">
      <c r="A331" s="21">
        <v>330</v>
      </c>
      <c r="B331" s="22">
        <f>CARGAS!$C$40*Equilibrio!A331^2+CARGAS!$D$40*Equilibrio!A331+CARGAS!$E$40</f>
        <v>64.255922448979618</v>
      </c>
      <c r="C331" s="22">
        <f>CARGAS!$C$53*Equilibrio!A331^2+CARGAS!$D$53*Equilibrio!A331+CARGAS!$E$53</f>
        <v>10.709320408163272</v>
      </c>
      <c r="D331">
        <f>IF(posisup=1,IF(A331&lt;=CARGAS!$E$68,sup,0),IF(posisup=2,IF(AND(A331&lt;=CARGAS!$E$69,A331&gt;=CARGAS!$D$69),sup,0),IF(posisup=3,IF(AND(A331&lt;=CARGAS!$E$70,A331&gt;=CARGAS!$D$70),sup,0),0)))</f>
        <v>0</v>
      </c>
      <c r="E331">
        <f>IF(A331&lt;=CARGAS!$H$25,CARGAS!$I$20,0)</f>
        <v>0</v>
      </c>
      <c r="F331" s="22">
        <f>IF(AND(A331&gt;CARGAS!$O$29,A331&lt;=CARGAS!$O$30),tanque1,0)</f>
        <v>0</v>
      </c>
      <c r="G331" s="22">
        <f>IF(AND(A331&gt;CARGAS!$R$29,A331&lt;=CARGAS!$R$30),tanque2,0)</f>
        <v>0</v>
      </c>
      <c r="H331" s="22">
        <f>IF(AND(A331&gt;CARGAS!$U$29,A331&lt;=CARGAS!$U$30),tanque3,0)</f>
        <v>0</v>
      </c>
      <c r="I331" s="22">
        <f>IF(AND(A331&gt;CARGAS!$X$29,A331&lt;=CARGAS!$X$30),tanque4,0)</f>
        <v>0</v>
      </c>
      <c r="J331" s="22">
        <f>IF(AND(A331&gt;CARGAS!$AA$29,A331&lt;=CARGAS!$AA$30),tanque5,0)</f>
        <v>0</v>
      </c>
      <c r="K331" s="22">
        <f>IF(AND($A331&gt;CARGAS!$AD$29,$A331&lt;=CARGAS!$AD$30),tanque6,0)</f>
        <v>0</v>
      </c>
      <c r="L331" s="22">
        <f>IF(AND($A331&gt;CARGAS!$AG$29,$A331&lt;=CARGAS!$AG$30),tanque7,0)</f>
        <v>0</v>
      </c>
      <c r="M331" s="22">
        <f>IF(AND($A331&gt;CARGAS!$AJ$29,$A331&lt;=CARGAS!$AJ$30),tanque8,0)</f>
        <v>571.20000000000005</v>
      </c>
      <c r="N331" s="22">
        <f t="shared" si="36"/>
        <v>646.16524285714297</v>
      </c>
      <c r="O331" s="22">
        <f t="shared" si="37"/>
        <v>29.174195893409095</v>
      </c>
      <c r="P331" s="22">
        <f>O331*Equilibrio!Y$39*Equilibrio!Y$38*DADOS!C$4</f>
        <v>897.1065237223296</v>
      </c>
      <c r="Q331" s="22">
        <f t="shared" si="38"/>
        <v>-250.94128086518663</v>
      </c>
      <c r="R331" s="22">
        <f t="shared" si="39"/>
        <v>5519.3677945725285</v>
      </c>
      <c r="S331" s="22">
        <f t="shared" si="40"/>
        <v>-53828.370314942782</v>
      </c>
      <c r="T331" s="22">
        <f t="shared" si="41"/>
        <v>213234.53014285717</v>
      </c>
    </row>
    <row r="332" spans="1:20" x14ac:dyDescent="0.25">
      <c r="A332" s="21">
        <v>331</v>
      </c>
      <c r="B332" s="22">
        <f>CARGAS!$C$40*Equilibrio!A332^2+CARGAS!$D$40*Equilibrio!A332+CARGAS!$E$40</f>
        <v>63.410053224489843</v>
      </c>
      <c r="C332" s="22">
        <f>CARGAS!$C$53*Equilibrio!A332^2+CARGAS!$D$53*Equilibrio!A332+CARGAS!$E$53</f>
        <v>10.568342204081638</v>
      </c>
      <c r="D332">
        <f>IF(posisup=1,IF(A332&lt;=CARGAS!$E$68,sup,0),IF(posisup=2,IF(AND(A332&lt;=CARGAS!$E$69,A332&gt;=CARGAS!$D$69),sup,0),IF(posisup=3,IF(AND(A332&lt;=CARGAS!$E$70,A332&gt;=CARGAS!$D$70),sup,0),0)))</f>
        <v>0</v>
      </c>
      <c r="E332">
        <f>IF(A332&lt;=CARGAS!$H$25,CARGAS!$I$20,0)</f>
        <v>0</v>
      </c>
      <c r="F332" s="22">
        <f>IF(AND(A332&gt;CARGAS!$O$29,A332&lt;=CARGAS!$O$30),tanque1,0)</f>
        <v>0</v>
      </c>
      <c r="G332" s="22">
        <f>IF(AND(A332&gt;CARGAS!$R$29,A332&lt;=CARGAS!$R$30),tanque2,0)</f>
        <v>0</v>
      </c>
      <c r="H332" s="22">
        <f>IF(AND(A332&gt;CARGAS!$U$29,A332&lt;=CARGAS!$U$30),tanque3,0)</f>
        <v>0</v>
      </c>
      <c r="I332" s="22">
        <f>IF(AND(A332&gt;CARGAS!$X$29,A332&lt;=CARGAS!$X$30),tanque4,0)</f>
        <v>0</v>
      </c>
      <c r="J332" s="22">
        <f>IF(AND(A332&gt;CARGAS!$AA$29,A332&lt;=CARGAS!$AA$30),tanque5,0)</f>
        <v>0</v>
      </c>
      <c r="K332" s="22">
        <f>IF(AND($A332&gt;CARGAS!$AD$29,$A332&lt;=CARGAS!$AD$30),tanque6,0)</f>
        <v>0</v>
      </c>
      <c r="L332" s="22">
        <f>IF(AND($A332&gt;CARGAS!$AG$29,$A332&lt;=CARGAS!$AG$30),tanque7,0)</f>
        <v>0</v>
      </c>
      <c r="M332" s="22">
        <f>IF(AND($A332&gt;CARGAS!$AJ$29,$A332&lt;=CARGAS!$AJ$30),tanque8,0)</f>
        <v>571.20000000000005</v>
      </c>
      <c r="N332" s="22">
        <f t="shared" si="36"/>
        <v>645.17839542857155</v>
      </c>
      <c r="O332" s="22">
        <f t="shared" si="37"/>
        <v>29.235525224153232</v>
      </c>
      <c r="P332" s="22">
        <f>O332*Equilibrio!Y$39*Equilibrio!Y$38*DADOS!C$4</f>
        <v>898.9924006427118</v>
      </c>
      <c r="Q332" s="22">
        <f t="shared" si="38"/>
        <v>-253.81400521414025</v>
      </c>
      <c r="R332" s="22">
        <f t="shared" si="39"/>
        <v>5265.5537893583878</v>
      </c>
      <c r="S332" s="22">
        <f t="shared" si="40"/>
        <v>-48562.816525584392</v>
      </c>
      <c r="T332" s="22">
        <f t="shared" si="41"/>
        <v>213554.04888685717</v>
      </c>
    </row>
    <row r="333" spans="1:20" x14ac:dyDescent="0.25">
      <c r="A333" s="21">
        <v>332</v>
      </c>
      <c r="B333" s="22">
        <f>CARGAS!$C$40*Equilibrio!A333^2+CARGAS!$D$40*Equilibrio!A333+CARGAS!$E$40</f>
        <v>62.558744326530643</v>
      </c>
      <c r="C333" s="22">
        <f>CARGAS!$C$53*Equilibrio!A333^2+CARGAS!$D$53*Equilibrio!A333+CARGAS!$E$53</f>
        <v>10.426457387755107</v>
      </c>
      <c r="D333">
        <f>IF(posisup=1,IF(A333&lt;=CARGAS!$E$68,sup,0),IF(posisup=2,IF(AND(A333&lt;=CARGAS!$E$69,A333&gt;=CARGAS!$D$69),sup,0),IF(posisup=3,IF(AND(A333&lt;=CARGAS!$E$70,A333&gt;=CARGAS!$D$70),sup,0),0)))</f>
        <v>0</v>
      </c>
      <c r="E333">
        <f>IF(A333&lt;=CARGAS!$H$25,CARGAS!$I$20,0)</f>
        <v>0</v>
      </c>
      <c r="F333" s="22">
        <f>IF(AND(A333&gt;CARGAS!$O$29,A333&lt;=CARGAS!$O$30),tanque1,0)</f>
        <v>0</v>
      </c>
      <c r="G333" s="22">
        <f>IF(AND(A333&gt;CARGAS!$R$29,A333&lt;=CARGAS!$R$30),tanque2,0)</f>
        <v>0</v>
      </c>
      <c r="H333" s="22">
        <f>IF(AND(A333&gt;CARGAS!$U$29,A333&lt;=CARGAS!$U$30),tanque3,0)</f>
        <v>0</v>
      </c>
      <c r="I333" s="22">
        <f>IF(AND(A333&gt;CARGAS!$X$29,A333&lt;=CARGAS!$X$30),tanque4,0)</f>
        <v>0</v>
      </c>
      <c r="J333" s="22">
        <f>IF(AND(A333&gt;CARGAS!$AA$29,A333&lt;=CARGAS!$AA$30),tanque5,0)</f>
        <v>0</v>
      </c>
      <c r="K333" s="22">
        <f>IF(AND($A333&gt;CARGAS!$AD$29,$A333&lt;=CARGAS!$AD$30),tanque6,0)</f>
        <v>0</v>
      </c>
      <c r="L333" s="22">
        <f>IF(AND($A333&gt;CARGAS!$AG$29,$A333&lt;=CARGAS!$AG$30),tanque7,0)</f>
        <v>0</v>
      </c>
      <c r="M333" s="22">
        <f>IF(AND($A333&gt;CARGAS!$AJ$29,$A333&lt;=CARGAS!$AJ$30),tanque8,0)</f>
        <v>571.20000000000005</v>
      </c>
      <c r="N333" s="22">
        <f t="shared" si="36"/>
        <v>644.18520171428577</v>
      </c>
      <c r="O333" s="22">
        <f t="shared" si="37"/>
        <v>29.294197188637689</v>
      </c>
      <c r="P333" s="22">
        <f>O333*Equilibrio!Y$39*Equilibrio!Y$38*DADOS!C$4</f>
        <v>900.79656355060888</v>
      </c>
      <c r="Q333" s="22">
        <f t="shared" si="38"/>
        <v>-256.61136183632311</v>
      </c>
      <c r="R333" s="22">
        <f t="shared" si="39"/>
        <v>5008.9424275220645</v>
      </c>
      <c r="S333" s="22">
        <f t="shared" si="40"/>
        <v>-43553.874098062326</v>
      </c>
      <c r="T333" s="22">
        <f t="shared" si="41"/>
        <v>213869.48696914286</v>
      </c>
    </row>
    <row r="334" spans="1:20" x14ac:dyDescent="0.25">
      <c r="A334" s="21">
        <v>333</v>
      </c>
      <c r="B334" s="22">
        <f>CARGAS!$C$40*Equilibrio!A334^2+CARGAS!$D$40*Equilibrio!A334+CARGAS!$E$40</f>
        <v>61.701995755102075</v>
      </c>
      <c r="C334" s="22">
        <f>CARGAS!$C$53*Equilibrio!A334^2+CARGAS!$D$53*Equilibrio!A334+CARGAS!$E$53</f>
        <v>10.283665959183679</v>
      </c>
      <c r="D334">
        <f>IF(posisup=1,IF(A334&lt;=CARGAS!$E$68,sup,0),IF(posisup=2,IF(AND(A334&lt;=CARGAS!$E$69,A334&gt;=CARGAS!$D$69),sup,0),IF(posisup=3,IF(AND(A334&lt;=CARGAS!$E$70,A334&gt;=CARGAS!$D$70),sup,0),0)))</f>
        <v>0</v>
      </c>
      <c r="E334">
        <f>IF(A334&lt;=CARGAS!$H$25,CARGAS!$I$20,0)</f>
        <v>0</v>
      </c>
      <c r="F334" s="22">
        <f>IF(AND(A334&gt;CARGAS!$O$29,A334&lt;=CARGAS!$O$30),tanque1,0)</f>
        <v>0</v>
      </c>
      <c r="G334" s="22">
        <f>IF(AND(A334&gt;CARGAS!$R$29,A334&lt;=CARGAS!$R$30),tanque2,0)</f>
        <v>0</v>
      </c>
      <c r="H334" s="22">
        <f>IF(AND(A334&gt;CARGAS!$U$29,A334&lt;=CARGAS!$U$30),tanque3,0)</f>
        <v>0</v>
      </c>
      <c r="I334" s="22">
        <f>IF(AND(A334&gt;CARGAS!$X$29,A334&lt;=CARGAS!$X$30),tanque4,0)</f>
        <v>0</v>
      </c>
      <c r="J334" s="22">
        <f>IF(AND(A334&gt;CARGAS!$AA$29,A334&lt;=CARGAS!$AA$30),tanque5,0)</f>
        <v>0</v>
      </c>
      <c r="K334" s="22">
        <f>IF(AND($A334&gt;CARGAS!$AD$29,$A334&lt;=CARGAS!$AD$30),tanque6,0)</f>
        <v>0</v>
      </c>
      <c r="L334" s="22">
        <f>IF(AND($A334&gt;CARGAS!$AG$29,$A334&lt;=CARGAS!$AG$30),tanque7,0)</f>
        <v>0</v>
      </c>
      <c r="M334" s="22">
        <f>IF(AND($A334&gt;CARGAS!$AJ$29,$A334&lt;=CARGAS!$AJ$30),tanque8,0)</f>
        <v>571.20000000000005</v>
      </c>
      <c r="N334" s="22">
        <f t="shared" si="36"/>
        <v>643.18566171428574</v>
      </c>
      <c r="O334" s="22">
        <f t="shared" si="37"/>
        <v>29.350195282589542</v>
      </c>
      <c r="P334" s="22">
        <f>O334*Equilibrio!Y$39*Equilibrio!Y$38*DADOS!C$4</f>
        <v>902.51850493962843</v>
      </c>
      <c r="Q334" s="22">
        <f t="shared" si="38"/>
        <v>-259.33284322534269</v>
      </c>
      <c r="R334" s="22">
        <f t="shared" si="39"/>
        <v>4749.6095842967216</v>
      </c>
      <c r="S334" s="22">
        <f t="shared" si="40"/>
        <v>-38804.264513765607</v>
      </c>
      <c r="T334" s="22">
        <f t="shared" si="41"/>
        <v>214180.82535085717</v>
      </c>
    </row>
    <row r="335" spans="1:20" x14ac:dyDescent="0.25">
      <c r="A335" s="21">
        <v>334</v>
      </c>
      <c r="B335" s="22">
        <f>CARGAS!$C$40*Equilibrio!A335^2+CARGAS!$D$40*Equilibrio!A335+CARGAS!$E$40</f>
        <v>60.839807510204139</v>
      </c>
      <c r="C335" s="22">
        <f>CARGAS!$C$53*Equilibrio!A335^2+CARGAS!$D$53*Equilibrio!A335+CARGAS!$E$53</f>
        <v>10.139967918367354</v>
      </c>
      <c r="D335">
        <f>IF(posisup=1,IF(A335&lt;=CARGAS!$E$68,sup,0),IF(posisup=2,IF(AND(A335&lt;=CARGAS!$E$69,A335&gt;=CARGAS!$D$69),sup,0),IF(posisup=3,IF(AND(A335&lt;=CARGAS!$E$70,A335&gt;=CARGAS!$D$70),sup,0),0)))</f>
        <v>0</v>
      </c>
      <c r="E335">
        <f>IF(A335&lt;=CARGAS!$H$25,CARGAS!$I$20,0)</f>
        <v>0</v>
      </c>
      <c r="F335" s="22">
        <f>IF(AND(A335&gt;CARGAS!$O$29,A335&lt;=CARGAS!$O$30),tanque1,0)</f>
        <v>0</v>
      </c>
      <c r="G335" s="22">
        <f>IF(AND(A335&gt;CARGAS!$R$29,A335&lt;=CARGAS!$R$30),tanque2,0)</f>
        <v>0</v>
      </c>
      <c r="H335" s="22">
        <f>IF(AND(A335&gt;CARGAS!$U$29,A335&lt;=CARGAS!$U$30),tanque3,0)</f>
        <v>0</v>
      </c>
      <c r="I335" s="22">
        <f>IF(AND(A335&gt;CARGAS!$X$29,A335&lt;=CARGAS!$X$30),tanque4,0)</f>
        <v>0</v>
      </c>
      <c r="J335" s="22">
        <f>IF(AND(A335&gt;CARGAS!$AA$29,A335&lt;=CARGAS!$AA$30),tanque5,0)</f>
        <v>0</v>
      </c>
      <c r="K335" s="22">
        <f>IF(AND($A335&gt;CARGAS!$AD$29,$A335&lt;=CARGAS!$AD$30),tanque6,0)</f>
        <v>0</v>
      </c>
      <c r="L335" s="22">
        <f>IF(AND($A335&gt;CARGAS!$AG$29,$A335&lt;=CARGAS!$AG$30),tanque7,0)</f>
        <v>0</v>
      </c>
      <c r="M335" s="22">
        <f>IF(AND($A335&gt;CARGAS!$AJ$29,$A335&lt;=CARGAS!$AJ$30),tanque8,0)</f>
        <v>571.20000000000005</v>
      </c>
      <c r="N335" s="22">
        <f t="shared" si="36"/>
        <v>642.17977542857147</v>
      </c>
      <c r="O335" s="22">
        <f t="shared" si="37"/>
        <v>29.403503863428462</v>
      </c>
      <c r="P335" s="22">
        <f>O335*Equilibrio!Y$39*Equilibrio!Y$38*DADOS!C$4</f>
        <v>904.15774380042512</v>
      </c>
      <c r="Q335" s="22">
        <f t="shared" si="38"/>
        <v>-261.97796837185365</v>
      </c>
      <c r="R335" s="22">
        <f t="shared" si="39"/>
        <v>4487.6316159248681</v>
      </c>
      <c r="S335" s="22">
        <f t="shared" si="40"/>
        <v>-34316.63289784074</v>
      </c>
      <c r="T335" s="22">
        <f t="shared" si="41"/>
        <v>214488.04499314286</v>
      </c>
    </row>
    <row r="336" spans="1:20" x14ac:dyDescent="0.25">
      <c r="A336" s="21">
        <v>335</v>
      </c>
      <c r="B336" s="22">
        <f>CARGAS!$C$40*Equilibrio!A336^2+CARGAS!$D$40*Equilibrio!A336+CARGAS!$E$40</f>
        <v>59.972179591836777</v>
      </c>
      <c r="C336" s="22">
        <f>CARGAS!$C$53*Equilibrio!A336^2+CARGAS!$D$53*Equilibrio!A336+CARGAS!$E$53</f>
        <v>9.995363265306132</v>
      </c>
      <c r="D336">
        <f>IF(posisup=1,IF(A336&lt;=CARGAS!$E$68,sup,0),IF(posisup=2,IF(AND(A336&lt;=CARGAS!$E$69,A336&gt;=CARGAS!$D$69),sup,0),IF(posisup=3,IF(AND(A336&lt;=CARGAS!$E$70,A336&gt;=CARGAS!$D$70),sup,0),0)))</f>
        <v>0</v>
      </c>
      <c r="E336">
        <f>IF(A336&lt;=CARGAS!$H$25,CARGAS!$I$20,0)</f>
        <v>0</v>
      </c>
      <c r="F336" s="22">
        <f>IF(AND(A336&gt;CARGAS!$O$29,A336&lt;=CARGAS!$O$30),tanque1,0)</f>
        <v>0</v>
      </c>
      <c r="G336" s="22">
        <f>IF(AND(A336&gt;CARGAS!$R$29,A336&lt;=CARGAS!$R$30),tanque2,0)</f>
        <v>0</v>
      </c>
      <c r="H336" s="22">
        <f>IF(AND(A336&gt;CARGAS!$U$29,A336&lt;=CARGAS!$U$30),tanque3,0)</f>
        <v>0</v>
      </c>
      <c r="I336" s="22">
        <f>IF(AND(A336&gt;CARGAS!$X$29,A336&lt;=CARGAS!$X$30),tanque4,0)</f>
        <v>0</v>
      </c>
      <c r="J336" s="22">
        <f>IF(AND(A336&gt;CARGAS!$AA$29,A336&lt;=CARGAS!$AA$30),tanque5,0)</f>
        <v>0</v>
      </c>
      <c r="K336" s="22">
        <f>IF(AND($A336&gt;CARGAS!$AD$29,$A336&lt;=CARGAS!$AD$30),tanque6,0)</f>
        <v>0</v>
      </c>
      <c r="L336" s="22">
        <f>IF(AND($A336&gt;CARGAS!$AG$29,$A336&lt;=CARGAS!$AG$30),tanque7,0)</f>
        <v>0</v>
      </c>
      <c r="M336" s="22">
        <f>IF(AND($A336&gt;CARGAS!$AJ$29,$A336&lt;=CARGAS!$AJ$30),tanque8,0)</f>
        <v>571.20000000000005</v>
      </c>
      <c r="N336" s="22">
        <f t="shared" si="36"/>
        <v>641.16754285714296</v>
      </c>
      <c r="O336" s="22">
        <f t="shared" si="37"/>
        <v>29.454108155307757</v>
      </c>
      <c r="P336" s="22">
        <f>O336*Equilibrio!Y$39*Equilibrio!Y$38*DADOS!C$4</f>
        <v>905.71382577571342</v>
      </c>
      <c r="Q336" s="22">
        <f t="shared" si="38"/>
        <v>-264.54628291857045</v>
      </c>
      <c r="R336" s="22">
        <f t="shared" si="39"/>
        <v>4223.0853330062973</v>
      </c>
      <c r="S336" s="22">
        <f t="shared" si="40"/>
        <v>-30093.547564834444</v>
      </c>
      <c r="T336" s="22">
        <f t="shared" si="41"/>
        <v>214791.1268571429</v>
      </c>
    </row>
    <row r="337" spans="1:20" x14ac:dyDescent="0.25">
      <c r="A337" s="21">
        <v>336</v>
      </c>
      <c r="B337" s="22">
        <f>CARGAS!$C$40*Equilibrio!A337^2+CARGAS!$D$40*Equilibrio!A337+CARGAS!$E$40</f>
        <v>59.099112000000048</v>
      </c>
      <c r="C337" s="22">
        <f>CARGAS!$C$53*Equilibrio!A337^2+CARGAS!$D$53*Equilibrio!A337+CARGAS!$E$53</f>
        <v>9.8498519999999985</v>
      </c>
      <c r="D337">
        <f>IF(posisup=1,IF(A337&lt;=CARGAS!$E$68,sup,0),IF(posisup=2,IF(AND(A337&lt;=CARGAS!$E$69,A337&gt;=CARGAS!$D$69),sup,0),IF(posisup=3,IF(AND(A337&lt;=CARGAS!$E$70,A337&gt;=CARGAS!$D$70),sup,0),0)))</f>
        <v>0</v>
      </c>
      <c r="E337">
        <f>IF(A337&lt;=CARGAS!$H$25,CARGAS!$I$20,0)</f>
        <v>0</v>
      </c>
      <c r="F337" s="22">
        <f>IF(AND(A337&gt;CARGAS!$O$29,A337&lt;=CARGAS!$O$30),tanque1,0)</f>
        <v>0</v>
      </c>
      <c r="G337" s="22">
        <f>IF(AND(A337&gt;CARGAS!$R$29,A337&lt;=CARGAS!$R$30),tanque2,0)</f>
        <v>0</v>
      </c>
      <c r="H337" s="22">
        <f>IF(AND(A337&gt;CARGAS!$U$29,A337&lt;=CARGAS!$U$30),tanque3,0)</f>
        <v>0</v>
      </c>
      <c r="I337" s="22">
        <f>IF(AND(A337&gt;CARGAS!$X$29,A337&lt;=CARGAS!$X$30),tanque4,0)</f>
        <v>0</v>
      </c>
      <c r="J337" s="22">
        <f>IF(AND(A337&gt;CARGAS!$AA$29,A337&lt;=CARGAS!$AA$30),tanque5,0)</f>
        <v>0</v>
      </c>
      <c r="K337" s="22">
        <f>IF(AND($A337&gt;CARGAS!$AD$29,$A337&lt;=CARGAS!$AD$30),tanque6,0)</f>
        <v>0</v>
      </c>
      <c r="L337" s="22">
        <f>IF(AND($A337&gt;CARGAS!$AG$29,$A337&lt;=CARGAS!$AG$30),tanque7,0)</f>
        <v>0</v>
      </c>
      <c r="M337" s="22">
        <f>IF(AND($A337&gt;CARGAS!$AJ$29,$A337&lt;=CARGAS!$AJ$30),tanque8,0)</f>
        <v>571.20000000000005</v>
      </c>
      <c r="N337" s="22">
        <f t="shared" si="36"/>
        <v>640.14896400000009</v>
      </c>
      <c r="O337" s="22">
        <f t="shared" si="37"/>
        <v>29.501994253876092</v>
      </c>
      <c r="P337" s="22">
        <f>O337*Equilibrio!Y$39*Equilibrio!Y$38*DADOS!C$4</f>
        <v>907.1863233066897</v>
      </c>
      <c r="Q337" s="22">
        <f t="shared" si="38"/>
        <v>-267.03735930668961</v>
      </c>
      <c r="R337" s="22">
        <f t="shared" si="39"/>
        <v>3956.0479736996076</v>
      </c>
      <c r="S337" s="22">
        <f t="shared" si="40"/>
        <v>-26137.499591134838</v>
      </c>
      <c r="T337" s="22">
        <f t="shared" si="41"/>
        <v>215090.05190400002</v>
      </c>
    </row>
    <row r="338" spans="1:20" x14ac:dyDescent="0.25">
      <c r="A338" s="21">
        <v>337</v>
      </c>
      <c r="B338" s="22">
        <f>CARGAS!$C$40*Equilibrio!A338^2+CARGAS!$D$40*Equilibrio!A338+CARGAS!$E$40</f>
        <v>58.220604734693893</v>
      </c>
      <c r="C338" s="22">
        <f>CARGAS!$C$53*Equilibrio!A338^2+CARGAS!$D$53*Equilibrio!A338+CARGAS!$E$53</f>
        <v>9.7034341224489822</v>
      </c>
      <c r="D338">
        <f>IF(posisup=1,IF(A338&lt;=CARGAS!$E$68,sup,0),IF(posisup=2,IF(AND(A338&lt;=CARGAS!$E$69,A338&gt;=CARGAS!$D$69),sup,0),IF(posisup=3,IF(AND(A338&lt;=CARGAS!$E$70,A338&gt;=CARGAS!$D$70),sup,0),0)))</f>
        <v>0</v>
      </c>
      <c r="E338">
        <f>IF(A338&lt;=CARGAS!$H$25,CARGAS!$I$20,0)</f>
        <v>0</v>
      </c>
      <c r="F338" s="22">
        <f>IF(AND(A338&gt;CARGAS!$O$29,A338&lt;=CARGAS!$O$30),tanque1,0)</f>
        <v>0</v>
      </c>
      <c r="G338" s="22">
        <f>IF(AND(A338&gt;CARGAS!$R$29,A338&lt;=CARGAS!$R$30),tanque2,0)</f>
        <v>0</v>
      </c>
      <c r="H338" s="22">
        <f>IF(AND(A338&gt;CARGAS!$U$29,A338&lt;=CARGAS!$U$30),tanque3,0)</f>
        <v>0</v>
      </c>
      <c r="I338" s="22">
        <f>IF(AND(A338&gt;CARGAS!$X$29,A338&lt;=CARGAS!$X$30),tanque4,0)</f>
        <v>0</v>
      </c>
      <c r="J338" s="22">
        <f>IF(AND(A338&gt;CARGAS!$AA$29,A338&lt;=CARGAS!$AA$30),tanque5,0)</f>
        <v>0</v>
      </c>
      <c r="K338" s="22">
        <f>IF(AND($A338&gt;CARGAS!$AD$29,$A338&lt;=CARGAS!$AD$30),tanque6,0)</f>
        <v>0</v>
      </c>
      <c r="L338" s="22">
        <f>IF(AND($A338&gt;CARGAS!$AG$29,$A338&lt;=CARGAS!$AG$30),tanque7,0)</f>
        <v>0</v>
      </c>
      <c r="M338" s="22">
        <f>IF(AND($A338&gt;CARGAS!$AJ$29,$A338&lt;=CARGAS!$AJ$30),tanque8,0)</f>
        <v>571.20000000000005</v>
      </c>
      <c r="N338" s="22">
        <f t="shared" si="36"/>
        <v>639.12403885714298</v>
      </c>
      <c r="O338" s="22">
        <f t="shared" si="37"/>
        <v>29.547149130758367</v>
      </c>
      <c r="P338" s="22">
        <f>O338*Equilibrio!Y$39*Equilibrio!Y$38*DADOS!C$4</f>
        <v>908.57483577081973</v>
      </c>
      <c r="Q338" s="22">
        <f t="shared" si="38"/>
        <v>-269.45079691367675</v>
      </c>
      <c r="R338" s="22">
        <f t="shared" si="39"/>
        <v>3686.597176785931</v>
      </c>
      <c r="S338" s="22">
        <f t="shared" si="40"/>
        <v>-22450.902414348908</v>
      </c>
      <c r="T338" s="22">
        <f t="shared" si="41"/>
        <v>215384.80109485719</v>
      </c>
    </row>
    <row r="339" spans="1:20" x14ac:dyDescent="0.25">
      <c r="A339" s="21">
        <v>338</v>
      </c>
      <c r="B339" s="22">
        <f>CARGAS!$C$40*Equilibrio!A339^2+CARGAS!$D$40*Equilibrio!A339+CARGAS!$E$40</f>
        <v>57.33665779591837</v>
      </c>
      <c r="C339" s="22">
        <f>CARGAS!$C$53*Equilibrio!A339^2+CARGAS!$D$53*Equilibrio!A339+CARGAS!$E$53</f>
        <v>9.5561096326530688</v>
      </c>
      <c r="D339">
        <f>IF(posisup=1,IF(A339&lt;=CARGAS!$E$68,sup,0),IF(posisup=2,IF(AND(A339&lt;=CARGAS!$E$69,A339&gt;=CARGAS!$D$69),sup,0),IF(posisup=3,IF(AND(A339&lt;=CARGAS!$E$70,A339&gt;=CARGAS!$D$70),sup,0),0)))</f>
        <v>0</v>
      </c>
      <c r="E339">
        <f>IF(A339&lt;=CARGAS!$H$25,CARGAS!$I$20,0)</f>
        <v>0</v>
      </c>
      <c r="F339" s="22">
        <f>IF(AND(A339&gt;CARGAS!$O$29,A339&lt;=CARGAS!$O$30),tanque1,0)</f>
        <v>0</v>
      </c>
      <c r="G339" s="22">
        <f>IF(AND(A339&gt;CARGAS!$R$29,A339&lt;=CARGAS!$R$30),tanque2,0)</f>
        <v>0</v>
      </c>
      <c r="H339" s="22">
        <f>IF(AND(A339&gt;CARGAS!$U$29,A339&lt;=CARGAS!$U$30),tanque3,0)</f>
        <v>0</v>
      </c>
      <c r="I339" s="22">
        <f>IF(AND(A339&gt;CARGAS!$X$29,A339&lt;=CARGAS!$X$30),tanque4,0)</f>
        <v>0</v>
      </c>
      <c r="J339" s="22">
        <f>IF(AND(A339&gt;CARGAS!$AA$29,A339&lt;=CARGAS!$AA$30),tanque5,0)</f>
        <v>0</v>
      </c>
      <c r="K339" s="22">
        <f>IF(AND($A339&gt;CARGAS!$AD$29,$A339&lt;=CARGAS!$AD$30),tanque6,0)</f>
        <v>0</v>
      </c>
      <c r="L339" s="22">
        <f>IF(AND($A339&gt;CARGAS!$AG$29,$A339&lt;=CARGAS!$AG$30),tanque7,0)</f>
        <v>0</v>
      </c>
      <c r="M339" s="22">
        <f>IF(AND($A339&gt;CARGAS!$AJ$29,$A339&lt;=CARGAS!$AJ$30),tanque8,0)</f>
        <v>571.20000000000005</v>
      </c>
      <c r="N339" s="22">
        <f t="shared" si="36"/>
        <v>638.09276742857151</v>
      </c>
      <c r="O339" s="22">
        <f t="shared" si="37"/>
        <v>29.589560637754293</v>
      </c>
      <c r="P339" s="22">
        <f>O339*Equilibrio!Y$39*Equilibrio!Y$38*DADOS!C$4</f>
        <v>909.87898961094436</v>
      </c>
      <c r="Q339" s="22">
        <f t="shared" si="38"/>
        <v>-271.78622218237285</v>
      </c>
      <c r="R339" s="22">
        <f t="shared" si="39"/>
        <v>3414.810954603558</v>
      </c>
      <c r="S339" s="22">
        <f t="shared" si="40"/>
        <v>-19036.091459745348</v>
      </c>
      <c r="T339" s="22">
        <f t="shared" si="41"/>
        <v>215675.35539085718</v>
      </c>
    </row>
    <row r="340" spans="1:20" x14ac:dyDescent="0.25">
      <c r="A340" s="21">
        <v>339</v>
      </c>
      <c r="B340" s="22">
        <f>CARGAS!$C$40*Equilibrio!A340^2+CARGAS!$D$40*Equilibrio!A340+CARGAS!$E$40</f>
        <v>56.447271183673536</v>
      </c>
      <c r="C340" s="22">
        <f>CARGAS!$C$53*Equilibrio!A340^2+CARGAS!$D$53*Equilibrio!A340+CARGAS!$E$53</f>
        <v>9.4078785306122512</v>
      </c>
      <c r="D340">
        <f>IF(posisup=1,IF(A340&lt;=CARGAS!$E$68,sup,0),IF(posisup=2,IF(AND(A340&lt;=CARGAS!$E$69,A340&gt;=CARGAS!$D$69),sup,0),IF(posisup=3,IF(AND(A340&lt;=CARGAS!$E$70,A340&gt;=CARGAS!$D$70),sup,0),0)))</f>
        <v>0</v>
      </c>
      <c r="E340">
        <f>IF(A340&lt;=CARGAS!$H$25,CARGAS!$I$20,0)</f>
        <v>0</v>
      </c>
      <c r="F340" s="22">
        <f>IF(AND(A340&gt;CARGAS!$O$29,A340&lt;=CARGAS!$O$30),tanque1,0)</f>
        <v>0</v>
      </c>
      <c r="G340" s="22">
        <f>IF(AND(A340&gt;CARGAS!$R$29,A340&lt;=CARGAS!$R$30),tanque2,0)</f>
        <v>0</v>
      </c>
      <c r="H340" s="22">
        <f>IF(AND(A340&gt;CARGAS!$U$29,A340&lt;=CARGAS!$U$30),tanque3,0)</f>
        <v>0</v>
      </c>
      <c r="I340" s="22">
        <f>IF(AND(A340&gt;CARGAS!$X$29,A340&lt;=CARGAS!$X$30),tanque4,0)</f>
        <v>0</v>
      </c>
      <c r="J340" s="22">
        <f>IF(AND(A340&gt;CARGAS!$AA$29,A340&lt;=CARGAS!$AA$30),tanque5,0)</f>
        <v>0</v>
      </c>
      <c r="K340" s="22">
        <f>IF(AND($A340&gt;CARGAS!$AD$29,$A340&lt;=CARGAS!$AD$30),tanque6,0)</f>
        <v>0</v>
      </c>
      <c r="L340" s="22">
        <f>IF(AND($A340&gt;CARGAS!$AG$29,$A340&lt;=CARGAS!$AG$30),tanque7,0)</f>
        <v>0</v>
      </c>
      <c r="M340" s="22">
        <f>IF(AND($A340&gt;CARGAS!$AJ$29,$A340&lt;=CARGAS!$AJ$30),tanque8,0)</f>
        <v>571.20000000000005</v>
      </c>
      <c r="N340" s="22">
        <f t="shared" si="36"/>
        <v>637.05514971428579</v>
      </c>
      <c r="O340" s="22">
        <f t="shared" si="37"/>
        <v>29.629217510753328</v>
      </c>
      <c r="P340" s="22">
        <f>O340*Equilibrio!Y$39*Equilibrio!Y$38*DADOS!C$4</f>
        <v>911.09843845566479</v>
      </c>
      <c r="Q340" s="22">
        <f t="shared" si="38"/>
        <v>-274.043288741379</v>
      </c>
      <c r="R340" s="22">
        <f t="shared" si="39"/>
        <v>3140.767665862179</v>
      </c>
      <c r="S340" s="22">
        <f t="shared" si="40"/>
        <v>-15895.32379388317</v>
      </c>
      <c r="T340" s="22">
        <f t="shared" si="41"/>
        <v>215961.69575314288</v>
      </c>
    </row>
    <row r="341" spans="1:20" x14ac:dyDescent="0.25">
      <c r="A341" s="21">
        <v>340</v>
      </c>
      <c r="B341" s="22">
        <f>CARGAS!$C$40*Equilibrio!A341^2+CARGAS!$D$40*Equilibrio!A341+CARGAS!$E$40</f>
        <v>55.552444897959276</v>
      </c>
      <c r="C341" s="22">
        <f>CARGAS!$C$53*Equilibrio!A341^2+CARGAS!$D$53*Equilibrio!A341+CARGAS!$E$53</f>
        <v>9.2587408163265295</v>
      </c>
      <c r="D341">
        <f>IF(posisup=1,IF(A341&lt;=CARGAS!$E$68,sup,0),IF(posisup=2,IF(AND(A341&lt;=CARGAS!$E$69,A341&gt;=CARGAS!$D$69),sup,0),IF(posisup=3,IF(AND(A341&lt;=CARGAS!$E$70,A341&gt;=CARGAS!$D$70),sup,0),0)))</f>
        <v>0</v>
      </c>
      <c r="E341">
        <f>IF(A341&lt;=CARGAS!$H$25,CARGAS!$I$20,0)</f>
        <v>0</v>
      </c>
      <c r="F341" s="22">
        <f>IF(AND(A341&gt;CARGAS!$O$29,A341&lt;=CARGAS!$O$30),tanque1,0)</f>
        <v>0</v>
      </c>
      <c r="G341" s="22">
        <f>IF(AND(A341&gt;CARGAS!$R$29,A341&lt;=CARGAS!$R$30),tanque2,0)</f>
        <v>0</v>
      </c>
      <c r="H341" s="22">
        <f>IF(AND(A341&gt;CARGAS!$U$29,A341&lt;=CARGAS!$U$30),tanque3,0)</f>
        <v>0</v>
      </c>
      <c r="I341" s="22">
        <f>IF(AND(A341&gt;CARGAS!$X$29,A341&lt;=CARGAS!$X$30),tanque4,0)</f>
        <v>0</v>
      </c>
      <c r="J341" s="22">
        <f>IF(AND(A341&gt;CARGAS!$AA$29,A341&lt;=CARGAS!$AA$30),tanque5,0)</f>
        <v>0</v>
      </c>
      <c r="K341" s="22">
        <f>IF(AND($A341&gt;CARGAS!$AD$29,$A341&lt;=CARGAS!$AD$30),tanque6,0)</f>
        <v>0</v>
      </c>
      <c r="L341" s="22">
        <f>IF(AND($A341&gt;CARGAS!$AG$29,$A341&lt;=CARGAS!$AG$30),tanque7,0)</f>
        <v>0</v>
      </c>
      <c r="M341" s="22">
        <f>IF(AND($A341&gt;CARGAS!$AJ$29,$A341&lt;=CARGAS!$AJ$30),tanque8,0)</f>
        <v>571.20000000000005</v>
      </c>
      <c r="N341" s="22">
        <f t="shared" si="36"/>
        <v>636.01118571428583</v>
      </c>
      <c r="O341" s="22">
        <f t="shared" si="37"/>
        <v>29.666109373364694</v>
      </c>
      <c r="P341" s="22">
        <f>O341*Equilibrio!Y$39*Equilibrio!Y$38*DADOS!C$4</f>
        <v>912.2328632309642</v>
      </c>
      <c r="Q341" s="22">
        <f t="shared" si="38"/>
        <v>-276.22167751667837</v>
      </c>
      <c r="R341" s="22">
        <f t="shared" si="39"/>
        <v>2864.5459883455005</v>
      </c>
      <c r="S341" s="22">
        <f t="shared" si="40"/>
        <v>-13030.777805537669</v>
      </c>
      <c r="T341" s="22">
        <f t="shared" si="41"/>
        <v>216243.80314285718</v>
      </c>
    </row>
    <row r="342" spans="1:20" x14ac:dyDescent="0.25">
      <c r="A342" s="21">
        <v>341</v>
      </c>
      <c r="B342" s="22">
        <f>CARGAS!$C$40*Equilibrio!A342^2+CARGAS!$D$40*Equilibrio!A342+CARGAS!$E$40</f>
        <v>54.652178938775592</v>
      </c>
      <c r="C342" s="22">
        <f>CARGAS!$C$53*Equilibrio!A342^2+CARGAS!$D$53*Equilibrio!A342+CARGAS!$E$53</f>
        <v>9.1086964897959248</v>
      </c>
      <c r="D342">
        <f>IF(posisup=1,IF(A342&lt;=CARGAS!$E$68,sup,0),IF(posisup=2,IF(AND(A342&lt;=CARGAS!$E$69,A342&gt;=CARGAS!$D$69),sup,0),IF(posisup=3,IF(AND(A342&lt;=CARGAS!$E$70,A342&gt;=CARGAS!$D$70),sup,0),0)))</f>
        <v>0</v>
      </c>
      <c r="E342">
        <f>IF(A342&lt;=CARGAS!$H$25,CARGAS!$I$20,0)</f>
        <v>0</v>
      </c>
      <c r="F342" s="22">
        <f>IF(AND(A342&gt;CARGAS!$O$29,A342&lt;=CARGAS!$O$30),tanque1,0)</f>
        <v>0</v>
      </c>
      <c r="G342" s="22">
        <f>IF(AND(A342&gt;CARGAS!$R$29,A342&lt;=CARGAS!$R$30),tanque2,0)</f>
        <v>0</v>
      </c>
      <c r="H342" s="22">
        <f>IF(AND(A342&gt;CARGAS!$U$29,A342&lt;=CARGAS!$U$30),tanque3,0)</f>
        <v>0</v>
      </c>
      <c r="I342" s="22">
        <f>IF(AND(A342&gt;CARGAS!$X$29,A342&lt;=CARGAS!$X$30),tanque4,0)</f>
        <v>0</v>
      </c>
      <c r="J342" s="22">
        <f>IF(AND(A342&gt;CARGAS!$AA$29,A342&lt;=CARGAS!$AA$30),tanque5,0)</f>
        <v>0</v>
      </c>
      <c r="K342" s="22">
        <f>IF(AND($A342&gt;CARGAS!$AD$29,$A342&lt;=CARGAS!$AD$30),tanque6,0)</f>
        <v>0</v>
      </c>
      <c r="L342" s="22">
        <f>IF(AND($A342&gt;CARGAS!$AG$29,$A342&lt;=CARGAS!$AG$30),tanque7,0)</f>
        <v>0</v>
      </c>
      <c r="M342" s="22">
        <f>IF(AND($A342&gt;CARGAS!$AJ$29,$A342&lt;=CARGAS!$AJ$30),tanque8,0)</f>
        <v>571.20000000000005</v>
      </c>
      <c r="N342" s="22">
        <f t="shared" si="36"/>
        <v>634.96087542857151</v>
      </c>
      <c r="O342" s="22">
        <f t="shared" si="37"/>
        <v>29.7002267402613</v>
      </c>
      <c r="P342" s="22">
        <f>O342*Equilibrio!Y$39*Equilibrio!Y$38*DADOS!C$4</f>
        <v>913.28197226303496</v>
      </c>
      <c r="Q342" s="22">
        <f t="shared" si="38"/>
        <v>-278.32109683446345</v>
      </c>
      <c r="R342" s="22">
        <f t="shared" si="39"/>
        <v>2586.2248915110372</v>
      </c>
      <c r="S342" s="22">
        <f t="shared" si="40"/>
        <v>-10444.552914026632</v>
      </c>
      <c r="T342" s="22">
        <f t="shared" si="41"/>
        <v>216521.65852114288</v>
      </c>
    </row>
    <row r="343" spans="1:20" x14ac:dyDescent="0.25">
      <c r="A343" s="21">
        <v>342</v>
      </c>
      <c r="B343" s="22">
        <f>CARGAS!$C$40*Equilibrio!A343^2+CARGAS!$D$40*Equilibrio!A343+CARGAS!$E$40</f>
        <v>53.746473306122539</v>
      </c>
      <c r="C343" s="22">
        <f>CARGAS!$C$53*Equilibrio!A343^2+CARGAS!$D$53*Equilibrio!A343+CARGAS!$E$53</f>
        <v>8.957745551020416</v>
      </c>
      <c r="D343">
        <f>IF(posisup=1,IF(A343&lt;=CARGAS!$E$68,sup,0),IF(posisup=2,IF(AND(A343&lt;=CARGAS!$E$69,A343&gt;=CARGAS!$D$69),sup,0),IF(posisup=3,IF(AND(A343&lt;=CARGAS!$E$70,A343&gt;=CARGAS!$D$70),sup,0),0)))</f>
        <v>0</v>
      </c>
      <c r="E343">
        <f>IF(A343&lt;=CARGAS!$H$25,CARGAS!$I$20,0)</f>
        <v>0</v>
      </c>
      <c r="F343" s="22">
        <f>IF(AND(A343&gt;CARGAS!$O$29,A343&lt;=CARGAS!$O$30),tanque1,0)</f>
        <v>0</v>
      </c>
      <c r="G343" s="22">
        <f>IF(AND(A343&gt;CARGAS!$R$29,A343&lt;=CARGAS!$R$30),tanque2,0)</f>
        <v>0</v>
      </c>
      <c r="H343" s="22">
        <f>IF(AND(A343&gt;CARGAS!$U$29,A343&lt;=CARGAS!$U$30),tanque3,0)</f>
        <v>0</v>
      </c>
      <c r="I343" s="22">
        <f>IF(AND(A343&gt;CARGAS!$X$29,A343&lt;=CARGAS!$X$30),tanque4,0)</f>
        <v>0</v>
      </c>
      <c r="J343" s="22">
        <f>IF(AND(A343&gt;CARGAS!$AA$29,A343&lt;=CARGAS!$AA$30),tanque5,0)</f>
        <v>0</v>
      </c>
      <c r="K343" s="22">
        <f>IF(AND($A343&gt;CARGAS!$AD$29,$A343&lt;=CARGAS!$AD$30),tanque6,0)</f>
        <v>0</v>
      </c>
      <c r="L343" s="22">
        <f>IF(AND($A343&gt;CARGAS!$AG$29,$A343&lt;=CARGAS!$AG$30),tanque7,0)</f>
        <v>0</v>
      </c>
      <c r="M343" s="22">
        <f>IF(AND($A343&gt;CARGAS!$AJ$29,$A343&lt;=CARGAS!$AJ$30),tanque8,0)</f>
        <v>571.20000000000005</v>
      </c>
      <c r="N343" s="22">
        <f t="shared" si="36"/>
        <v>633.90421885714295</v>
      </c>
      <c r="O343" s="22">
        <f t="shared" si="37"/>
        <v>29.731561020236541</v>
      </c>
      <c r="P343" s="22">
        <f>O343*Equilibrio!Y$39*Equilibrio!Y$38*DADOS!C$4</f>
        <v>914.24550137227345</v>
      </c>
      <c r="Q343" s="22">
        <f t="shared" si="38"/>
        <v>-280.3412825151305</v>
      </c>
      <c r="R343" s="22">
        <f t="shared" si="39"/>
        <v>2305.8836089959068</v>
      </c>
      <c r="S343" s="22">
        <f t="shared" si="40"/>
        <v>-8138.6693050307249</v>
      </c>
      <c r="T343" s="22">
        <f t="shared" si="41"/>
        <v>216795.2428491429</v>
      </c>
    </row>
    <row r="344" spans="1:20" x14ac:dyDescent="0.25">
      <c r="A344" s="21">
        <v>343</v>
      </c>
      <c r="B344" s="22">
        <f>CARGAS!$C$40*Equilibrio!A344^2+CARGAS!$D$40*Equilibrio!A344+CARGAS!$E$40</f>
        <v>52.835328000000061</v>
      </c>
      <c r="C344" s="22">
        <f>CARGAS!$C$53*Equilibrio!A344^2+CARGAS!$D$53*Equilibrio!A344+CARGAS!$E$53</f>
        <v>8.8058880000000102</v>
      </c>
      <c r="D344">
        <f>IF(posisup=1,IF(A344&lt;=CARGAS!$E$68,sup,0),IF(posisup=2,IF(AND(A344&lt;=CARGAS!$E$69,A344&gt;=CARGAS!$D$69),sup,0),IF(posisup=3,IF(AND(A344&lt;=CARGAS!$E$70,A344&gt;=CARGAS!$D$70),sup,0),0)))</f>
        <v>0</v>
      </c>
      <c r="E344">
        <f>IF(A344&lt;=CARGAS!$H$25,CARGAS!$I$20,0)</f>
        <v>0</v>
      </c>
      <c r="F344" s="22">
        <f>IF(AND(A344&gt;CARGAS!$O$29,A344&lt;=CARGAS!$O$30),tanque1,0)</f>
        <v>0</v>
      </c>
      <c r="G344" s="22">
        <f>IF(AND(A344&gt;CARGAS!$R$29,A344&lt;=CARGAS!$R$30),tanque2,0)</f>
        <v>0</v>
      </c>
      <c r="H344" s="22">
        <f>IF(AND(A344&gt;CARGAS!$U$29,A344&lt;=CARGAS!$U$30),tanque3,0)</f>
        <v>0</v>
      </c>
      <c r="I344" s="22">
        <f>IF(AND(A344&gt;CARGAS!$X$29,A344&lt;=CARGAS!$X$30),tanque4,0)</f>
        <v>0</v>
      </c>
      <c r="J344" s="22">
        <f>IF(AND(A344&gt;CARGAS!$AA$29,A344&lt;=CARGAS!$AA$30),tanque5,0)</f>
        <v>0</v>
      </c>
      <c r="K344" s="22">
        <f>IF(AND($A344&gt;CARGAS!$AD$29,$A344&lt;=CARGAS!$AD$30),tanque6,0)</f>
        <v>0</v>
      </c>
      <c r="L344" s="22">
        <f>IF(AND($A344&gt;CARGAS!$AG$29,$A344&lt;=CARGAS!$AG$30),tanque7,0)</f>
        <v>0</v>
      </c>
      <c r="M344" s="22">
        <f>IF(AND($A344&gt;CARGAS!$AJ$29,$A344&lt;=CARGAS!$AJ$30),tanque8,0)</f>
        <v>571.20000000000005</v>
      </c>
      <c r="N344" s="22">
        <f t="shared" si="36"/>
        <v>632.84121600000014</v>
      </c>
      <c r="O344" s="22">
        <f t="shared" si="37"/>
        <v>29.760104518972948</v>
      </c>
      <c r="P344" s="22">
        <f>O344*Equilibrio!Y$39*Equilibrio!Y$38*DADOS!C$4</f>
        <v>915.12321395841809</v>
      </c>
      <c r="Q344" s="22">
        <f t="shared" si="38"/>
        <v>-282.28199795841795</v>
      </c>
      <c r="R344" s="22">
        <f t="shared" si="39"/>
        <v>2023.601611037489</v>
      </c>
      <c r="S344" s="22">
        <f t="shared" si="40"/>
        <v>-6115.0676939932364</v>
      </c>
      <c r="T344" s="22">
        <f t="shared" si="41"/>
        <v>217064.53708800004</v>
      </c>
    </row>
    <row r="345" spans="1:20" x14ac:dyDescent="0.25">
      <c r="A345" s="21">
        <v>344</v>
      </c>
      <c r="B345" s="22">
        <f>CARGAS!$C$40*Equilibrio!A345^2+CARGAS!$D$40*Equilibrio!A345+CARGAS!$E$40</f>
        <v>51.918743020408215</v>
      </c>
      <c r="C345" s="22">
        <f>CARGAS!$C$53*Equilibrio!A345^2+CARGAS!$D$53*Equilibrio!A345+CARGAS!$E$53</f>
        <v>8.653123836734693</v>
      </c>
      <c r="D345">
        <f>IF(posisup=1,IF(A345&lt;=CARGAS!$E$68,sup,0),IF(posisup=2,IF(AND(A345&lt;=CARGAS!$E$69,A345&gt;=CARGAS!$D$69),sup,0),IF(posisup=3,IF(AND(A345&lt;=CARGAS!$E$70,A345&gt;=CARGAS!$D$70),sup,0),0)))</f>
        <v>0</v>
      </c>
      <c r="E345">
        <f>IF(A345&lt;=CARGAS!$H$25,CARGAS!$I$20,0)</f>
        <v>0</v>
      </c>
      <c r="F345" s="22">
        <f>IF(AND(A345&gt;CARGAS!$O$29,A345&lt;=CARGAS!$O$30),tanque1,0)</f>
        <v>0</v>
      </c>
      <c r="G345" s="22">
        <f>IF(AND(A345&gt;CARGAS!$R$29,A345&lt;=CARGAS!$R$30),tanque2,0)</f>
        <v>0</v>
      </c>
      <c r="H345" s="22">
        <f>IF(AND(A345&gt;CARGAS!$U$29,A345&lt;=CARGAS!$U$30),tanque3,0)</f>
        <v>0</v>
      </c>
      <c r="I345" s="22">
        <f>IF(AND(A345&gt;CARGAS!$X$29,A345&lt;=CARGAS!$X$30),tanque4,0)</f>
        <v>0</v>
      </c>
      <c r="J345" s="22">
        <f>IF(AND(A345&gt;CARGAS!$AA$29,A345&lt;=CARGAS!$AA$30),tanque5,0)</f>
        <v>0</v>
      </c>
      <c r="K345" s="22">
        <f>IF(AND($A345&gt;CARGAS!$AD$29,$A345&lt;=CARGAS!$AD$30),tanque6,0)</f>
        <v>0</v>
      </c>
      <c r="L345" s="22">
        <f>IF(AND($A345&gt;CARGAS!$AG$29,$A345&lt;=CARGAS!$AG$30),tanque7,0)</f>
        <v>0</v>
      </c>
      <c r="M345" s="22">
        <f>IF(AND($A345&gt;CARGAS!$AJ$29,$A345&lt;=CARGAS!$AJ$30),tanque8,0)</f>
        <v>571.20000000000005</v>
      </c>
      <c r="N345" s="22">
        <f t="shared" si="36"/>
        <v>631.77186685714298</v>
      </c>
      <c r="O345" s="22">
        <f t="shared" si="37"/>
        <v>29.785850441521745</v>
      </c>
      <c r="P345" s="22">
        <f>O345*Equilibrio!Y$39*Equilibrio!Y$38*DADOS!C$4</f>
        <v>915.91490107679363</v>
      </c>
      <c r="Q345" s="22">
        <f t="shared" si="38"/>
        <v>-284.14303421965064</v>
      </c>
      <c r="R345" s="22">
        <f t="shared" si="39"/>
        <v>1739.4585768178383</v>
      </c>
      <c r="S345" s="22">
        <f t="shared" si="40"/>
        <v>-4375.6091171753978</v>
      </c>
      <c r="T345" s="22">
        <f t="shared" si="41"/>
        <v>217329.52219885719</v>
      </c>
    </row>
    <row r="346" spans="1:20" x14ac:dyDescent="0.25">
      <c r="A346" s="21">
        <v>345</v>
      </c>
      <c r="B346" s="22">
        <f>CARGAS!$C$40*Equilibrio!A346^2+CARGAS!$D$40*Equilibrio!A346+CARGAS!$E$40</f>
        <v>50.996718367347</v>
      </c>
      <c r="C346" s="22">
        <f>CARGAS!$C$53*Equilibrio!A346^2+CARGAS!$D$53*Equilibrio!A346+CARGAS!$E$53</f>
        <v>8.499453061224493</v>
      </c>
      <c r="D346">
        <f>IF(posisup=1,IF(A346&lt;=CARGAS!$E$68,sup,0),IF(posisup=2,IF(AND(A346&lt;=CARGAS!$E$69,A346&gt;=CARGAS!$D$69),sup,0),IF(posisup=3,IF(AND(A346&lt;=CARGAS!$E$70,A346&gt;=CARGAS!$D$70),sup,0),0)))</f>
        <v>0</v>
      </c>
      <c r="E346">
        <f>IF(A346&lt;=CARGAS!$H$25,CARGAS!$I$20,0)</f>
        <v>0</v>
      </c>
      <c r="F346" s="22">
        <f>IF(AND(A346&gt;CARGAS!$O$29,A346&lt;=CARGAS!$O$30),tanque1,0)</f>
        <v>0</v>
      </c>
      <c r="G346" s="22">
        <f>IF(AND(A346&gt;CARGAS!$R$29,A346&lt;=CARGAS!$R$30),tanque2,0)</f>
        <v>0</v>
      </c>
      <c r="H346" s="22">
        <f>IF(AND(A346&gt;CARGAS!$U$29,A346&lt;=CARGAS!$U$30),tanque3,0)</f>
        <v>0</v>
      </c>
      <c r="I346" s="22">
        <f>IF(AND(A346&gt;CARGAS!$X$29,A346&lt;=CARGAS!$X$30),tanque4,0)</f>
        <v>0</v>
      </c>
      <c r="J346" s="22">
        <f>IF(AND(A346&gt;CARGAS!$AA$29,A346&lt;=CARGAS!$AA$30),tanque5,0)</f>
        <v>0</v>
      </c>
      <c r="K346" s="22">
        <f>IF(AND($A346&gt;CARGAS!$AD$29,$A346&lt;=CARGAS!$AD$30),tanque6,0)</f>
        <v>0</v>
      </c>
      <c r="L346" s="22">
        <f>IF(AND($A346&gt;CARGAS!$AG$29,$A346&lt;=CARGAS!$AG$30),tanque7,0)</f>
        <v>0</v>
      </c>
      <c r="M346" s="22">
        <f>IF(AND($A346&gt;CARGAS!$AJ$29,$A346&lt;=CARGAS!$AJ$30),tanque8,0)</f>
        <v>571.20000000000005</v>
      </c>
      <c r="N346" s="22">
        <f t="shared" si="36"/>
        <v>630.69617142857157</v>
      </c>
      <c r="O346" s="22">
        <f t="shared" si="37"/>
        <v>29.808792894492665</v>
      </c>
      <c r="P346" s="22">
        <f>O346*Equilibrio!Y$39*Equilibrio!Y$38*DADOS!C$4</f>
        <v>916.62038150564945</v>
      </c>
      <c r="Q346" s="22">
        <f t="shared" si="38"/>
        <v>-285.92421007707787</v>
      </c>
      <c r="R346" s="22">
        <f t="shared" si="39"/>
        <v>1453.5343667407606</v>
      </c>
      <c r="S346" s="22">
        <f t="shared" si="40"/>
        <v>-2922.0747504346373</v>
      </c>
      <c r="T346" s="22">
        <f t="shared" si="41"/>
        <v>217590.1791428572</v>
      </c>
    </row>
    <row r="347" spans="1:20" x14ac:dyDescent="0.25">
      <c r="A347" s="21">
        <v>346</v>
      </c>
      <c r="B347" s="22">
        <f>CARGAS!$C$40*Equilibrio!A347^2+CARGAS!$D$40*Equilibrio!A347+CARGAS!$E$40</f>
        <v>50.069254040816418</v>
      </c>
      <c r="C347" s="22">
        <f>CARGAS!$C$53*Equilibrio!A347^2+CARGAS!$D$53*Equilibrio!A347+CARGAS!$E$53</f>
        <v>8.3448756734693958</v>
      </c>
      <c r="D347">
        <f>IF(posisup=1,IF(A347&lt;=CARGAS!$E$68,sup,0),IF(posisup=2,IF(AND(A347&lt;=CARGAS!$E$69,A347&gt;=CARGAS!$D$69),sup,0),IF(posisup=3,IF(AND(A347&lt;=CARGAS!$E$70,A347&gt;=CARGAS!$D$70),sup,0),0)))</f>
        <v>0</v>
      </c>
      <c r="E347">
        <f>IF(A347&lt;=CARGAS!$H$25,CARGAS!$I$20,0)</f>
        <v>0</v>
      </c>
      <c r="F347" s="22">
        <f>IF(AND(A347&gt;CARGAS!$O$29,A347&lt;=CARGAS!$O$30),tanque1,0)</f>
        <v>0</v>
      </c>
      <c r="G347" s="22">
        <f>IF(AND(A347&gt;CARGAS!$R$29,A347&lt;=CARGAS!$R$30),tanque2,0)</f>
        <v>0</v>
      </c>
      <c r="H347" s="22">
        <f>IF(AND(A347&gt;CARGAS!$U$29,A347&lt;=CARGAS!$U$30),tanque3,0)</f>
        <v>0</v>
      </c>
      <c r="I347" s="22">
        <f>IF(AND(A347&gt;CARGAS!$X$29,A347&lt;=CARGAS!$X$30),tanque4,0)</f>
        <v>0</v>
      </c>
      <c r="J347" s="22">
        <f>IF(AND(A347&gt;CARGAS!$AA$29,A347&lt;=CARGAS!$AA$30),tanque5,0)</f>
        <v>0</v>
      </c>
      <c r="K347" s="22">
        <f>IF(AND($A347&gt;CARGAS!$AD$29,$A347&lt;=CARGAS!$AD$30),tanque6,0)</f>
        <v>0</v>
      </c>
      <c r="L347" s="22">
        <f>IF(AND($A347&gt;CARGAS!$AG$29,$A347&lt;=CARGAS!$AG$30),tanque7,0)</f>
        <v>0</v>
      </c>
      <c r="M347" s="22">
        <f>IF(AND($A347&gt;CARGAS!$AJ$29,$A347&lt;=CARGAS!$AJ$30),tanque8,0)</f>
        <v>571.20000000000005</v>
      </c>
      <c r="N347" s="22">
        <f t="shared" si="36"/>
        <v>629.61412971428581</v>
      </c>
      <c r="O347" s="22">
        <f t="shared" si="37"/>
        <v>29.828926887953148</v>
      </c>
      <c r="P347" s="22">
        <f>O347*Equilibrio!Y$39*Equilibrio!Y$38*DADOS!C$4</f>
        <v>917.23950180455927</v>
      </c>
      <c r="Q347" s="22">
        <f t="shared" si="38"/>
        <v>-287.62537209027346</v>
      </c>
      <c r="R347" s="22">
        <f t="shared" si="39"/>
        <v>1165.9089946504871</v>
      </c>
      <c r="S347" s="22">
        <f t="shared" si="40"/>
        <v>-1756.1657557841502</v>
      </c>
      <c r="T347" s="22">
        <f t="shared" si="41"/>
        <v>217846.4888811429</v>
      </c>
    </row>
    <row r="348" spans="1:20" x14ac:dyDescent="0.25">
      <c r="A348" s="21">
        <v>347</v>
      </c>
      <c r="B348" s="22">
        <f>CARGAS!$C$40*Equilibrio!A348^2+CARGAS!$D$40*Equilibrio!A348+CARGAS!$E$40</f>
        <v>49.13635004081641</v>
      </c>
      <c r="C348" s="22">
        <f>CARGAS!$C$53*Equilibrio!A348^2+CARGAS!$D$53*Equilibrio!A348+CARGAS!$E$53</f>
        <v>8.1893916734693946</v>
      </c>
      <c r="D348">
        <f>IF(posisup=1,IF(A348&lt;=CARGAS!$E$68,sup,0),IF(posisup=2,IF(AND(A348&lt;=CARGAS!$E$69,A348&gt;=CARGAS!$D$69),sup,0),IF(posisup=3,IF(AND(A348&lt;=CARGAS!$E$70,A348&gt;=CARGAS!$D$70),sup,0),0)))</f>
        <v>0</v>
      </c>
      <c r="E348">
        <f>IF(A348&lt;=CARGAS!$H$25,CARGAS!$I$20,0)</f>
        <v>0</v>
      </c>
      <c r="F348" s="22">
        <f>IF(AND(A348&gt;CARGAS!$O$29,A348&lt;=CARGAS!$O$30),tanque1,0)</f>
        <v>0</v>
      </c>
      <c r="G348" s="22">
        <f>IF(AND(A348&gt;CARGAS!$R$29,A348&lt;=CARGAS!$R$30),tanque2,0)</f>
        <v>0</v>
      </c>
      <c r="H348" s="22">
        <f>IF(AND(A348&gt;CARGAS!$U$29,A348&lt;=CARGAS!$U$30),tanque3,0)</f>
        <v>0</v>
      </c>
      <c r="I348" s="22">
        <f>IF(AND(A348&gt;CARGAS!$X$29,A348&lt;=CARGAS!$X$30),tanque4,0)</f>
        <v>0</v>
      </c>
      <c r="J348" s="22">
        <f>IF(AND(A348&gt;CARGAS!$AA$29,A348&lt;=CARGAS!$AA$30),tanque5,0)</f>
        <v>0</v>
      </c>
      <c r="K348" s="22">
        <f>IF(AND($A348&gt;CARGAS!$AD$29,$A348&lt;=CARGAS!$AD$30),tanque6,0)</f>
        <v>0</v>
      </c>
      <c r="L348" s="22">
        <f>IF(AND($A348&gt;CARGAS!$AG$29,$A348&lt;=CARGAS!$AG$30),tanque7,0)</f>
        <v>0</v>
      </c>
      <c r="M348" s="22">
        <f>IF(AND($A348&gt;CARGAS!$AJ$29,$A348&lt;=CARGAS!$AJ$30),tanque8,0)</f>
        <v>571.20000000000005</v>
      </c>
      <c r="N348" s="22">
        <f t="shared" si="36"/>
        <v>628.5257417142858</v>
      </c>
      <c r="O348" s="22">
        <f t="shared" si="37"/>
        <v>29.846248337036435</v>
      </c>
      <c r="P348" s="22">
        <f>O348*Equilibrio!Y$39*Equilibrio!Y$38*DADOS!C$4</f>
        <v>917.77213636387035</v>
      </c>
      <c r="Q348" s="22">
        <f t="shared" si="38"/>
        <v>-289.24639464958454</v>
      </c>
      <c r="R348" s="22">
        <f t="shared" si="39"/>
        <v>876.66260000090256</v>
      </c>
      <c r="S348" s="22">
        <f t="shared" si="40"/>
        <v>-879.50315578324762</v>
      </c>
      <c r="T348" s="22">
        <f t="shared" si="41"/>
        <v>218098.43237485716</v>
      </c>
    </row>
    <row r="349" spans="1:20" x14ac:dyDescent="0.25">
      <c r="A349" s="21">
        <v>348</v>
      </c>
      <c r="B349" s="22">
        <f>CARGAS!$C$40*Equilibrio!A349^2+CARGAS!$D$40*Equilibrio!A349+CARGAS!$E$40</f>
        <v>48.198006367346977</v>
      </c>
      <c r="C349" s="22">
        <f>CARGAS!$C$53*Equilibrio!A349^2+CARGAS!$D$53*Equilibrio!A349+CARGAS!$E$53</f>
        <v>8.0330010612244891</v>
      </c>
      <c r="D349">
        <f>IF(posisup=1,IF(A349&lt;=CARGAS!$E$68,sup,0),IF(posisup=2,IF(AND(A349&lt;=CARGAS!$E$69,A349&gt;=CARGAS!$D$69),sup,0),IF(posisup=3,IF(AND(A349&lt;=CARGAS!$E$70,A349&gt;=CARGAS!$D$70),sup,0),0)))</f>
        <v>0</v>
      </c>
      <c r="E349">
        <f>IF(A349&lt;=CARGAS!$H$25,CARGAS!$I$20,0)</f>
        <v>0</v>
      </c>
      <c r="F349" s="22">
        <f>IF(AND(A349&gt;CARGAS!$O$29,A349&lt;=CARGAS!$O$30),tanque1,0)</f>
        <v>0</v>
      </c>
      <c r="G349" s="22">
        <f>IF(AND(A349&gt;CARGAS!$R$29,A349&lt;=CARGAS!$R$30),tanque2,0)</f>
        <v>0</v>
      </c>
      <c r="H349" s="22">
        <f>IF(AND(A349&gt;CARGAS!$U$29,A349&lt;=CARGAS!$U$30),tanque3,0)</f>
        <v>0</v>
      </c>
      <c r="I349" s="22">
        <f>IF(AND(A349&gt;CARGAS!$X$29,A349&lt;=CARGAS!$X$30),tanque4,0)</f>
        <v>0</v>
      </c>
      <c r="J349" s="22">
        <f>IF(AND(A349&gt;CARGAS!$AA$29,A349&lt;=CARGAS!$AA$30),tanque5,0)</f>
        <v>0</v>
      </c>
      <c r="K349" s="22">
        <f>IF(AND($A349&gt;CARGAS!$AD$29,$A349&lt;=CARGAS!$AD$30),tanque6,0)</f>
        <v>0</v>
      </c>
      <c r="L349" s="22">
        <f>IF(AND($A349&gt;CARGAS!$AG$29,$A349&lt;=CARGAS!$AG$30),tanque7,0)</f>
        <v>0</v>
      </c>
      <c r="M349" s="22">
        <f>IF(AND($A349&gt;CARGAS!$AJ$29,$A349&lt;=CARGAS!$AJ$30),tanque8,0)</f>
        <v>571.20000000000005</v>
      </c>
      <c r="N349" s="22">
        <f t="shared" si="36"/>
        <v>627.43100742857155</v>
      </c>
      <c r="O349" s="22">
        <f t="shared" si="37"/>
        <v>29.860754063257968</v>
      </c>
      <c r="P349" s="22">
        <f>O349*Equilibrio!Y$39*Equilibrio!Y$38*DADOS!C$4</f>
        <v>918.21818744518237</v>
      </c>
      <c r="Q349" s="22">
        <f t="shared" si="38"/>
        <v>-290.78718001661082</v>
      </c>
      <c r="R349" s="22">
        <f t="shared" si="39"/>
        <v>585.87541998429174</v>
      </c>
      <c r="S349" s="22">
        <f t="shared" si="40"/>
        <v>-293.62773579895588</v>
      </c>
      <c r="T349" s="22">
        <f t="shared" si="41"/>
        <v>218345.99058514289</v>
      </c>
    </row>
    <row r="350" spans="1:20" x14ac:dyDescent="0.25">
      <c r="A350" s="21">
        <v>349</v>
      </c>
      <c r="B350" s="22">
        <f>CARGAS!$C$40*Equilibrio!A350^2+CARGAS!$D$40*Equilibrio!A350+CARGAS!$E$40</f>
        <v>47.254223020408233</v>
      </c>
      <c r="C350" s="22">
        <f>CARGAS!$C$53*Equilibrio!A350^2+CARGAS!$D$53*Equilibrio!A350+CARGAS!$E$53</f>
        <v>7.8757038367347008</v>
      </c>
      <c r="D350">
        <f>IF(posisup=1,IF(A350&lt;=CARGAS!$E$68,sup,0),IF(posisup=2,IF(AND(A350&lt;=CARGAS!$E$69,A350&gt;=CARGAS!$D$69),sup,0),IF(posisup=3,IF(AND(A350&lt;=CARGAS!$E$70,A350&gt;=CARGAS!$D$70),sup,0),0)))</f>
        <v>0</v>
      </c>
      <c r="E350">
        <f>IF(A350&lt;=CARGAS!$H$25,CARGAS!$I$20,0)</f>
        <v>0</v>
      </c>
      <c r="F350" s="22">
        <f>IF(AND(A350&gt;CARGAS!$O$29,A350&lt;=CARGAS!$O$30),tanque1,0)</f>
        <v>0</v>
      </c>
      <c r="G350" s="22">
        <f>IF(AND(A350&gt;CARGAS!$R$29,A350&lt;=CARGAS!$R$30),tanque2,0)</f>
        <v>0</v>
      </c>
      <c r="H350" s="22">
        <f>IF(AND(A350&gt;CARGAS!$U$29,A350&lt;=CARGAS!$U$30),tanque3,0)</f>
        <v>0</v>
      </c>
      <c r="I350" s="22">
        <f>IF(AND(A350&gt;CARGAS!$X$29,A350&lt;=CARGAS!$X$30),tanque4,0)</f>
        <v>0</v>
      </c>
      <c r="J350" s="22">
        <f>IF(AND(A350&gt;CARGAS!$AA$29,A350&lt;=CARGAS!$AA$30),tanque5,0)</f>
        <v>0</v>
      </c>
      <c r="K350" s="22">
        <f>IF(AND($A350&gt;CARGAS!$AD$29,$A350&lt;=CARGAS!$AD$30),tanque6,0)</f>
        <v>0</v>
      </c>
      <c r="L350" s="22">
        <f>IF(AND($A350&gt;CARGAS!$AG$29,$A350&lt;=CARGAS!$AG$30),tanque7,0)</f>
        <v>0</v>
      </c>
      <c r="M350" s="22">
        <f>IF(AND($A350&gt;CARGAS!$AJ$29,$A350&lt;=CARGAS!$AJ$30),tanque8,0)</f>
        <v>571.20000000000005</v>
      </c>
      <c r="N350" s="22">
        <f t="shared" si="36"/>
        <v>626.32992685714294</v>
      </c>
      <c r="O350" s="22">
        <f t="shared" si="37"/>
        <v>29.872441795539693</v>
      </c>
      <c r="P350" s="22">
        <f>O350*Equilibrio!Y$39*Equilibrio!Y$38*DADOS!C$4</f>
        <v>918.57758521284541</v>
      </c>
      <c r="Q350" s="22">
        <f t="shared" si="38"/>
        <v>-292.24765835570247</v>
      </c>
      <c r="R350" s="22">
        <f t="shared" si="39"/>
        <v>293.62776162858927</v>
      </c>
      <c r="S350" s="22">
        <f t="shared" si="40"/>
        <v>2.5829633386820205E-5</v>
      </c>
      <c r="T350" s="22">
        <f t="shared" si="41"/>
        <v>218589.14447314289</v>
      </c>
    </row>
    <row r="351" spans="1:20" x14ac:dyDescent="0.25">
      <c r="A351" s="21">
        <v>350</v>
      </c>
      <c r="B351" s="22">
        <f>CARGAS!$C$40*Equilibrio!A351^2+CARGAS!$D$40*Equilibrio!A351+CARGAS!$E$40</f>
        <v>46.305000000000064</v>
      </c>
      <c r="C351" s="22">
        <f>CARGAS!$C$53*Equilibrio!A351^2+CARGAS!$D$53*Equilibrio!A351+CARGAS!$E$53</f>
        <v>7.7175000000000082</v>
      </c>
      <c r="D351">
        <f>IF(posisup=1,IF(A351&lt;=CARGAS!$E$68,sup,0),IF(posisup=2,IF(AND(A351&lt;=CARGAS!$E$69,A351&gt;=CARGAS!$D$69),sup,0),IF(posisup=3,IF(AND(A351&lt;=CARGAS!$E$70,A351&gt;=CARGAS!$D$70),sup,0),0)))</f>
        <v>0</v>
      </c>
      <c r="E351">
        <f>IF(A351&lt;=CARGAS!$H$25,CARGAS!$I$20,0)</f>
        <v>0</v>
      </c>
      <c r="F351" s="22">
        <f>IF(AND(A351&gt;CARGAS!$O$29,A351&lt;=CARGAS!$O$30),tanque1,0)</f>
        <v>0</v>
      </c>
      <c r="G351" s="22">
        <f>IF(AND(A351&gt;CARGAS!$R$29,A351&lt;=CARGAS!$R$30),tanque2,0)</f>
        <v>0</v>
      </c>
      <c r="H351" s="22">
        <f>IF(AND(A351&gt;CARGAS!$U$29,A351&lt;=CARGAS!$U$30),tanque3,0)</f>
        <v>0</v>
      </c>
      <c r="I351" s="22">
        <f>IF(AND(A351&gt;CARGAS!$X$29,A351&lt;=CARGAS!$X$30),tanque4,0)</f>
        <v>0</v>
      </c>
      <c r="J351" s="22">
        <f>IF(AND(A351&gt;CARGAS!$AA$29,A351&lt;=CARGAS!$AA$30),tanque5,0)</f>
        <v>0</v>
      </c>
      <c r="K351" s="22">
        <f>IF(AND($A351&gt;CARGAS!$AD$29,$A351&lt;=CARGAS!$AD$30),tanque6,0)</f>
        <v>0</v>
      </c>
      <c r="L351" s="22">
        <f>IF(AND($A351&gt;CARGAS!$AG$29,$A351&lt;=CARGAS!$AG$30),tanque7,0)</f>
        <v>0</v>
      </c>
      <c r="M351" s="22">
        <f>IF(AND($A351&gt;CARGAS!$AJ$29,$A351&lt;=CARGAS!$AJ$30),tanque8,0)</f>
        <v>571.20000000000005</v>
      </c>
      <c r="N351" s="22">
        <f t="shared" si="36"/>
        <v>625.22250000000008</v>
      </c>
      <c r="O351" s="22">
        <f t="shared" si="37"/>
        <v>29.881310170941962</v>
      </c>
      <c r="P351" s="22">
        <f>O351*Equilibrio!Y$39*Equilibrio!Y$38*DADOS!C$4</f>
        <v>918.85028775646526</v>
      </c>
      <c r="Q351" s="22">
        <f t="shared" si="38"/>
        <v>-293.62778775646518</v>
      </c>
      <c r="R351" s="22">
        <f t="shared" si="39"/>
        <v>-2.6127875912607124E-5</v>
      </c>
      <c r="S351" s="22">
        <f t="shared" si="40"/>
        <v>-2.9824252578691812E-7</v>
      </c>
      <c r="T351" s="22">
        <f t="shared" si="41"/>
        <v>218827.87500000003</v>
      </c>
    </row>
  </sheetData>
  <sheetProtection selectLockedCells="1" selectUnlockedCells="1"/>
  <mergeCells count="4">
    <mergeCell ref="X7:Y7"/>
    <mergeCell ref="X8:Y8"/>
    <mergeCell ref="X10:Y10"/>
    <mergeCell ref="X9:Y9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661D1-0358-486D-B5EB-E7EBE91EC8D2}">
  <sheetPr codeName="Planilha1"/>
  <dimension ref="I1:Y35"/>
  <sheetViews>
    <sheetView topLeftCell="E7" zoomScale="115" zoomScaleNormal="115" workbookViewId="0">
      <selection activeCell="F2" sqref="F2"/>
    </sheetView>
  </sheetViews>
  <sheetFormatPr defaultRowHeight="15" x14ac:dyDescent="0.25"/>
  <cols>
    <col min="9" max="9" width="14.85546875" bestFit="1" customWidth="1"/>
    <col min="13" max="13" width="13.85546875" customWidth="1"/>
    <col min="15" max="15" width="11.5703125" bestFit="1" customWidth="1"/>
    <col min="16" max="16" width="29.140625" bestFit="1" customWidth="1"/>
    <col min="17" max="17" width="12" bestFit="1" customWidth="1"/>
    <col min="18" max="18" width="13" customWidth="1"/>
  </cols>
  <sheetData>
    <row r="1" spans="9:25" ht="15.75" thickBot="1" x14ac:dyDescent="0.3">
      <c r="I1" s="26" t="s">
        <v>95</v>
      </c>
      <c r="J1" s="38">
        <f>DADOS!I3</f>
        <v>40</v>
      </c>
      <c r="K1" s="28" t="s">
        <v>94</v>
      </c>
      <c r="M1" s="26"/>
      <c r="N1" s="27" t="s">
        <v>101</v>
      </c>
      <c r="O1" s="27" t="s">
        <v>102</v>
      </c>
      <c r="P1" s="27" t="s">
        <v>103</v>
      </c>
      <c r="Q1" s="27" t="s">
        <v>105</v>
      </c>
      <c r="R1" s="27" t="s">
        <v>106</v>
      </c>
      <c r="S1" s="28" t="s">
        <v>107</v>
      </c>
      <c r="U1" s="34" t="s">
        <v>42</v>
      </c>
      <c r="V1" s="35" t="s">
        <v>43</v>
      </c>
      <c r="W1" s="27"/>
      <c r="X1" s="35" t="s">
        <v>42</v>
      </c>
      <c r="Y1" s="36" t="s">
        <v>43</v>
      </c>
    </row>
    <row r="2" spans="9:25" x14ac:dyDescent="0.25">
      <c r="I2" s="29" t="s">
        <v>96</v>
      </c>
      <c r="J2" s="25">
        <f>DADOS!I4</f>
        <v>38</v>
      </c>
      <c r="K2" s="30" t="s">
        <v>94</v>
      </c>
      <c r="M2" s="29" t="s">
        <v>98</v>
      </c>
      <c r="N2">
        <f>J2/1000*pontal</f>
        <v>1.33</v>
      </c>
      <c r="O2">
        <f>pontal/2</f>
        <v>17.5</v>
      </c>
      <c r="P2">
        <f>N2*O2</f>
        <v>23.275000000000002</v>
      </c>
      <c r="Q2">
        <f>(J2/1000)*pontal^3/12</f>
        <v>135.77083333333334</v>
      </c>
      <c r="R2">
        <f>O2-$N$7</f>
        <v>0.79046037735849239</v>
      </c>
      <c r="S2" s="30">
        <f>N2*R2^2</f>
        <v>0.83102071887106121</v>
      </c>
      <c r="U2" s="26">
        <f>-boa/2</f>
        <v>-15</v>
      </c>
      <c r="V2" s="27">
        <f>-N7</f>
        <v>-16.709539622641508</v>
      </c>
      <c r="W2" s="27"/>
      <c r="X2" s="27">
        <f>U2+J2/1000</f>
        <v>-14.962</v>
      </c>
      <c r="Y2" s="28">
        <f>V2+J3/1000</f>
        <v>-16.661539622641509</v>
      </c>
    </row>
    <row r="3" spans="9:25" ht="15.75" thickBot="1" x14ac:dyDescent="0.3">
      <c r="I3" s="31" t="s">
        <v>97</v>
      </c>
      <c r="J3" s="37">
        <f>DADOS!I5</f>
        <v>48</v>
      </c>
      <c r="K3" s="33" t="s">
        <v>94</v>
      </c>
      <c r="M3" s="29" t="s">
        <v>99</v>
      </c>
      <c r="N3">
        <f>J2/1000*pontal</f>
        <v>1.33</v>
      </c>
      <c r="O3">
        <f>pontal/2</f>
        <v>17.5</v>
      </c>
      <c r="P3">
        <f t="shared" ref="P3:P5" si="0">N3*O3</f>
        <v>23.275000000000002</v>
      </c>
      <c r="Q3">
        <f>(J2/1000)*pontal^3/12</f>
        <v>135.77083333333334</v>
      </c>
      <c r="R3">
        <f>O3-$N$7</f>
        <v>0.79046037735849239</v>
      </c>
      <c r="S3" s="30">
        <f t="shared" ref="S3" si="1">N3*R3^2</f>
        <v>0.83102071887106121</v>
      </c>
      <c r="U3" s="29">
        <f>-boa/2</f>
        <v>-15</v>
      </c>
      <c r="V3">
        <f>pontal-N7</f>
        <v>18.290460377358492</v>
      </c>
      <c r="X3">
        <f>U3+J2/1000</f>
        <v>-14.962</v>
      </c>
      <c r="Y3" s="30">
        <f>V3-J1/1000</f>
        <v>18.250460377358493</v>
      </c>
    </row>
    <row r="4" spans="9:25" x14ac:dyDescent="0.25">
      <c r="J4">
        <f>pontal</f>
        <v>35</v>
      </c>
      <c r="M4" s="29" t="s">
        <v>100</v>
      </c>
      <c r="N4">
        <f>boa*J3/1000</f>
        <v>1.44</v>
      </c>
      <c r="O4">
        <f>J3/2/1000</f>
        <v>2.4E-2</v>
      </c>
      <c r="P4">
        <f t="shared" si="0"/>
        <v>3.456E-2</v>
      </c>
      <c r="Q4">
        <f>boa*(J3/1000)^3/12</f>
        <v>2.7648000000000001E-4</v>
      </c>
      <c r="R4">
        <f>O4-$N$7</f>
        <v>-16.685539622641507</v>
      </c>
      <c r="S4" s="30">
        <f>N4*R4^2</f>
        <v>400.90641479818515</v>
      </c>
      <c r="U4" s="29">
        <f>boa/2</f>
        <v>15</v>
      </c>
      <c r="V4">
        <f>pontal-N7</f>
        <v>18.290460377358492</v>
      </c>
      <c r="X4">
        <f>U4-J2/1000</f>
        <v>14.962</v>
      </c>
      <c r="Y4" s="30">
        <f>V4-J1/1000</f>
        <v>18.250460377358493</v>
      </c>
    </row>
    <row r="5" spans="9:25" x14ac:dyDescent="0.25">
      <c r="M5" s="29" t="s">
        <v>121</v>
      </c>
      <c r="N5">
        <f>boa*J1/1000</f>
        <v>1.2</v>
      </c>
      <c r="O5">
        <f>pontal-J1/2000</f>
        <v>34.979999999999997</v>
      </c>
      <c r="P5">
        <f t="shared" si="0"/>
        <v>41.975999999999992</v>
      </c>
      <c r="Q5">
        <f>boa*(J1/1000)^3/12</f>
        <v>1.6000000000000001E-4</v>
      </c>
      <c r="R5">
        <f>O5-$N$7</f>
        <v>18.270460377358489</v>
      </c>
      <c r="S5" s="30">
        <f>N5*R5^2</f>
        <v>400.57166688075182</v>
      </c>
      <c r="U5" s="29">
        <f>boa/2</f>
        <v>15</v>
      </c>
      <c r="V5">
        <f>-N7</f>
        <v>-16.709539622641508</v>
      </c>
      <c r="X5">
        <f>U5-J2/1000</f>
        <v>14.962</v>
      </c>
      <c r="Y5" s="30">
        <f>V2+J3/1000</f>
        <v>-16.661539622641509</v>
      </c>
    </row>
    <row r="6" spans="9:25" x14ac:dyDescent="0.25">
      <c r="M6" s="29"/>
      <c r="S6" s="30"/>
      <c r="U6" s="29">
        <f>-boa/2</f>
        <v>-15</v>
      </c>
      <c r="V6">
        <f>-N7</f>
        <v>-16.709539622641508</v>
      </c>
      <c r="X6">
        <f>U6+J2/1000</f>
        <v>-14.962</v>
      </c>
      <c r="Y6" s="30">
        <f>V6+J3/1000</f>
        <v>-16.661539622641509</v>
      </c>
    </row>
    <row r="7" spans="9:25" ht="13.5" customHeight="1" x14ac:dyDescent="0.25">
      <c r="M7" s="29" t="s">
        <v>104</v>
      </c>
      <c r="N7">
        <f>SUM(P2:P5)/SUM(N2:N5)</f>
        <v>16.709539622641508</v>
      </c>
      <c r="O7" t="s">
        <v>0</v>
      </c>
      <c r="P7" t="str">
        <f>ROUND(N7,2)&amp;" m"</f>
        <v>16.71 m</v>
      </c>
      <c r="S7" s="30"/>
      <c r="U7" s="29"/>
      <c r="Y7" s="30"/>
    </row>
    <row r="8" spans="9:25" ht="15.75" thickBot="1" x14ac:dyDescent="0.3">
      <c r="M8" s="31" t="s">
        <v>108</v>
      </c>
      <c r="N8" s="32">
        <f>SUM(Q2:Q5)+SUM(S2:S5)</f>
        <v>1074.6822262633459</v>
      </c>
      <c r="O8" s="32" t="s">
        <v>109</v>
      </c>
      <c r="P8" s="32"/>
      <c r="Q8" s="32"/>
      <c r="R8" s="32"/>
      <c r="S8" s="33"/>
      <c r="U8" s="29">
        <f>V14</f>
        <v>-411.19238573719997</v>
      </c>
      <c r="V8">
        <v>0</v>
      </c>
      <c r="W8" t="s">
        <v>112</v>
      </c>
      <c r="Y8" s="30"/>
    </row>
    <row r="9" spans="9:25" x14ac:dyDescent="0.25">
      <c r="U9" s="29">
        <f>V15</f>
        <v>411.19238573719997</v>
      </c>
      <c r="V9">
        <v>0</v>
      </c>
      <c r="Y9" s="30"/>
    </row>
    <row r="10" spans="9:25" x14ac:dyDescent="0.25">
      <c r="M10" t="s">
        <v>116</v>
      </c>
      <c r="N10">
        <v>270</v>
      </c>
      <c r="O10" t="s">
        <v>117</v>
      </c>
      <c r="U10" s="29">
        <v>0</v>
      </c>
      <c r="V10">
        <f>R14-0.3</f>
        <v>-16.985539622641507</v>
      </c>
      <c r="W10" t="s">
        <v>113</v>
      </c>
      <c r="Y10" s="30"/>
    </row>
    <row r="11" spans="9:25" x14ac:dyDescent="0.25">
      <c r="M11" t="str">
        <f>"σ Aço [MPa] ="&amp;N10</f>
        <v>σ Aço [MPa] =270</v>
      </c>
      <c r="U11" s="29">
        <v>0</v>
      </c>
      <c r="V11">
        <f>R13+0.3</f>
        <v>18.57046037735849</v>
      </c>
      <c r="Y11" s="30"/>
    </row>
    <row r="12" spans="9:25" ht="39.75" x14ac:dyDescent="0.25">
      <c r="P12" s="41" t="s">
        <v>144</v>
      </c>
      <c r="U12" s="29"/>
      <c r="Y12" s="30"/>
    </row>
    <row r="13" spans="9:25" x14ac:dyDescent="0.25">
      <c r="P13" t="str">
        <f>"σ convés [MPa] - "&amp;Q18</f>
        <v>σ convés [MPa] - Estrutura falhou</v>
      </c>
      <c r="Q13" s="25">
        <f>momentomax*9.81*R5/N8/1000</f>
        <v>-274.12825715813329</v>
      </c>
      <c r="R13">
        <f>R5</f>
        <v>18.270460377358489</v>
      </c>
      <c r="U13" s="29">
        <f>MAX(ABS(Q13),ABS(Q14))</f>
        <v>274.12825715813329</v>
      </c>
      <c r="Y13" s="30"/>
    </row>
    <row r="14" spans="9:25" x14ac:dyDescent="0.25">
      <c r="P14" t="str">
        <f>"σ fundo [MPa] - "&amp;Q19</f>
        <v xml:space="preserve">σ fundo [MPa] - </v>
      </c>
      <c r="Q14" s="25">
        <f>momentomax*9.81*R4/N8/1000</f>
        <v>250.34825625773266</v>
      </c>
      <c r="R14">
        <f>R4</f>
        <v>-16.685539622641507</v>
      </c>
      <c r="U14" s="29" t="s">
        <v>118</v>
      </c>
      <c r="V14">
        <f>-U13*1.5</f>
        <v>-411.19238573719997</v>
      </c>
      <c r="W14" t="s">
        <v>110</v>
      </c>
      <c r="Y14" s="30"/>
    </row>
    <row r="15" spans="9:25" x14ac:dyDescent="0.25">
      <c r="U15" s="29"/>
      <c r="V15">
        <f>ABS(V14)</f>
        <v>411.19238573719997</v>
      </c>
      <c r="W15" t="s">
        <v>111</v>
      </c>
      <c r="Y15" s="30"/>
    </row>
    <row r="16" spans="9:25" x14ac:dyDescent="0.25">
      <c r="U16" s="29"/>
      <c r="Y16" s="30"/>
    </row>
    <row r="17" spans="14:25" x14ac:dyDescent="0.25">
      <c r="U17" s="29"/>
      <c r="Y17" s="30"/>
    </row>
    <row r="18" spans="14:25" x14ac:dyDescent="0.25">
      <c r="P18" t="s">
        <v>119</v>
      </c>
      <c r="Q18" s="39" t="str">
        <f>IF(ABS($Q$13)&gt;N10,"Estrutura falhou","")</f>
        <v>Estrutura falhou</v>
      </c>
      <c r="U18" s="29" t="s">
        <v>114</v>
      </c>
      <c r="V18">
        <v>0</v>
      </c>
      <c r="W18">
        <f>VLOOKUP($V$19,$Q$13:$R$14,2,FALSE)</f>
        <v>18.270460377358489</v>
      </c>
      <c r="Y18" s="30"/>
    </row>
    <row r="19" spans="14:25" x14ac:dyDescent="0.25">
      <c r="P19" t="s">
        <v>120</v>
      </c>
      <c r="Q19" s="39" t="str">
        <f>IF(ABS($Q$14)&gt;N10,"Estrutura falhou","")</f>
        <v/>
      </c>
      <c r="U19" s="29" t="str">
        <f>IF(V19=Q13,P13,P14)</f>
        <v>σ convés [MPa] - Estrutura falhou</v>
      </c>
      <c r="V19" s="25">
        <f>MIN(Q13:Q14)</f>
        <v>-274.12825715813329</v>
      </c>
      <c r="W19">
        <f>VLOOKUP($V$19,$Q$13:$R$14,2,FALSE)</f>
        <v>18.270460377358489</v>
      </c>
      <c r="Y19" s="30"/>
    </row>
    <row r="20" spans="14:25" x14ac:dyDescent="0.25">
      <c r="U20" s="29"/>
      <c r="V20">
        <v>0</v>
      </c>
      <c r="W20">
        <f>W18*0.75</f>
        <v>13.702845283018867</v>
      </c>
      <c r="Y20" s="30"/>
    </row>
    <row r="21" spans="14:25" x14ac:dyDescent="0.25">
      <c r="N21" s="72"/>
      <c r="O21" s="72" t="s">
        <v>145</v>
      </c>
      <c r="P21" s="73" t="s">
        <v>151</v>
      </c>
      <c r="U21" s="29"/>
      <c r="V21">
        <f>V19*0.75</f>
        <v>-205.59619286859999</v>
      </c>
      <c r="W21">
        <f>W19*0.75</f>
        <v>13.702845283018867</v>
      </c>
      <c r="Y21" s="30"/>
    </row>
    <row r="22" spans="14:25" x14ac:dyDescent="0.25">
      <c r="N22" s="72" t="s">
        <v>146</v>
      </c>
      <c r="O22" s="74">
        <f>(0*J1/1000)*(pontal-N7)</f>
        <v>0</v>
      </c>
      <c r="P22" s="74">
        <f>fcortantemax*O22/(N8*J1/1000)</f>
        <v>0</v>
      </c>
      <c r="Q22">
        <v>0</v>
      </c>
      <c r="R22" s="71">
        <f>P22</f>
        <v>0</v>
      </c>
      <c r="U22" s="29"/>
      <c r="V22">
        <v>0</v>
      </c>
      <c r="W22">
        <f>W18*0.5</f>
        <v>9.1352301886792446</v>
      </c>
      <c r="Y22" s="30"/>
    </row>
    <row r="23" spans="14:25" x14ac:dyDescent="0.25">
      <c r="N23" s="72" t="s">
        <v>147</v>
      </c>
      <c r="O23" s="74">
        <f>(Boca/2*J1/1000)*(pontal-N7)</f>
        <v>8.6843105871698114</v>
      </c>
      <c r="P23" s="74">
        <f>fcortantemax*O23/(N8*J1/1000)</f>
        <v>-3968.1257898607782</v>
      </c>
      <c r="Q23">
        <f>Boca</f>
        <v>23.74</v>
      </c>
      <c r="R23" s="71">
        <f>P23</f>
        <v>-3968.1257898607782</v>
      </c>
      <c r="U23" s="29"/>
      <c r="V23">
        <f>V19*0.5</f>
        <v>-137.06412857906665</v>
      </c>
      <c r="W23">
        <f>W19*0.5</f>
        <v>9.1352301886792446</v>
      </c>
      <c r="Y23" s="30"/>
    </row>
    <row r="24" spans="14:25" x14ac:dyDescent="0.25">
      <c r="N24" s="72" t="s">
        <v>150</v>
      </c>
      <c r="O24" s="74">
        <f>O23+((pontal-N7)*J2/1000)*(pontal-N7)/2</f>
        <v>15.040588462668509</v>
      </c>
      <c r="P24" s="74">
        <f>fcortantemax*O24/(N8*J2/1000)</f>
        <v>-7234.2132490811273</v>
      </c>
      <c r="Q24">
        <f>pontal</f>
        <v>35</v>
      </c>
      <c r="R24" s="71">
        <f>R23</f>
        <v>-3968.1257898607782</v>
      </c>
      <c r="U24" s="29"/>
      <c r="V24">
        <v>0</v>
      </c>
      <c r="W24">
        <f>W18*0.25</f>
        <v>4.5676150943396223</v>
      </c>
      <c r="Y24" s="30"/>
    </row>
    <row r="25" spans="14:25" x14ac:dyDescent="0.25">
      <c r="N25" s="72" t="s">
        <v>150</v>
      </c>
      <c r="O25" s="74">
        <f>O26+N7*J2/1000*N7/2</f>
        <v>14.82539286900813</v>
      </c>
      <c r="P25" s="74">
        <f>fcortantemax*O25/(N8*J2/1000)</f>
        <v>-7130.7086010638122</v>
      </c>
      <c r="Q25">
        <f>N7</f>
        <v>16.709539622641508</v>
      </c>
      <c r="R25" s="71">
        <f>P25</f>
        <v>-7130.7086010638122</v>
      </c>
      <c r="U25" s="29"/>
      <c r="V25">
        <f>V19*0.25</f>
        <v>-68.532064289533324</v>
      </c>
      <c r="W25">
        <f>W19*0.25</f>
        <v>4.5676150943396223</v>
      </c>
      <c r="Y25" s="30"/>
    </row>
    <row r="26" spans="14:25" x14ac:dyDescent="0.25">
      <c r="N26" s="72" t="s">
        <v>149</v>
      </c>
      <c r="O26" s="74">
        <f>(Boca/2*J3/1000)*N7</f>
        <v>9.5204272953962263</v>
      </c>
      <c r="P26" s="74">
        <f>fcortantemax*O26/(N8*J3/1000)</f>
        <v>-3625.1441322594064</v>
      </c>
      <c r="Q26">
        <v>0</v>
      </c>
      <c r="R26" s="71">
        <f>P26</f>
        <v>-3625.1441322594064</v>
      </c>
      <c r="U26" s="29"/>
      <c r="Y26" s="30"/>
    </row>
    <row r="27" spans="14:25" x14ac:dyDescent="0.25">
      <c r="N27" s="72" t="s">
        <v>148</v>
      </c>
      <c r="O27" s="74">
        <f>(0*J3/1000)*N7</f>
        <v>0</v>
      </c>
      <c r="P27" s="74">
        <f>fcortantemax*O27/(N8*J3/1000)</f>
        <v>0</v>
      </c>
      <c r="Q27">
        <v>0</v>
      </c>
      <c r="R27" s="71">
        <f>P27</f>
        <v>0</v>
      </c>
      <c r="U27" s="29"/>
      <c r="Y27" s="30"/>
    </row>
    <row r="28" spans="14:25" x14ac:dyDescent="0.25">
      <c r="Q28">
        <f>Boca</f>
        <v>23.74</v>
      </c>
      <c r="R28" s="71">
        <f>-R26</f>
        <v>3625.1441322594064</v>
      </c>
      <c r="U28" s="29" t="s">
        <v>115</v>
      </c>
      <c r="V28">
        <f>0</f>
        <v>0</v>
      </c>
      <c r="W28">
        <f>VLOOKUP($V$29,$Q$13:$R$14,2,FALSE)</f>
        <v>-16.685539622641507</v>
      </c>
      <c r="Y28" s="30"/>
    </row>
    <row r="29" spans="14:25" x14ac:dyDescent="0.25">
      <c r="U29" s="29" t="str">
        <f>IF(V19=Q14,P13,P14)</f>
        <v xml:space="preserve">σ fundo [MPa] - </v>
      </c>
      <c r="V29" s="25">
        <f>MAX(Q13:Q14)</f>
        <v>250.34825625773266</v>
      </c>
      <c r="W29">
        <f>VLOOKUP($V$29,$Q$13:$R$14,2,FALSE)</f>
        <v>-16.685539622641507</v>
      </c>
      <c r="Y29" s="30"/>
    </row>
    <row r="30" spans="14:25" x14ac:dyDescent="0.25">
      <c r="U30" s="29"/>
      <c r="V30">
        <v>0</v>
      </c>
      <c r="W30">
        <f>W28*0.75</f>
        <v>-12.51415471698113</v>
      </c>
      <c r="Y30" s="30"/>
    </row>
    <row r="31" spans="14:25" x14ac:dyDescent="0.25">
      <c r="U31" s="29"/>
      <c r="V31">
        <f>V29*0.75</f>
        <v>187.76119219329951</v>
      </c>
      <c r="W31">
        <f>W29*0.75</f>
        <v>-12.51415471698113</v>
      </c>
      <c r="Y31" s="30"/>
    </row>
    <row r="32" spans="14:25" x14ac:dyDescent="0.25">
      <c r="U32" s="29"/>
      <c r="V32">
        <v>0</v>
      </c>
      <c r="W32">
        <f>W28*0.5</f>
        <v>-8.3427698113207533</v>
      </c>
      <c r="Y32" s="30"/>
    </row>
    <row r="33" spans="21:25" x14ac:dyDescent="0.25">
      <c r="U33" s="29"/>
      <c r="V33">
        <f>V29*0.5</f>
        <v>125.17412812886633</v>
      </c>
      <c r="W33">
        <f>W29*0.5</f>
        <v>-8.3427698113207533</v>
      </c>
      <c r="Y33" s="30"/>
    </row>
    <row r="34" spans="21:25" x14ac:dyDescent="0.25">
      <c r="U34" s="29"/>
      <c r="V34">
        <v>0</v>
      </c>
      <c r="W34">
        <f>W28*0.25</f>
        <v>-4.1713849056603767</v>
      </c>
      <c r="Y34" s="30"/>
    </row>
    <row r="35" spans="21:25" ht="15.75" thickBot="1" x14ac:dyDescent="0.3">
      <c r="U35" s="31"/>
      <c r="V35" s="32">
        <f>V29*0.25</f>
        <v>62.587064064433164</v>
      </c>
      <c r="W35" s="32">
        <f>W29*0.25</f>
        <v>-4.1713849056603767</v>
      </c>
      <c r="X35" s="32"/>
      <c r="Y35" s="3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27</vt:i4>
      </vt:variant>
    </vt:vector>
  </HeadingPairs>
  <TitlesOfParts>
    <vt:vector size="31" baseType="lpstr">
      <vt:lpstr>DADOS</vt:lpstr>
      <vt:lpstr>CARGAS</vt:lpstr>
      <vt:lpstr>Equilibrio</vt:lpstr>
      <vt:lpstr>tensões</vt:lpstr>
      <vt:lpstr>boa</vt:lpstr>
      <vt:lpstr>calado</vt:lpstr>
      <vt:lpstr>capacidadecomp</vt:lpstr>
      <vt:lpstr>casco</vt:lpstr>
      <vt:lpstr>cm</vt:lpstr>
      <vt:lpstr>compsup</vt:lpstr>
      <vt:lpstr>densidadeagua</vt:lpstr>
      <vt:lpstr>fcortantemax</vt:lpstr>
      <vt:lpstr>forcacortante</vt:lpstr>
      <vt:lpstr>infoatualizar</vt:lpstr>
      <vt:lpstr>loa</vt:lpstr>
      <vt:lpstr>momentofletor</vt:lpstr>
      <vt:lpstr>momentomax</vt:lpstr>
      <vt:lpstr>out</vt:lpstr>
      <vt:lpstr>pontal</vt:lpstr>
      <vt:lpstr>posisup</vt:lpstr>
      <vt:lpstr>sup</vt:lpstr>
      <vt:lpstr>tanque1</vt:lpstr>
      <vt:lpstr>tanque2</vt:lpstr>
      <vt:lpstr>tanque3</vt:lpstr>
      <vt:lpstr>tanque4</vt:lpstr>
      <vt:lpstr>tanque5</vt:lpstr>
      <vt:lpstr>tanque6</vt:lpstr>
      <vt:lpstr>tanque7</vt:lpstr>
      <vt:lpstr>tanque8</vt:lpstr>
      <vt:lpstr>tmedio</vt:lpstr>
      <vt:lpstr>trimrad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Ship Structure</dc:title>
  <dc:creator>Rafael Pieper;Rafael Pieper</dc:creator>
  <cp:lastModifiedBy>Rafael Pieper</cp:lastModifiedBy>
  <dcterms:created xsi:type="dcterms:W3CDTF">2017-06-26T19:23:09Z</dcterms:created>
  <dcterms:modified xsi:type="dcterms:W3CDTF">2023-09-09T14:16:45Z</dcterms:modified>
</cp:coreProperties>
</file>