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15b02b5d226853/Documents/GitHub/Tugboat-Allocation-Optmization/"/>
    </mc:Choice>
  </mc:AlternateContent>
  <xr:revisionPtr revIDLastSave="4120" documentId="8_{F5B02388-C6ED-42C2-9806-3E2B7214702D}" xr6:coauthVersionLast="47" xr6:coauthVersionMax="47" xr10:uidLastSave="{C3817C49-9720-49B9-B03F-5DF93C555727}"/>
  <bookViews>
    <workbookView xWindow="-120" yWindow="-120" windowWidth="29040" windowHeight="15720" tabRatio="721" xr2:uid="{A4E8CF24-3EE0-4960-A9FC-15479DAA2252}"/>
  </bookViews>
  <sheets>
    <sheet name="Modelagem" sheetId="1" r:id="rId1"/>
    <sheet name="Sheet2" sheetId="3" r:id="rId2"/>
  </sheets>
  <definedNames>
    <definedName name="_xlnm._FilterDatabase" localSheetId="1" hidden="1">Sheet2!$A$2:$E$2</definedName>
    <definedName name="solver_adj" localSheetId="0" hidden="1">Modelagem!$K$13:$K$32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Modelagem!$G$7</definedName>
    <definedName name="solver_lhs10" localSheetId="0" hidden="1">Modelagem!$L$13</definedName>
    <definedName name="solver_lhs11" localSheetId="0" hidden="1">Modelagem!$L$17</definedName>
    <definedName name="solver_lhs12" localSheetId="0" hidden="1">Modelagem!$L$21</definedName>
    <definedName name="solver_lhs13" localSheetId="0" hidden="1">Modelagem!$M$29</definedName>
    <definedName name="solver_lhs14" localSheetId="0" hidden="1">Modelagem!$M$21</definedName>
    <definedName name="solver_lhs15" localSheetId="0" hidden="1">Modelagem!$K$13:$K$32</definedName>
    <definedName name="solver_lhs16" localSheetId="0" hidden="1">Modelagem!$K$13:$K$32</definedName>
    <definedName name="solver_lhs17" localSheetId="0" hidden="1">Modelagem!$G$5</definedName>
    <definedName name="solver_lhs18" localSheetId="0" hidden="1">Modelagem!$M$25</definedName>
    <definedName name="solver_lhs19" localSheetId="0" hidden="1">Modelagem!$L$29</definedName>
    <definedName name="solver_lhs2" localSheetId="0" hidden="1">Modelagem!$G$8</definedName>
    <definedName name="solver_lhs20" localSheetId="0" hidden="1">Modelagem!$M$13</definedName>
    <definedName name="solver_lhs21" localSheetId="0" hidden="1">Modelagem!$L$25</definedName>
    <definedName name="solver_lhs22" localSheetId="0" hidden="1">Modelagem!$M$17</definedName>
    <definedName name="solver_lhs23" localSheetId="0" hidden="1">Modelagem!$N$29</definedName>
    <definedName name="solver_lhs24" localSheetId="0" hidden="1">Modelagem!$G$6</definedName>
    <definedName name="solver_lhs25" localSheetId="0" hidden="1">Modelagem!$H$8</definedName>
    <definedName name="solver_lhs26" localSheetId="0" hidden="1">Modelagem!$H$8</definedName>
    <definedName name="solver_lhs27" localSheetId="0" hidden="1">Modelagem!$H$8</definedName>
    <definedName name="solver_lhs28" localSheetId="0" hidden="1">Modelagem!#REF!</definedName>
    <definedName name="solver_lhs29" localSheetId="0" hidden="1">Modelagem!#REF!</definedName>
    <definedName name="solver_lhs3" localSheetId="0" hidden="1">Modelagem!$H$5</definedName>
    <definedName name="solver_lhs30" localSheetId="0" hidden="1">Modelagem!#REF!</definedName>
    <definedName name="solver_lhs4" localSheetId="0" hidden="1">Modelagem!$H$6</definedName>
    <definedName name="solver_lhs5" localSheetId="0" hidden="1">Modelagem!$H$7</definedName>
    <definedName name="solver_lhs6" localSheetId="0" hidden="1">Modelagem!$G$6</definedName>
    <definedName name="solver_lhs7" localSheetId="0" hidden="1">Modelagem!$K$13:$K$32</definedName>
    <definedName name="solver_lhs8" localSheetId="0" hidden="1">Modelagem!$H$8</definedName>
    <definedName name="solver_lhs9" localSheetId="0" hidden="1">Modelagem!$N$29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22</definedName>
    <definedName name="solver_nwt" localSheetId="0" hidden="1">1</definedName>
    <definedName name="solver_opt" localSheetId="0" hidden="1">Modelagem!$O$2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3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3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2</definedName>
    <definedName name="solver_rel2" localSheetId="0" hidden="1">3</definedName>
    <definedName name="solver_rel20" localSheetId="0" hidden="1">3</definedName>
    <definedName name="solver_rel21" localSheetId="0" hidden="1">2</definedName>
    <definedName name="solver_rel22" localSheetId="0" hidden="1">3</definedName>
    <definedName name="solver_rel23" localSheetId="0" hidden="1">3</definedName>
    <definedName name="solver_rel24" localSheetId="0" hidden="1">3</definedName>
    <definedName name="solver_rel25" localSheetId="0" hidden="1">3</definedName>
    <definedName name="solver_rel26" localSheetId="0" hidden="1">3</definedName>
    <definedName name="solver_rel27" localSheetId="0" hidden="1">3</definedName>
    <definedName name="solver_rel28" localSheetId="0" hidden="1">1</definedName>
    <definedName name="solver_rel29" localSheetId="0" hidden="1">1</definedName>
    <definedName name="solver_rel3" localSheetId="0" hidden="1">3</definedName>
    <definedName name="solver_rel30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4</definedName>
    <definedName name="solver_rel8" localSheetId="0" hidden="1">3</definedName>
    <definedName name="solver_rel9" localSheetId="0" hidden="1">3</definedName>
    <definedName name="solver_rhs1" localSheetId="0" hidden="1">0</definedName>
    <definedName name="solver_rhs10" localSheetId="0" hidden="1">Modelagem!$E$13</definedName>
    <definedName name="solver_rhs11" localSheetId="0" hidden="1">Modelagem!$E$17</definedName>
    <definedName name="solver_rhs12" localSheetId="0" hidden="1">Modelagem!$E$21</definedName>
    <definedName name="solver_rhs13" localSheetId="0" hidden="1">Modelagem!$F$29</definedName>
    <definedName name="solver_rhs14" localSheetId="0" hidden="1">Modelagem!$F$21</definedName>
    <definedName name="solver_rhs15" localSheetId="0" hidden="1">5</definedName>
    <definedName name="solver_rhs16" localSheetId="0" hidden="1">0</definedName>
    <definedName name="solver_rhs17" localSheetId="0" hidden="1">0</definedName>
    <definedName name="solver_rhs18" localSheetId="0" hidden="1">Modelagem!$F$25</definedName>
    <definedName name="solver_rhs19" localSheetId="0" hidden="1">Modelagem!$E$29</definedName>
    <definedName name="solver_rhs2" localSheetId="0" hidden="1">0</definedName>
    <definedName name="solver_rhs20" localSheetId="0" hidden="1">Modelagem!$F$13</definedName>
    <definedName name="solver_rhs21" localSheetId="0" hidden="1">Modelagem!$E$25</definedName>
    <definedName name="solver_rhs22" localSheetId="0" hidden="1">Modelagem!$F$17</definedName>
    <definedName name="solver_rhs23" localSheetId="0" hidden="1">Modelagem!$G$29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Modelagem!$L$8</definedName>
    <definedName name="solver_rhs29" localSheetId="0" hidden="1">Modelagem!$L$8</definedName>
    <definedName name="solver_rhs3" localSheetId="0" hidden="1">0</definedName>
    <definedName name="solver_rhs30" localSheetId="0" hidden="1">Modelagem!$L$8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"integer"</definedName>
    <definedName name="solver_rhs8" localSheetId="0" hidden="1">0</definedName>
    <definedName name="solver_rhs9" localSheetId="0" hidden="1">Modelagem!$G$29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3" i="3"/>
  <c r="E8" i="3"/>
  <c r="E7" i="3"/>
  <c r="E14" i="3"/>
  <c r="E6" i="3"/>
  <c r="E13" i="3"/>
  <c r="E20" i="3"/>
  <c r="E5" i="3"/>
  <c r="E12" i="3"/>
  <c r="E19" i="3"/>
  <c r="E26" i="3"/>
  <c r="E4" i="3"/>
  <c r="E11" i="3"/>
  <c r="E18" i="3"/>
  <c r="E25" i="3"/>
  <c r="E32" i="3"/>
  <c r="E3" i="3"/>
  <c r="E10" i="3"/>
  <c r="E17" i="3"/>
  <c r="E24" i="3"/>
  <c r="E31" i="3"/>
  <c r="E38" i="3"/>
  <c r="E9" i="3"/>
  <c r="E16" i="3"/>
  <c r="E23" i="3"/>
  <c r="E30" i="3"/>
  <c r="E37" i="3"/>
  <c r="E15" i="3"/>
  <c r="E22" i="3"/>
  <c r="E29" i="3"/>
  <c r="E36" i="3"/>
  <c r="E21" i="3"/>
  <c r="E28" i="3"/>
  <c r="E35" i="3"/>
  <c r="E27" i="3"/>
  <c r="E34" i="3"/>
  <c r="E33" i="3"/>
  <c r="G6" i="1"/>
  <c r="I30" i="1"/>
  <c r="I29" i="1"/>
  <c r="I26" i="1"/>
  <c r="I25" i="1"/>
  <c r="O25" i="1" s="1"/>
  <c r="I22" i="1"/>
  <c r="I21" i="1"/>
  <c r="I18" i="1"/>
  <c r="I17" i="1"/>
  <c r="I14" i="1"/>
  <c r="O14" i="1" s="1"/>
  <c r="I13" i="1"/>
  <c r="O13" i="1" s="1"/>
  <c r="O18" i="1"/>
  <c r="M13" i="1"/>
  <c r="G5" i="1"/>
  <c r="M17" i="1"/>
  <c r="M21" i="1"/>
  <c r="M25" i="1"/>
  <c r="M29" i="1"/>
  <c r="L21" i="1"/>
  <c r="L25" i="1"/>
  <c r="L29" i="1"/>
  <c r="L17" i="1"/>
  <c r="L13" i="1"/>
  <c r="N29" i="1"/>
  <c r="O23" i="1"/>
  <c r="O30" i="1"/>
  <c r="O32" i="1"/>
  <c r="O31" i="1"/>
  <c r="O29" i="1"/>
  <c r="O28" i="1"/>
  <c r="O27" i="1"/>
  <c r="O26" i="1"/>
  <c r="O24" i="1"/>
  <c r="O22" i="1"/>
  <c r="O21" i="1"/>
  <c r="O20" i="1"/>
  <c r="O19" i="1"/>
  <c r="O17" i="1"/>
  <c r="O16" i="1"/>
  <c r="O15" i="1"/>
  <c r="O6" i="1"/>
  <c r="O5" i="1"/>
  <c r="H8" i="1"/>
  <c r="H6" i="1"/>
  <c r="H7" i="1"/>
  <c r="H5" i="1"/>
  <c r="G8" i="1"/>
  <c r="G7" i="1"/>
  <c r="O2" i="1" l="1"/>
  <c r="XFD1048576" i="1" a="1"/>
  <c r="XFD1048576" i="1" s="1"/>
  <c r="XFD1048575" i="1" a="1"/>
  <c r="XFD1048575" i="1" s="1"/>
  <c r="XFD1048574" i="1" a="1"/>
  <c r="XFD1048574" i="1" s="1"/>
  <c r="XFD1048573" i="1" a="1"/>
  <c r="XFD1048573" i="1" s="1"/>
  <c r="XFD1048572" i="1" a="1"/>
  <c r="XFD1048572" i="1" s="1"/>
  <c r="XFD1048571" i="1" a="1"/>
  <c r="XFD1048571" i="1" s="1"/>
  <c r="XFD1048570" i="1" a="1"/>
  <c r="XFD1048570" i="1" s="1"/>
  <c r="XFD1048569" i="1" a="1"/>
  <c r="XFD1048569" i="1" s="1"/>
  <c r="XFD1048568" i="1" a="1"/>
  <c r="XFD1048568" i="1" s="1"/>
  <c r="XFD1048567" i="1" a="1"/>
  <c r="XFD1048567" i="1" s="1"/>
  <c r="XFD1048566" i="1" a="1"/>
  <c r="XFD1048566" i="1" s="1"/>
  <c r="XFD1048565" i="1" a="1"/>
  <c r="XFD1048565" i="1" s="1"/>
  <c r="XFD1048564" i="1" a="1"/>
  <c r="XFD1048564" i="1" s="1"/>
  <c r="XFD1048563" i="1" a="1"/>
  <c r="XFD1048563" i="1" s="1"/>
  <c r="XFD1048562" i="1" a="1"/>
  <c r="XFD1048562" i="1" s="1"/>
  <c r="XFD1048561" i="1" a="1"/>
  <c r="XFD1048561" i="1" s="1"/>
  <c r="XFD1048560" i="1" a="1"/>
  <c r="XFD1048560" i="1" s="1"/>
  <c r="XFD1048559" i="1" a="1"/>
  <c r="XFD1048559" i="1" s="1"/>
  <c r="XFD1048558" i="1" a="1"/>
  <c r="XFD1048558" i="1" s="1"/>
  <c r="XFD1048557" i="1" a="1"/>
  <c r="XFD1048557" i="1" s="1"/>
  <c r="XFD1048556" i="1" a="1"/>
  <c r="XFD1048556" i="1" s="1"/>
  <c r="XFD1048555" i="1" a="1"/>
  <c r="XFD1048555" i="1" s="1"/>
  <c r="XFD1048554" i="1" a="1"/>
  <c r="XFD1048554" i="1" s="1"/>
  <c r="XFD1048553" i="1" a="1"/>
  <c r="XFD1048553" i="1" s="1"/>
  <c r="XFD1048552" i="1" a="1"/>
  <c r="XFD1048552" i="1" s="1"/>
  <c r="XFD1048551" i="1" a="1"/>
  <c r="XFD1048551" i="1" s="1"/>
  <c r="H8" i="3" l="1"/>
  <c r="H6" i="3"/>
  <c r="H10" i="3"/>
  <c r="H3" i="3"/>
  <c r="H12" i="3"/>
  <c r="H4" i="3"/>
  <c r="H5" i="3"/>
  <c r="H9" i="3"/>
  <c r="H13" i="3"/>
  <c r="H7" i="3"/>
  <c r="H11" i="3"/>
  <c r="J4" i="3" l="1"/>
  <c r="J3" i="3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2">
    <metadataType name="XLDAPR" minSupportedVersion="120000" copy="1" pasteAll="1" pasteValues="1" merge="1" splitFirst="1" rowColShift="1" clearFormats="1" clearComments="1" assign="1" coerce="1" cellMeta="1"/>
    <metadataType name="XLRICHVALUE" minSupportedVersion="120000" copy="1" pasteAll="1" pasteValues="1" merge="1" splitFirst="1" rowColShift="1" clearFormats="1" clearComments="1" assign="1" coerce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cellMetadata count="1">
    <bk>
      <rc t="1" v="0"/>
    </bk>
  </cellMetadata>
  <valueMetadata count="3">
    <bk>
      <rc t="2" v="0"/>
    </bk>
    <bk>
      <rc t="2" v="1"/>
    </bk>
    <bk>
      <rc t="2" v="2"/>
    </bk>
  </valueMetadata>
</metadata>
</file>

<file path=xl/sharedStrings.xml><?xml version="1.0" encoding="utf-8"?>
<sst xmlns="http://schemas.openxmlformats.org/spreadsheetml/2006/main" count="86" uniqueCount="72">
  <si>
    <t>Empresa A 50t</t>
  </si>
  <si>
    <t>Empresa A 80t</t>
  </si>
  <si>
    <t>custo/h</t>
  </si>
  <si>
    <t>-</t>
  </si>
  <si>
    <t>Custo total</t>
  </si>
  <si>
    <t>Restrição número rebocadores na frota</t>
  </si>
  <si>
    <t>Concorrente B 50t</t>
  </si>
  <si>
    <t>Concorrente B 70t</t>
  </si>
  <si>
    <t>Xap</t>
  </si>
  <si>
    <t>Xag</t>
  </si>
  <si>
    <t>Xbp</t>
  </si>
  <si>
    <t>Xbg</t>
  </si>
  <si>
    <t>N1-N3</t>
  </si>
  <si>
    <t>Parâmetros - Informações de frota e custos</t>
  </si>
  <si>
    <t>N4-N5</t>
  </si>
  <si>
    <t>Xap1</t>
  </si>
  <si>
    <t>Xag1</t>
  </si>
  <si>
    <t>Xbp1</t>
  </si>
  <si>
    <t>Xbg1</t>
  </si>
  <si>
    <t>Xap2</t>
  </si>
  <si>
    <t>Xag2</t>
  </si>
  <si>
    <t>Xbp2</t>
  </si>
  <si>
    <t>Xbg2</t>
  </si>
  <si>
    <t>Xap3</t>
  </si>
  <si>
    <t>Xag3</t>
  </si>
  <si>
    <t>Xbp3</t>
  </si>
  <si>
    <t>Xbg3</t>
  </si>
  <si>
    <t>Xap4</t>
  </si>
  <si>
    <t>Xag4</t>
  </si>
  <si>
    <t>Xbp4</t>
  </si>
  <si>
    <t>Xbg4</t>
  </si>
  <si>
    <t>Xap5</t>
  </si>
  <si>
    <t>Xag5</t>
  </si>
  <si>
    <t>Xbp5</t>
  </si>
  <si>
    <t>Xbg5</t>
  </si>
  <si>
    <t>Custo</t>
  </si>
  <si>
    <t xml:space="preserve">
 Xapi, Xapi, Xbpi, Xbgi</t>
  </si>
  <si>
    <t>Variáveis -  número de rebocadores para atender navio i:</t>
  </si>
  <si>
    <t>Restrições N, BP</t>
  </si>
  <si>
    <t>Parâmetro</t>
  </si>
  <si>
    <t>Constante</t>
  </si>
  <si>
    <t>Navio i</t>
  </si>
  <si>
    <t>Tempo de manobra [h]</t>
  </si>
  <si>
    <t>Num. Rebocadores [#]</t>
  </si>
  <si>
    <t>Min. BP [t]</t>
  </si>
  <si>
    <t>Minimo rebocadores alta potência [#]</t>
  </si>
  <si>
    <t>Consumo - [custo/h]</t>
  </si>
  <si>
    <t>Custo Afretamento [Rebocador/hora]</t>
  </si>
  <si>
    <t>Rebocadores de alta potência [#]</t>
  </si>
  <si>
    <t>custo operacional/dia</t>
  </si>
  <si>
    <t>Empresa A 50t (A1; A3)</t>
  </si>
  <si>
    <t>Empresa A 80t (A2; A4)</t>
  </si>
  <si>
    <t>Concorrente B 70t (B2; B4)</t>
  </si>
  <si>
    <t>Concorrente B 50t (B1; B3)</t>
  </si>
  <si>
    <r>
      <t xml:space="preserve">F(x) Objetivo: </t>
    </r>
    <r>
      <rPr>
        <b/>
        <sz val="11"/>
        <color theme="1"/>
        <rFont val="Aptos Narrow"/>
        <family val="2"/>
        <scheme val="minor"/>
      </rPr>
      <t>Minimizar Custo total</t>
    </r>
  </si>
  <si>
    <t>Restrição OK</t>
  </si>
  <si>
    <t>Variáveis</t>
  </si>
  <si>
    <t>Parâmetro - Cenários</t>
  </si>
  <si>
    <t>Parâmetro - Fixo</t>
  </si>
  <si>
    <t>Restrição não atendida</t>
  </si>
  <si>
    <t>Cenário 1</t>
  </si>
  <si>
    <t>Cenário 2</t>
  </si>
  <si>
    <t>Valor BPi total [t]</t>
  </si>
  <si>
    <t>Numero de Rebocadores Ni [#]</t>
  </si>
  <si>
    <t>Rebocadores no porto [#]</t>
  </si>
  <si>
    <t>Modelagem alocação dos rebocadores para atendimento aos navios</t>
  </si>
  <si>
    <t># Rebocadores</t>
  </si>
  <si>
    <t>Menor Custo</t>
  </si>
  <si>
    <t>Normalizado</t>
  </si>
  <si>
    <t>Cenários</t>
  </si>
  <si>
    <t>Resultados ótimos para os cenários</t>
  </si>
  <si>
    <t>Fronteira de Pareto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</si>
</sst>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Arial"/>
      <family val="2"/>
    </font>
    <font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3" fontId="0" fillId="0" borderId="0" xfId="0" applyNumberFormat="1"/>
    <xf numFmtId="3" fontId="5" fillId="0" borderId="0" xfId="0" applyNumberFormat="1" applyFont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14" xfId="0" applyBorder="1"/>
    <xf numFmtId="0" fontId="0" fillId="0" borderId="10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3" borderId="5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4" fillId="9" borderId="7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4" fontId="0" fillId="0" borderId="0" xfId="0" applyNumberFormat="1" applyAlignment="1">
      <alignment vertical="center"/>
    </xf>
    <xf numFmtId="4" fontId="1" fillId="0" borderId="3" xfId="0" applyNumberFormat="1" applyFont="1" applyBorder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4" fontId="0" fillId="7" borderId="8" xfId="0" applyNumberFormat="1" applyFill="1" applyBorder="1" applyAlignment="1">
      <alignment horizontal="center" vertical="center"/>
    </xf>
    <xf numFmtId="4" fontId="0" fillId="7" borderId="9" xfId="0" applyNumberFormat="1" applyFill="1" applyBorder="1" applyAlignment="1">
      <alignment horizontal="center" vertical="center"/>
    </xf>
    <xf numFmtId="4" fontId="0" fillId="7" borderId="10" xfId="0" applyNumberForma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 wrapText="1"/>
    </xf>
    <xf numFmtId="4" fontId="1" fillId="9" borderId="8" xfId="0" applyNumberFormat="1" applyFont="1" applyFill="1" applyBorder="1" applyAlignment="1">
      <alignment horizontal="center" vertical="center" wrapText="1"/>
    </xf>
    <xf numFmtId="4" fontId="1" fillId="9" borderId="9" xfId="0" applyNumberFormat="1" applyFont="1" applyFill="1" applyBorder="1" applyAlignment="1">
      <alignment horizontal="center" vertical="center" wrapText="1"/>
    </xf>
    <xf numFmtId="4" fontId="0" fillId="9" borderId="9" xfId="0" applyNumberFormat="1" applyFill="1" applyBorder="1" applyAlignment="1">
      <alignment horizontal="center" vertical="center"/>
    </xf>
    <xf numFmtId="4" fontId="0" fillId="9" borderId="10" xfId="0" applyNumberForma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1" fillId="0" borderId="21" xfId="0" applyFont="1" applyBorder="1" applyAlignment="1">
      <alignment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4" borderId="26" xfId="0" applyFont="1" applyFill="1" applyBorder="1" applyAlignment="1">
      <alignment horizontal="center" vertical="center" wrapText="1"/>
    </xf>
    <xf numFmtId="4" fontId="3" fillId="2" borderId="8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4" fontId="4" fillId="0" borderId="22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4" fontId="1" fillId="7" borderId="28" xfId="0" applyNumberFormat="1" applyFont="1" applyFill="1" applyBorder="1" applyAlignment="1">
      <alignment horizontal="center" vertical="center" wrapText="1"/>
    </xf>
    <xf numFmtId="0" fontId="2" fillId="0" borderId="23" xfId="0" applyFont="1" applyBorder="1" applyAlignment="1">
      <alignment vertical="center" wrapText="1"/>
    </xf>
    <xf numFmtId="4" fontId="1" fillId="7" borderId="24" xfId="0" applyNumberFormat="1" applyFont="1" applyFill="1" applyBorder="1" applyAlignment="1">
      <alignment horizontal="center" vertical="center" wrapText="1"/>
    </xf>
    <xf numFmtId="4" fontId="1" fillId="0" borderId="24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4" fontId="1" fillId="0" borderId="26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3" fontId="5" fillId="0" borderId="14" xfId="0" applyNumberFormat="1" applyFont="1" applyBorder="1"/>
    <xf numFmtId="3" fontId="0" fillId="0" borderId="8" xfId="0" applyNumberFormat="1" applyBorder="1" applyAlignment="1">
      <alignment wrapText="1"/>
    </xf>
    <xf numFmtId="3" fontId="5" fillId="0" borderId="9" xfId="0" applyNumberFormat="1" applyFont="1" applyBorder="1"/>
    <xf numFmtId="3" fontId="5" fillId="0" borderId="10" xfId="0" applyNumberFormat="1" applyFont="1" applyBorder="1"/>
    <xf numFmtId="3" fontId="0" fillId="0" borderId="9" xfId="0" applyNumberFormat="1" applyBorder="1"/>
    <xf numFmtId="3" fontId="0" fillId="0" borderId="10" xfId="0" applyNumberFormat="1" applyBorder="1"/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13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8" borderId="8" xfId="0" applyFont="1" applyFill="1" applyBorder="1" applyAlignment="1" applyProtection="1">
      <alignment horizontal="center" vertical="center"/>
      <protection locked="0"/>
    </xf>
    <xf numFmtId="0" fontId="4" fillId="8" borderId="9" xfId="0" applyFont="1" applyFill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4" fontId="0" fillId="9" borderId="5" xfId="0" applyNumberFormat="1" applyFill="1" applyBorder="1" applyAlignment="1">
      <alignment horizontal="center" vertical="center"/>
    </xf>
    <xf numFmtId="4" fontId="0" fillId="9" borderId="6" xfId="0" applyNumberFormat="1" applyFill="1" applyBorder="1" applyAlignment="1">
      <alignment horizontal="center" vertical="center"/>
    </xf>
    <xf numFmtId="4" fontId="0" fillId="9" borderId="7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Comma" xfId="1" builtinId="3"/>
    <cellStyle name="Normal" xfId="0" builtinId="0"/>
  </cellStyles>
  <dxfs count="13">
    <dxf>
      <font>
        <color theme="9" tint="-0.24994659260841701"/>
      </font>
      <fill>
        <patternFill>
          <bgColor theme="6" tint="0.79998168889431442"/>
        </patternFill>
      </fill>
    </dxf>
    <dxf>
      <font>
        <color theme="9" tint="-0.24994659260841701"/>
      </font>
      <fill>
        <patternFill>
          <bgColor theme="6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24994659260841701"/>
      </font>
      <fill>
        <patternFill>
          <bgColor theme="6" tint="0.79998168889431442"/>
        </patternFill>
      </fill>
    </dxf>
    <dxf>
      <font>
        <color theme="9" tint="-0.24994659260841701"/>
      </font>
      <fill>
        <patternFill>
          <bgColor theme="6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933F3F"/>
      <color rgb="FFC23838"/>
      <color rgb="FF6AAE7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72849399063576"/>
          <c:y val="3.0877249558822213E-2"/>
          <c:w val="0.83803306826316015"/>
          <c:h val="0.8473465731459335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Resultados ótimos para os cenários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23838"/>
              </a:solidFill>
              <a:ln w="9525">
                <a:noFill/>
              </a:ln>
              <a:effectLst/>
            </c:spPr>
          </c:marker>
          <c:xVal>
            <c:numRef>
              <c:f>Sheet2!$C$3:$C$38</c:f>
              <c:numCache>
                <c:formatCode>General</c:formatCode>
                <c:ptCount val="3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8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</c:numCache>
            </c:numRef>
          </c:xVal>
          <c:yVal>
            <c:numRef>
              <c:f>Sheet2!$D$3:$D$38</c:f>
              <c:numCache>
                <c:formatCode>#,##0</c:formatCode>
                <c:ptCount val="36"/>
                <c:pt idx="0">
                  <c:v>46280</c:v>
                </c:pt>
                <c:pt idx="1">
                  <c:v>45310</c:v>
                </c:pt>
                <c:pt idx="2">
                  <c:v>44340</c:v>
                </c:pt>
                <c:pt idx="3">
                  <c:v>46670</c:v>
                </c:pt>
                <c:pt idx="4">
                  <c:v>49010</c:v>
                </c:pt>
                <c:pt idx="5">
                  <c:v>51350</c:v>
                </c:pt>
                <c:pt idx="6">
                  <c:v>45290</c:v>
                </c:pt>
                <c:pt idx="7">
                  <c:v>44320</c:v>
                </c:pt>
                <c:pt idx="8">
                  <c:v>43350</c:v>
                </c:pt>
                <c:pt idx="9">
                  <c:v>42380</c:v>
                </c:pt>
                <c:pt idx="10">
                  <c:v>44710</c:v>
                </c:pt>
                <c:pt idx="11">
                  <c:v>47050</c:v>
                </c:pt>
                <c:pt idx="12">
                  <c:v>44760</c:v>
                </c:pt>
                <c:pt idx="13">
                  <c:v>43570</c:v>
                </c:pt>
                <c:pt idx="14">
                  <c:v>42600</c:v>
                </c:pt>
                <c:pt idx="15">
                  <c:v>41630</c:v>
                </c:pt>
                <c:pt idx="16">
                  <c:v>40660</c:v>
                </c:pt>
                <c:pt idx="17">
                  <c:v>47050</c:v>
                </c:pt>
                <c:pt idx="18">
                  <c:v>44980</c:v>
                </c:pt>
                <c:pt idx="19">
                  <c:v>43790</c:v>
                </c:pt>
                <c:pt idx="20">
                  <c:v>42600</c:v>
                </c:pt>
                <c:pt idx="21">
                  <c:v>41630</c:v>
                </c:pt>
                <c:pt idx="22">
                  <c:v>40660</c:v>
                </c:pt>
                <c:pt idx="23">
                  <c:v>47500</c:v>
                </c:pt>
                <c:pt idx="24">
                  <c:v>45200</c:v>
                </c:pt>
                <c:pt idx="25">
                  <c:v>44010</c:v>
                </c:pt>
                <c:pt idx="26">
                  <c:v>42820</c:v>
                </c:pt>
                <c:pt idx="27">
                  <c:v>41630</c:v>
                </c:pt>
                <c:pt idx="28">
                  <c:v>40660</c:v>
                </c:pt>
                <c:pt idx="29">
                  <c:v>47500</c:v>
                </c:pt>
                <c:pt idx="30">
                  <c:v>46280</c:v>
                </c:pt>
                <c:pt idx="31">
                  <c:v>44680</c:v>
                </c:pt>
                <c:pt idx="32">
                  <c:v>43490</c:v>
                </c:pt>
                <c:pt idx="33">
                  <c:v>42300</c:v>
                </c:pt>
                <c:pt idx="34">
                  <c:v>41110</c:v>
                </c:pt>
                <c:pt idx="35">
                  <c:v>47950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A-483D-B073-1273DF665BBB}"/>
            </c:ext>
          </c:extLst>
        </c:ser>
        <c:ser>
          <c:idx val="1"/>
          <c:order val="1"/>
          <c:tx>
            <c:strRef>
              <c:f>Sheet2!$H$2</c:f>
              <c:strCache>
                <c:ptCount val="1"/>
                <c:pt idx="0">
                  <c:v>Fronteira de Pareto</c:v>
                </c:pt>
              </c:strCache>
            </c:strRef>
          </c:tx>
          <c:spPr>
            <a:ln w="15875" cap="rnd">
              <a:solidFill>
                <a:srgbClr val="6AAE72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Sheet2!$G$3:$G$13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Sheet2!$H$3:$H$13</c:f>
              <c:numCache>
                <c:formatCode>#,##0</c:formatCode>
                <c:ptCount val="11"/>
                <c:pt idx="0">
                  <c:v>51350</c:v>
                </c:pt>
                <c:pt idx="1">
                  <c:v>47050</c:v>
                </c:pt>
                <c:pt idx="2">
                  <c:v>44710</c:v>
                </c:pt>
                <c:pt idx="3">
                  <c:v>40660</c:v>
                </c:pt>
                <c:pt idx="4">
                  <c:v>40660</c:v>
                </c:pt>
                <c:pt idx="5">
                  <c:v>40660</c:v>
                </c:pt>
                <c:pt idx="6">
                  <c:v>41110</c:v>
                </c:pt>
                <c:pt idx="7">
                  <c:v>42300</c:v>
                </c:pt>
                <c:pt idx="8">
                  <c:v>43490</c:v>
                </c:pt>
                <c:pt idx="9">
                  <c:v>44680</c:v>
                </c:pt>
                <c:pt idx="10">
                  <c:v>46280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A-483D-B073-1273DF665BBB}"/>
            </c:ext>
          </c:extLst>
        </c:ser>
        <c:ser>
          <c:idx val="3"/>
          <c:order val="2"/>
          <c:tx>
            <c:strRef>
              <c:f>Sheet2!$J$2</c:f>
              <c:strCache>
                <c:ptCount val="1"/>
                <c:pt idx="0">
                  <c:v>Menor Custo</c:v>
                </c:pt>
              </c:strCache>
            </c:strRef>
          </c:tx>
          <c:spPr>
            <a:ln w="12700" cap="rnd">
              <a:solidFill>
                <a:schemeClr val="accent5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4B-467E-BDED-613EC5C0B6EF}"/>
                </c:ext>
              </c:extLst>
            </c:dLbl>
            <c:dLbl>
              <c:idx val="1"/>
              <c:layout>
                <c:manualLayout>
                  <c:x val="-8.5461003086772139E-2"/>
                  <c:y val="-2.3838649861600149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1A-483D-B073-1273DF665BBB}"/>
                </c:ext>
              </c:extLst>
            </c:dLbl>
            <c:spPr>
              <a:solidFill>
                <a:schemeClr val="bg1">
                  <a:lumMod val="85000"/>
                  <a:alpha val="23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Sheet2!$I$3:$I$4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Sheet2!$J$3:$J$4</c:f>
              <c:numCache>
                <c:formatCode>#,##0</c:formatCode>
                <c:ptCount val="2"/>
                <c:pt idx="0">
                  <c:v>40660</c:v>
                </c:pt>
                <c:pt idx="1">
                  <c:v>40660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1A-483D-B073-1273DF665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511"/>
        <c:axId val="10254591"/>
      </c:scatterChart>
      <c:valAx>
        <c:axId val="1025651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strRef>
              <c:f>Sheet2!$G$2</c:f>
              <c:strCache>
                <c:ptCount val="1"/>
                <c:pt idx="0">
                  <c:v># Rebocadores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4591"/>
        <c:crosses val="autoZero"/>
        <c:crossBetween val="midCat"/>
      </c:valAx>
      <c:valAx>
        <c:axId val="10254591"/>
        <c:scaling>
          <c:orientation val="minMax"/>
          <c:min val="37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Custo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4025770489446732"/>
          <c:y val="2.9578529646251555E-2"/>
          <c:w val="0.3222896719821588"/>
          <c:h val="0.11511076473802549"/>
        </c:manualLayout>
      </c:layout>
      <c:overlay val="0"/>
      <c:spPr>
        <a:solidFill>
          <a:schemeClr val="bg1">
            <a:lumMod val="95000"/>
            <a:alpha val="44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3</xdr:row>
      <xdr:rowOff>133352</xdr:rowOff>
    </xdr:from>
    <xdr:to>
      <xdr:col>4</xdr:col>
      <xdr:colOff>1238250</xdr:colOff>
      <xdr:row>5</xdr:row>
      <xdr:rowOff>89869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AAE66F-9993-3D36-5AE8-8C8F57C03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5025" y="809627"/>
          <a:ext cx="2314575" cy="747092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5</xdr:row>
      <xdr:rowOff>314010</xdr:rowOff>
    </xdr:from>
    <xdr:to>
      <xdr:col>4</xdr:col>
      <xdr:colOff>1209675</xdr:colOff>
      <xdr:row>7</xdr:row>
      <xdr:rowOff>425572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6A2AA1-5B6B-8E7E-5326-76F408B4D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6925" y="1780860"/>
          <a:ext cx="2324100" cy="768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4</xdr:row>
      <xdr:rowOff>152400</xdr:rowOff>
    </xdr:from>
    <xdr:to>
      <xdr:col>23</xdr:col>
      <xdr:colOff>476250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C7FD9-99AC-9ABC-99E6-3477D84CB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FE7FA902-013F-45BF-BECF-BB0FA48DA2E8}">
  <we:reference id="wa104100404" version="3.0.0.1" store="en-US" storeType="OMEX"/>
  <we:alternateReferences>
    <we:reference id="wa104100404" version="3.0.0.1" store="wa104100404" storeType="OMEX"/>
  </we:alternateReferences>
  <we:properties>
    <we:property name="UniqueID" value="&quot;20241041730759415510&quot;"/>
    <we:property name="NykEESxScToALA==" value="&quot;QApFRm4=&quot;"/>
    <we:property name="NykEESxScQYNKh4NKjwpFAM=" value="&quot;KBE=&quot;"/>
    <we:property name="NykEESxScTgDPiUBNg==" value="&quot;Vg==&quot;"/>
    <we:property name="NykEESxScQYNKh4NKjwiHwM=" value="&quot;VQ==&quot;"/>
    <we:property name="NykEESxScQYNKh4NKjw8CAE=" value="&quot;VG9RRGhTYEQ=&quot;"/>
    <we:property name="NykEESxScQYNKh4NKjw/GQg=" value="&quot;VQ==&quot;"/>
    <we:property name="NykEESxScQYNKh4NKjw+Fhw=" value="&quot;VA==&quot;"/>
    <we:property name="NykEESxScQYNKh4NKjw4FQg=" value="&quot;VQ==&quot;"/>
    <we:property name="NykEESxScQYNKh4NKjwvDAM=" value="&quot;VG9RRGhS&quot;"/>
    <we:property name="NykEESxScQYNKh4NKjwhCQg=" value="&quot;VA==&quot;"/>
    <we:property name="NykEESxScQYNKh4NKjw/CR4=" value="&quot;VXFR&quot;"/>
    <we:property name="NykEESxScQYNKh4NKjw+CQA=" value="&quot;VA==&quot;"/>
    <we:property name="NykEESxScQYNKh4NKjwhCBA=" value="&quot;VG9RQ20=&quot;"/>
    <we:property name="NykEESxScQYNKh4NKjwhFA0=" value="&quot;V3E=&quot;"/>
    <we:property name="NykEESxScQYNKh4NKjw+GBI=" value="&quot;VQ==&quot;"/>
    <we:property name="NykEESxScQYNKh4NKjwiDhY=" value="&quot;Vg==&quot;"/>
    <we:property name="NykEESxScQYNKh4NKjwtGQc=" value="&quot;VG9RRGk=&quot;"/>
    <we:property name="NykEESxScQYNKh4NKjw+Hxc=" value="&quot;UQ==&quot;"/>
    <we:property name="NykEESxScQYNKh4NKjwtCBc=" value="&quot;VQ==&quot;"/>
    <we:property name="NykEESxScQYNKh4NKjw/DgU=" value="&quot;VA==&quot;"/>
    <we:property name="NykEESxScQYNKh4NKjwhHxA=" value="&quot;Vg==&quot;"/>
    <we:property name="NykEESxScQYNKh4NKjw/FQc=" value="&quot;VA==&quot;"/>
    <we:property name="NykEESxScQYNKh4NKjwgChA=" value="&quot;VA==&quot;"/>
    <we:property name="NykEESxScQYNKh4NKjwgChQ=" value="&quot;VA==&quot;"/>
    <we:property name="NykEESxScQYNKh4NKjwrGxQ=" value="&quot;VG9RRGhTYEQ=&quot;"/>
    <we:property name="NykEESxScQYNKh4NKjwlChc=" value="&quot;VG9YTQ==&quot;"/>
    <we:property name="NykEESxScQYNKh4NKjwqHwU=" value="&quot;VG9RRGhTYEQ=&quot;"/>
    <we:property name="NykEESxScQYNKh4NKjwlCg0=" value="&quot;VQ==&quot;"/>
    <we:property name="NykEESxScQYNKh4NKjwlCgA=" value="&quot;Vw==&quot;"/>
    <we:property name="NykEESxScQYNKh4NKjwiDwk=" value="&quot;VnQ=&quot;"/>
    <we:property name="NykEESxScQYNKh4NKjwgEhdw" value="&quot;QAVFRW8=&quot;"/>
    <we:property name="NykEESxScQYNKh4NKjw+Hwhw" value="&quot;RH9cVA==&quot;"/>
    <we:property name="NykEESxScQYNKh4NKjw+Ehdw" value="&quot;QAVFQg==&quot;"/>
    <we:property name="NykEESxScQYNKh4NKjwgEhdz" value="&quot;QARFRW8=&quot;"/>
    <we:property name="NykEESxScQYNKh4NKjw+Hwhz" value="&quot;RH9cVA==&quot;"/>
    <we:property name="NykEESxScQYNKh4NKjw+Ehdz" value="&quot;QARFQg==&quot;"/>
    <we:property name="NykEESxScQYNKh4NKjwgEhdy" value="&quot;QAdFRW8=&quot;"/>
    <we:property name="NykEESxScQYNKh4NKjw+Hwhy" value="&quot;RH9cVA==&quot;"/>
    <we:property name="NykEESxScQYNKh4NKjw+Ehdy" value="&quot;QAdFQg==&quot;"/>
    <we:property name="NykEESxScQYNKh4NKjwgEhd1" value="&quot;QAZFRW8=&quot;"/>
    <we:property name="NykEESxScQYNKh4NKjw+Hwh1" value="&quot;RH1cVA==&quot;"/>
    <we:property name="NykEESxScQYNKh4NKjw+Ehd1" value="&quot;QAZFQg==&quot;"/>
    <we:property name="NykEESxScQYNKh4NKjwgEhd0" value="&quot;QAlFRW8=&quot;"/>
    <we:property name="NykEESxScQYNKh4NKjw+Hwh0" value="&quot;RH1cVA==&quot;"/>
    <we:property name="NykEESxScQYNKh4NKjw+Ehd0" value="&quot;QAlFQg==&quot;"/>
    <we:property name="NykEESxScQYNKh4NKjwgEhd3" value="&quot;QAVFRms=&quot;"/>
    <we:property name="NykEESxScQYNKh4NKjw+Hwh3" value="&quot;RH9cVA==&quot;"/>
    <we:property name="NykEESxScQYNKh4NKjw+Ehd3" value="&quot;QAVFQw==&quot;"/>
    <we:property name="NykEESxScQYNKh4NKjwgEhd2" value="&quot;QARFRms=&quot;"/>
    <we:property name="NykEESxScQYNKh4NKjw+Hwh2" value="&quot;RH9cVA==&quot;"/>
    <we:property name="NykEESxScQYNKh4NKjw+Ehd2" value="&quot;QARFQw==&quot;"/>
    <we:property name="NykEESxScQYNKh4NKjwgEhd5" value="&quot;QAdFRms=&quot;"/>
    <we:property name="NykEESxScQYNKh4NKjw+Hwh5" value="&quot;RH9cVA==&quot;"/>
    <we:property name="NykEESxScQYNKh4NKjw+Ehd5" value="&quot;QAdFQw==&quot;"/>
    <we:property name="NykEESxScQYNKh4NKjwgEhd4" value="&quot;QAZFRms=&quot;"/>
    <we:property name="NykEESxScQYNKh4NKjw+Hwh4" value="&quot;RH9cVA==&quot;"/>
    <we:property name="NykEESxScQYNKh4NKjw+Ehd4" value="&quot;QAZFQw==&quot;"/>
    <we:property name="NykEESxScQYNKh4NKjwgEhdwUQ==" value="&quot;QAlFRms=&quot;"/>
    <we:property name="NykEESxScQYNKh4NKjw+HwhwUQ==" value="&quot;RH9cVA==&quot;"/>
    <we:property name="NykEESxScQYNKh4NKjw+EhdwUQ==" value="&quot;QAlFQw==&quot;"/>
    <we:property name="NykEESxScQYNKh4NKjwgEhdwUA==" value="&quot;QAlFRWA=&quot;"/>
    <we:property name="NykEESxScQYNKh4NKjw+HwhwUA==" value="&quot;RH9cVA==&quot;"/>
    <we:property name="NykEESxScQYNKh4NKjw+EhdwUA==" value="&quot;QAlFTA==&quot;"/>
    <we:property name="NykEESxScQYNKh4NKjwgEhdwUw==" value="&quot;QApFRWs=&quot;"/>
    <we:property name="NykEESxScQYNKh4NKjw+HwhwUw==" value="&quot;RH1cVA==&quot;"/>
    <we:property name="NykEESxScQYNKh4NKjw+EhdwUw==" value="&quot;QAVFRm4=&quot;"/>
    <we:property name="NykEESxScQYNKh4NKjwgEhdwUg==" value="&quot;QApFRWw=&quot;"/>
    <we:property name="NykEESxScQYNKh4NKjw+HwhwUg==" value="&quot;RH1cVA==&quot;"/>
    <we:property name="NykEESxScQYNKh4NKjw+EhdwUg==" value="&quot;QAVFRm8=&quot;"/>
    <we:property name="NykEESxScQYNKh4NKjwgEhdwVQ==" value="&quot;QApFRW0=&quot;"/>
    <we:property name="NykEESxScQYNKh4NKjw+HwhwVQ==" value="&quot;RH1cVA==&quot;"/>
    <we:property name="NykEESxScQYNKh4NKjw+EhdwVQ==" value="&quot;QAVFRmA=&quot;"/>
    <we:property name="NykEESxScQYNKh4NKjwgEhdwVA==" value="&quot;QApFRW4=&quot;"/>
    <we:property name="NykEESxScQYNKh4NKjw+HwhwVA==" value="&quot;RH1cVA==&quot;"/>
    <we:property name="NykEESxScQYNKh4NKjw+EhdwVA==" value="&quot;QAVFRmE=&quot;"/>
    <we:property name="NykEESxScQYNKh4NKjwgEhdwVw==" value="&quot;QA1FRWs=&quot;"/>
    <we:property name="NykEESxScQYNKh4NKjw+HwhwVw==" value="&quot;RH1cVA==&quot;"/>
    <we:property name="NykEESxScQYNKh4NKjw+EhdwVw==" value="&quot;QAVFRm4=&quot;"/>
    <we:property name="NykEESxScQYNKh4NKjwgEhdwVg==" value="&quot;QA1FRWw=&quot;"/>
    <we:property name="NykEESxScQYNKh4NKjw+HwhwVg==" value="&quot;RH1cVA==&quot;"/>
    <we:property name="NykEESxScQYNKh4NKjw+EhdwVg==" value="&quot;QAVFRm8=&quot;"/>
    <we:property name="NykEESxScQYNKh4NKjwgEhdwWQ==" value="&quot;QA1FRW0=&quot;"/>
    <we:property name="NykEESxScQYNKh4NKjw+HwhwWQ==" value="&quot;RH1cVA==&quot;"/>
    <we:property name="NykEESxScQYNKh4NKjw+EhdwWQ==" value="&quot;QAVFRmA=&quot;"/>
    <we:property name="NykEESxScQYNKh4NKjwgEhdwWA==" value="&quot;QA1FRW4=&quot;"/>
    <we:property name="NykEESxScQYNKh4NKjw+HwhwWA==" value="&quot;RH1cVA==&quot;"/>
    <we:property name="NykEESxScQYNKh4NKjw+EhdwWA==" value="&quot;QAVFRmE=&quot;"/>
    <we:property name="NykEESxScQYNKh4NKjwgEhdzUQ==" value="&quot;QAxFRWs=&quot;"/>
    <we:property name="NykEESxScQYNKh4NKjw+HwhzUQ==" value="&quot;RH1cVA==&quot;"/>
    <we:property name="NykEESxScQYNKh4NKjw+EhdzUQ==" value="&quot;QAVFRm4=&quot;"/>
    <we:property name="NykEESxScQYNKh4NKjwgEhdzUA==" value="&quot;QAxFRWw=&quot;"/>
    <we:property name="NykEESxScQYNKh4NKjw+HwhzUA==" value="&quot;RH1cVA==&quot;"/>
    <we:property name="NykEESxScQYNKh4NKjw+EhdzUA==" value="&quot;QAVFRm8=&quot;"/>
    <we:property name="NykEESxScQYNKh4NKjwgEhdzUw==" value="&quot;QAxFRW0=&quot;"/>
    <we:property name="NykEESxScQYNKh4NKjw+HwhzUw==" value="&quot;RH1cVA==&quot;"/>
    <we:property name="NykEESxScQYNKh4NKjw+EhdzUw==" value="&quot;QAVFRmA=&quot;"/>
    <we:property name="NykEESxScQYNKh4NKjwgEhdzUg==" value="&quot;QAxFRW4=&quot;"/>
    <we:property name="NykEESxScQYNKh4NKjw+HwhzUg==" value="&quot;RH1cVA==&quot;"/>
    <we:property name="NykEESxScQYNKh4NKjw+EhdzUg==" value="&quot;QAVFRmE=&quot;"/>
    <we:property name="NykEESxScQYNKh4NKjwgEhdzVQ==" value="&quot;QAVFRm4=&quot;"/>
    <we:property name="NykEESxScQYNKh4NKjw+HwhzVQ==" value="&quot;RH9cVA==&quot;"/>
    <we:property name="NykEESxScQYNKh4NKjw+EhdzVQ==" value="&quot;VA==&quot;"/>
    <we:property name="NykEESxScQYNKh4NKjwgEhdzVA==" value="&quot;QAVFRm8=&quot;"/>
    <we:property name="NykEESxScQYNKh4NKjw+HwhzVA==" value="&quot;RH9cVA==&quot;"/>
    <we:property name="NykEESxScQYNKh4NKjw+EhdzVA==" value="&quot;VA==&quot;"/>
    <we:property name="NykEESxScSMDNAEJOg8pCQ==" value="&quot;QAVFRWtZdD1Gd14=&quot;"/>
    <we:property name="NykEESxScSMDNAEJOg8pCVU=" value="&quot;QAVFRm5ZdDFGdF8=&quot;"/>
    <we:property name="NykEESxScRYNLwY3KBElFwUtFRs0" value="&quot;VG9RRGhTYEVT&quot;"/>
    <we:property name="NykEESxScRYNLwY3PBYtFhAuDQ==" value="&quot;VG9RRGhTYEVT&quot;"/>
    <we:property name="NykEESxScRYNLwY3KBEpCQstFxFp" value="&quot;VQ==&quot;"/>
    <we:property name="NykEESxScRYNLwY3MQ04HwMkEwQqBiMaDjAN" value="&quot;VQ==&quot;"/>
    <we:property name="NykEESxScRYNLwY3OxY4Dh0xBA==" value="&quot;VQ==&quot;"/>
    <we:property name="NykEESxScRYNLwY3MAY5CBc=" value="&quot;VQ==&quot;"/>
  </we:properties>
  <we:bindings>
    <we:binding id="refEdit" type="matrix" appref="{56EC811A-6EF3-4E89-B6D1-50EAEF60615E}"/>
    <we:binding id="Worker" type="matrix" appref="{F2CA110E-1A29-4829-811B-D85AF9D4DE52}"/>
    <we:binding id="Obj" type="matrix" appref="{86BFFCCB-7B2B-4E8B-A926-1BAD77ED5FB4}"/>
  </we:bindings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867E57B5-4F97-4496-9593-AC465F188E0A}">
  <we:reference id="wa103982219" version="1.1.0.0" store="pt-BR" storeType="OMEX"/>
  <we:alternateReferences>
    <we:reference id="WA103982219" version="1.1.0.0" store="WA10398221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64345-5BE0-4D5C-8FA5-6682543BFD86}">
  <sheetPr codeName="Sheet1"/>
  <dimension ref="B1:XFD1048576"/>
  <sheetViews>
    <sheetView showGridLines="0" tabSelected="1" zoomScaleNormal="100" workbookViewId="0">
      <selection activeCell="O2" sqref="O2"/>
    </sheetView>
  </sheetViews>
  <sheetFormatPr defaultRowHeight="15" x14ac:dyDescent="0.25"/>
  <cols>
    <col min="1" max="1" width="2.7109375" style="1" customWidth="1"/>
    <col min="2" max="2" width="7.28515625" style="1" customWidth="1"/>
    <col min="3" max="3" width="21" style="1" customWidth="1"/>
    <col min="4" max="5" width="18.85546875" style="1" customWidth="1"/>
    <col min="6" max="6" width="15.7109375" style="1" customWidth="1"/>
    <col min="7" max="13" width="18.85546875" style="1" customWidth="1"/>
    <col min="14" max="14" width="17.28515625" style="1" bestFit="1" customWidth="1"/>
    <col min="15" max="15" width="17.140625" style="47" customWidth="1"/>
    <col min="16" max="18" width="15.5703125" style="1" customWidth="1"/>
    <col min="19" max="16384" width="9.140625" style="1"/>
  </cols>
  <sheetData>
    <row r="1" spans="2:15" ht="12" customHeight="1" thickBot="1" x14ac:dyDescent="0.3"/>
    <row r="2" spans="2:15" ht="21.75" thickBot="1" x14ac:dyDescent="0.3">
      <c r="M2" s="115" t="s">
        <v>54</v>
      </c>
      <c r="N2" s="116"/>
      <c r="O2" s="65">
        <f>SUM(O5:O6,O13:O32)</f>
        <v>47500</v>
      </c>
    </row>
    <row r="3" spans="2:15" ht="15.75" thickBot="1" x14ac:dyDescent="0.3">
      <c r="B3" s="28"/>
      <c r="C3" s="29" t="s">
        <v>59</v>
      </c>
      <c r="F3" s="110" t="s">
        <v>5</v>
      </c>
      <c r="G3" s="111"/>
      <c r="H3" s="112"/>
      <c r="J3" s="110" t="s">
        <v>13</v>
      </c>
      <c r="K3" s="111"/>
      <c r="L3" s="111"/>
      <c r="M3" s="111"/>
      <c r="N3" s="111"/>
      <c r="O3" s="112"/>
    </row>
    <row r="4" spans="2:15" ht="36" thickTop="1" thickBot="1" x14ac:dyDescent="0.3">
      <c r="B4" s="30"/>
      <c r="C4" s="31" t="s">
        <v>55</v>
      </c>
      <c r="F4" s="58"/>
      <c r="G4" s="21" t="s">
        <v>12</v>
      </c>
      <c r="H4" s="22" t="s">
        <v>14</v>
      </c>
      <c r="J4" s="66"/>
      <c r="K4" s="8"/>
      <c r="L4" s="26" t="s">
        <v>64</v>
      </c>
      <c r="M4" s="26" t="s">
        <v>2</v>
      </c>
      <c r="N4" s="26" t="s">
        <v>49</v>
      </c>
      <c r="O4" s="67" t="s">
        <v>4</v>
      </c>
    </row>
    <row r="5" spans="2:15" ht="26.25" thickTop="1" x14ac:dyDescent="0.25">
      <c r="B5" s="32"/>
      <c r="C5" s="31" t="s">
        <v>56</v>
      </c>
      <c r="F5" s="59" t="s">
        <v>50</v>
      </c>
      <c r="G5" s="9">
        <f>L5-SUM(K13,K17,K21)</f>
        <v>0</v>
      </c>
      <c r="H5" s="60">
        <f>L5-SUM(K25,K29)</f>
        <v>1</v>
      </c>
      <c r="J5" s="68" t="s">
        <v>8</v>
      </c>
      <c r="K5" s="2" t="s">
        <v>0</v>
      </c>
      <c r="L5" s="90">
        <v>4</v>
      </c>
      <c r="M5" s="53">
        <v>1200</v>
      </c>
      <c r="N5" s="5">
        <v>1800</v>
      </c>
      <c r="O5" s="69">
        <f>N5*L5</f>
        <v>7200</v>
      </c>
    </row>
    <row r="6" spans="2:15" ht="25.5" x14ac:dyDescent="0.25">
      <c r="B6" s="33"/>
      <c r="C6" s="31" t="s">
        <v>57</v>
      </c>
      <c r="F6" s="61" t="s">
        <v>51</v>
      </c>
      <c r="G6" s="10">
        <f>L6-SUM(K14,K18,K22)</f>
        <v>0</v>
      </c>
      <c r="H6" s="62">
        <f>L6-SUM(K26,K30)</f>
        <v>0</v>
      </c>
      <c r="J6" s="70" t="s">
        <v>9</v>
      </c>
      <c r="K6" s="3" t="s">
        <v>1</v>
      </c>
      <c r="L6" s="90">
        <v>0</v>
      </c>
      <c r="M6" s="48">
        <v>1680</v>
      </c>
      <c r="N6" s="6">
        <v>1600</v>
      </c>
      <c r="O6" s="71">
        <f>N6*L6</f>
        <v>0</v>
      </c>
    </row>
    <row r="7" spans="2:15" ht="26.25" thickBot="1" x14ac:dyDescent="0.3">
      <c r="B7" s="34"/>
      <c r="C7" s="35" t="s">
        <v>58</v>
      </c>
      <c r="F7" s="61" t="s">
        <v>53</v>
      </c>
      <c r="G7" s="10">
        <f>L7-SUM(K15,K19,K23)</f>
        <v>2</v>
      </c>
      <c r="H7" s="62">
        <f>L7-SUM(K27,K31)</f>
        <v>5</v>
      </c>
      <c r="J7" s="70" t="s">
        <v>10</v>
      </c>
      <c r="K7" s="3" t="s">
        <v>6</v>
      </c>
      <c r="L7" s="6">
        <v>5</v>
      </c>
      <c r="M7" s="6" t="s">
        <v>3</v>
      </c>
      <c r="N7" s="6" t="s">
        <v>3</v>
      </c>
      <c r="O7" s="72"/>
    </row>
    <row r="8" spans="2:15" ht="35.25" thickBot="1" x14ac:dyDescent="0.3">
      <c r="D8" s="27"/>
      <c r="F8" s="63" t="s">
        <v>52</v>
      </c>
      <c r="G8" s="11">
        <f>L8-SUM(K16,K20,K24)</f>
        <v>3</v>
      </c>
      <c r="H8" s="64">
        <f>L8-SUM(K28,K32)</f>
        <v>3</v>
      </c>
      <c r="J8" s="73" t="s">
        <v>11</v>
      </c>
      <c r="K8" s="4" t="s">
        <v>7</v>
      </c>
      <c r="L8" s="7">
        <v>5</v>
      </c>
      <c r="M8" s="7" t="s">
        <v>3</v>
      </c>
      <c r="N8" s="7" t="s">
        <v>3</v>
      </c>
      <c r="O8" s="74"/>
    </row>
    <row r="9" spans="2:15" ht="15.75" thickBot="1" x14ac:dyDescent="0.3">
      <c r="H9"/>
    </row>
    <row r="10" spans="2:15" ht="15" customHeight="1" thickBot="1" x14ac:dyDescent="0.3">
      <c r="B10" s="117" t="s">
        <v>65</v>
      </c>
      <c r="C10" s="117"/>
      <c r="L10" s="104" t="s">
        <v>38</v>
      </c>
      <c r="M10" s="105"/>
      <c r="N10" s="106"/>
    </row>
    <row r="11" spans="2:15" ht="39.75" customHeight="1" x14ac:dyDescent="0.25">
      <c r="B11" s="117"/>
      <c r="C11" s="117"/>
      <c r="D11" s="120" t="s">
        <v>40</v>
      </c>
      <c r="E11" s="121"/>
      <c r="F11" s="121"/>
      <c r="G11" s="122"/>
      <c r="H11" s="118" t="s">
        <v>39</v>
      </c>
      <c r="I11" s="119"/>
      <c r="J11" s="123" t="s">
        <v>37</v>
      </c>
      <c r="K11" s="124"/>
      <c r="L11" s="41" t="s">
        <v>63</v>
      </c>
      <c r="M11" s="42" t="s">
        <v>62</v>
      </c>
      <c r="N11" s="43" t="s">
        <v>48</v>
      </c>
    </row>
    <row r="12" spans="2:15" ht="45" customHeight="1" thickBot="1" x14ac:dyDescent="0.3">
      <c r="B12"/>
      <c r="C12" s="12" t="s">
        <v>41</v>
      </c>
      <c r="D12" s="23" t="s">
        <v>42</v>
      </c>
      <c r="E12" s="24" t="s">
        <v>43</v>
      </c>
      <c r="F12" s="24" t="s">
        <v>44</v>
      </c>
      <c r="G12" s="25" t="s">
        <v>45</v>
      </c>
      <c r="H12" s="36" t="s">
        <v>47</v>
      </c>
      <c r="I12" s="37" t="s">
        <v>46</v>
      </c>
      <c r="J12" s="113" t="s">
        <v>36</v>
      </c>
      <c r="K12" s="114"/>
      <c r="L12" s="44" t="e" vm="1">
        <v>#VALUE!</v>
      </c>
      <c r="M12" s="45" t="e" vm="2">
        <v>#VALUE!</v>
      </c>
      <c r="N12" s="46" t="e" vm="3">
        <v>#VALUE!</v>
      </c>
      <c r="O12" s="49" t="s">
        <v>35</v>
      </c>
    </row>
    <row r="13" spans="2:15" ht="21.75" customHeight="1" x14ac:dyDescent="0.25">
      <c r="B13" s="107" t="s">
        <v>60</v>
      </c>
      <c r="C13" s="99">
        <v>1</v>
      </c>
      <c r="D13" s="99">
        <v>0.5</v>
      </c>
      <c r="E13" s="103">
        <v>3</v>
      </c>
      <c r="F13" s="103">
        <v>150</v>
      </c>
      <c r="G13" s="100" t="s">
        <v>3</v>
      </c>
      <c r="H13" s="96">
        <v>2500</v>
      </c>
      <c r="I13" s="54">
        <f>$M$5</f>
        <v>1200</v>
      </c>
      <c r="J13" s="38" t="s">
        <v>15</v>
      </c>
      <c r="K13" s="87">
        <v>0</v>
      </c>
      <c r="L13" s="91">
        <f>SUM(K13:K16)</f>
        <v>3</v>
      </c>
      <c r="M13" s="93">
        <f>K13*50+K14*80+K15*50+K16*70</f>
        <v>150</v>
      </c>
      <c r="N13" s="101" t="s">
        <v>3</v>
      </c>
      <c r="O13" s="50">
        <f>D13*K13*I13</f>
        <v>0</v>
      </c>
    </row>
    <row r="14" spans="2:15" ht="21.75" customHeight="1" x14ac:dyDescent="0.25">
      <c r="B14" s="108"/>
      <c r="C14" s="91"/>
      <c r="D14" s="91"/>
      <c r="E14" s="93"/>
      <c r="F14" s="93"/>
      <c r="G14" s="101"/>
      <c r="H14" s="97"/>
      <c r="I14" s="55">
        <f>$M$6</f>
        <v>1680</v>
      </c>
      <c r="J14" s="39" t="s">
        <v>16</v>
      </c>
      <c r="K14" s="88">
        <v>0</v>
      </c>
      <c r="L14" s="91"/>
      <c r="M14" s="93"/>
      <c r="N14" s="101"/>
      <c r="O14" s="51">
        <f>D13*K14*I14</f>
        <v>0</v>
      </c>
    </row>
    <row r="15" spans="2:15" ht="21.75" customHeight="1" x14ac:dyDescent="0.25">
      <c r="B15" s="108"/>
      <c r="C15" s="91"/>
      <c r="D15" s="91"/>
      <c r="E15" s="93"/>
      <c r="F15" s="93"/>
      <c r="G15" s="101"/>
      <c r="H15" s="97"/>
      <c r="I15" s="56"/>
      <c r="J15" s="39" t="s">
        <v>17</v>
      </c>
      <c r="K15" s="88">
        <v>3</v>
      </c>
      <c r="L15" s="91"/>
      <c r="M15" s="93"/>
      <c r="N15" s="101"/>
      <c r="O15" s="51">
        <f>D13*H13*K15</f>
        <v>3750</v>
      </c>
    </row>
    <row r="16" spans="2:15" ht="21.75" customHeight="1" thickBot="1" x14ac:dyDescent="0.3">
      <c r="B16" s="108"/>
      <c r="C16" s="92"/>
      <c r="D16" s="92"/>
      <c r="E16" s="94"/>
      <c r="F16" s="94"/>
      <c r="G16" s="102"/>
      <c r="H16" s="98"/>
      <c r="I16" s="57"/>
      <c r="J16" s="40" t="s">
        <v>18</v>
      </c>
      <c r="K16" s="89">
        <v>0</v>
      </c>
      <c r="L16" s="92"/>
      <c r="M16" s="94"/>
      <c r="N16" s="102"/>
      <c r="O16" s="52">
        <f>D13*H13*K16</f>
        <v>0</v>
      </c>
    </row>
    <row r="17" spans="2:15" ht="21.75" customHeight="1" x14ac:dyDescent="0.25">
      <c r="B17" s="108"/>
      <c r="C17" s="99">
        <v>2</v>
      </c>
      <c r="D17" s="99">
        <v>2</v>
      </c>
      <c r="E17" s="103">
        <v>2</v>
      </c>
      <c r="F17" s="103">
        <v>120</v>
      </c>
      <c r="G17" s="100" t="s">
        <v>3</v>
      </c>
      <c r="H17" s="96">
        <v>2000</v>
      </c>
      <c r="I17" s="54">
        <f>$M$5</f>
        <v>1200</v>
      </c>
      <c r="J17" s="38" t="s">
        <v>19</v>
      </c>
      <c r="K17" s="87">
        <v>1</v>
      </c>
      <c r="L17" s="99">
        <f>SUM(K17:K20)</f>
        <v>2</v>
      </c>
      <c r="M17" s="103">
        <f>K17*50+K18*80+K19*50+K20*70</f>
        <v>120</v>
      </c>
      <c r="N17" s="100" t="s">
        <v>3</v>
      </c>
      <c r="O17" s="50">
        <f>D17*K17*I17</f>
        <v>2400</v>
      </c>
    </row>
    <row r="18" spans="2:15" ht="21.75" customHeight="1" x14ac:dyDescent="0.25">
      <c r="B18" s="108"/>
      <c r="C18" s="91"/>
      <c r="D18" s="91"/>
      <c r="E18" s="93"/>
      <c r="F18" s="93"/>
      <c r="G18" s="101"/>
      <c r="H18" s="97"/>
      <c r="I18" s="55">
        <f>$M$6</f>
        <v>1680</v>
      </c>
      <c r="J18" s="39" t="s">
        <v>20</v>
      </c>
      <c r="K18" s="88">
        <v>0</v>
      </c>
      <c r="L18" s="91"/>
      <c r="M18" s="93"/>
      <c r="N18" s="101"/>
      <c r="O18" s="51">
        <f>D17*K18*I18</f>
        <v>0</v>
      </c>
    </row>
    <row r="19" spans="2:15" ht="21.75" customHeight="1" x14ac:dyDescent="0.25">
      <c r="B19" s="108"/>
      <c r="C19" s="91"/>
      <c r="D19" s="91"/>
      <c r="E19" s="93"/>
      <c r="F19" s="93"/>
      <c r="G19" s="101"/>
      <c r="H19" s="97"/>
      <c r="I19" s="56"/>
      <c r="J19" s="39" t="s">
        <v>21</v>
      </c>
      <c r="K19" s="88">
        <v>0</v>
      </c>
      <c r="L19" s="91"/>
      <c r="M19" s="93"/>
      <c r="N19" s="101"/>
      <c r="O19" s="51">
        <f>D17*H17*K19</f>
        <v>0</v>
      </c>
    </row>
    <row r="20" spans="2:15" ht="21.75" customHeight="1" thickBot="1" x14ac:dyDescent="0.3">
      <c r="B20" s="108"/>
      <c r="C20" s="92"/>
      <c r="D20" s="92"/>
      <c r="E20" s="94"/>
      <c r="F20" s="94"/>
      <c r="G20" s="102"/>
      <c r="H20" s="98"/>
      <c r="I20" s="57"/>
      <c r="J20" s="40" t="s">
        <v>22</v>
      </c>
      <c r="K20" s="89">
        <v>1</v>
      </c>
      <c r="L20" s="92"/>
      <c r="M20" s="94"/>
      <c r="N20" s="102"/>
      <c r="O20" s="52">
        <f>D17*H17*K20</f>
        <v>4000</v>
      </c>
    </row>
    <row r="21" spans="2:15" ht="21.75" customHeight="1" x14ac:dyDescent="0.25">
      <c r="B21" s="108"/>
      <c r="C21" s="99">
        <v>3</v>
      </c>
      <c r="D21" s="99">
        <v>1.5</v>
      </c>
      <c r="E21" s="103">
        <v>4</v>
      </c>
      <c r="F21" s="103">
        <v>200</v>
      </c>
      <c r="G21" s="100" t="s">
        <v>3</v>
      </c>
      <c r="H21" s="96">
        <v>2100</v>
      </c>
      <c r="I21" s="54">
        <f>$M$5</f>
        <v>1200</v>
      </c>
      <c r="J21" s="38" t="s">
        <v>23</v>
      </c>
      <c r="K21" s="87">
        <v>3</v>
      </c>
      <c r="L21" s="99">
        <f t="shared" ref="L21" si="0">SUM(K21:K24)</f>
        <v>4</v>
      </c>
      <c r="M21" s="103">
        <f>K21*50+K22*80+K23*50+K24*70</f>
        <v>220</v>
      </c>
      <c r="N21" s="100" t="s">
        <v>3</v>
      </c>
      <c r="O21" s="50">
        <f>D21*K21*I21</f>
        <v>5400</v>
      </c>
    </row>
    <row r="22" spans="2:15" ht="21.75" customHeight="1" x14ac:dyDescent="0.25">
      <c r="B22" s="108"/>
      <c r="C22" s="91"/>
      <c r="D22" s="91"/>
      <c r="E22" s="93"/>
      <c r="F22" s="93"/>
      <c r="G22" s="101"/>
      <c r="H22" s="97"/>
      <c r="I22" s="55">
        <f>$M$6</f>
        <v>1680</v>
      </c>
      <c r="J22" s="39" t="s">
        <v>24</v>
      </c>
      <c r="K22" s="88">
        <v>0</v>
      </c>
      <c r="L22" s="91"/>
      <c r="M22" s="93"/>
      <c r="N22" s="101"/>
      <c r="O22" s="51">
        <f>D21*K22*I22</f>
        <v>0</v>
      </c>
    </row>
    <row r="23" spans="2:15" ht="21.75" customHeight="1" x14ac:dyDescent="0.25">
      <c r="B23" s="108"/>
      <c r="C23" s="91"/>
      <c r="D23" s="91"/>
      <c r="E23" s="93"/>
      <c r="F23" s="93"/>
      <c r="G23" s="101"/>
      <c r="H23" s="97"/>
      <c r="I23" s="56"/>
      <c r="J23" s="39" t="s">
        <v>25</v>
      </c>
      <c r="K23" s="88">
        <v>0</v>
      </c>
      <c r="L23" s="91"/>
      <c r="M23" s="93"/>
      <c r="N23" s="101"/>
      <c r="O23" s="51">
        <f>D21*H21*K23</f>
        <v>0</v>
      </c>
    </row>
    <row r="24" spans="2:15" ht="21.75" customHeight="1" thickBot="1" x14ac:dyDescent="0.3">
      <c r="B24" s="109"/>
      <c r="C24" s="92"/>
      <c r="D24" s="92"/>
      <c r="E24" s="94"/>
      <c r="F24" s="94"/>
      <c r="G24" s="102"/>
      <c r="H24" s="98"/>
      <c r="I24" s="57"/>
      <c r="J24" s="40" t="s">
        <v>26</v>
      </c>
      <c r="K24" s="89">
        <v>1</v>
      </c>
      <c r="L24" s="92"/>
      <c r="M24" s="94"/>
      <c r="N24" s="102"/>
      <c r="O24" s="52">
        <f>D21*H21*K24</f>
        <v>3150</v>
      </c>
    </row>
    <row r="25" spans="2:15" ht="21.75" customHeight="1" x14ac:dyDescent="0.25">
      <c r="B25" s="107" t="s">
        <v>61</v>
      </c>
      <c r="C25" s="99">
        <v>4</v>
      </c>
      <c r="D25" s="99">
        <v>1.5</v>
      </c>
      <c r="E25" s="103">
        <v>2</v>
      </c>
      <c r="F25" s="103">
        <v>100</v>
      </c>
      <c r="G25" s="100" t="s">
        <v>3</v>
      </c>
      <c r="H25" s="96">
        <v>1500</v>
      </c>
      <c r="I25" s="54">
        <f>$M$5</f>
        <v>1200</v>
      </c>
      <c r="J25" s="38" t="s">
        <v>27</v>
      </c>
      <c r="K25" s="87">
        <v>2</v>
      </c>
      <c r="L25" s="99">
        <f t="shared" ref="L25" si="1">SUM(K25:K28)</f>
        <v>2</v>
      </c>
      <c r="M25" s="103">
        <f>K25*50+K26*80+K27*50+K28*70</f>
        <v>100</v>
      </c>
      <c r="N25" s="100" t="s">
        <v>3</v>
      </c>
      <c r="O25" s="50">
        <f>D25*K25*I25</f>
        <v>3600</v>
      </c>
    </row>
    <row r="26" spans="2:15" ht="21.75" customHeight="1" x14ac:dyDescent="0.25">
      <c r="B26" s="108"/>
      <c r="C26" s="91"/>
      <c r="D26" s="91"/>
      <c r="E26" s="93"/>
      <c r="F26" s="93"/>
      <c r="G26" s="101"/>
      <c r="H26" s="97"/>
      <c r="I26" s="55">
        <f>$M$6</f>
        <v>1680</v>
      </c>
      <c r="J26" s="39" t="s">
        <v>28</v>
      </c>
      <c r="K26" s="88">
        <v>0</v>
      </c>
      <c r="L26" s="91"/>
      <c r="M26" s="93"/>
      <c r="N26" s="101"/>
      <c r="O26" s="51">
        <f>D25*K26*I26</f>
        <v>0</v>
      </c>
    </row>
    <row r="27" spans="2:15" ht="21.75" customHeight="1" x14ac:dyDescent="0.25">
      <c r="B27" s="108"/>
      <c r="C27" s="91"/>
      <c r="D27" s="91"/>
      <c r="E27" s="93"/>
      <c r="F27" s="93"/>
      <c r="G27" s="101"/>
      <c r="H27" s="97"/>
      <c r="I27" s="56"/>
      <c r="J27" s="39" t="s">
        <v>29</v>
      </c>
      <c r="K27" s="88">
        <v>0</v>
      </c>
      <c r="L27" s="91"/>
      <c r="M27" s="93"/>
      <c r="N27" s="101"/>
      <c r="O27" s="51">
        <f>D25*H25*K27</f>
        <v>0</v>
      </c>
    </row>
    <row r="28" spans="2:15" ht="21.75" customHeight="1" thickBot="1" x14ac:dyDescent="0.3">
      <c r="B28" s="108"/>
      <c r="C28" s="92"/>
      <c r="D28" s="92"/>
      <c r="E28" s="94"/>
      <c r="F28" s="94"/>
      <c r="G28" s="102"/>
      <c r="H28" s="98"/>
      <c r="I28" s="57"/>
      <c r="J28" s="40" t="s">
        <v>30</v>
      </c>
      <c r="K28" s="89">
        <v>0</v>
      </c>
      <c r="L28" s="92"/>
      <c r="M28" s="94"/>
      <c r="N28" s="102"/>
      <c r="O28" s="52">
        <f>D25*H25*K28</f>
        <v>0</v>
      </c>
    </row>
    <row r="29" spans="2:15" ht="21.75" customHeight="1" x14ac:dyDescent="0.25">
      <c r="B29" s="108"/>
      <c r="C29" s="99">
        <v>5</v>
      </c>
      <c r="D29" s="99">
        <v>2.5</v>
      </c>
      <c r="E29" s="103">
        <v>3</v>
      </c>
      <c r="F29" s="103">
        <v>180</v>
      </c>
      <c r="G29" s="100">
        <v>1</v>
      </c>
      <c r="H29" s="96">
        <v>3000</v>
      </c>
      <c r="I29" s="54">
        <f>$M$5</f>
        <v>1200</v>
      </c>
      <c r="J29" s="38" t="s">
        <v>31</v>
      </c>
      <c r="K29" s="87">
        <v>1</v>
      </c>
      <c r="L29" s="99">
        <f t="shared" ref="L29" si="2">SUM(K29:K32)</f>
        <v>3</v>
      </c>
      <c r="M29" s="103">
        <f>K29*50+K30*80+K31*50+K32*70</f>
        <v>190</v>
      </c>
      <c r="N29" s="100">
        <f>K32+K30</f>
        <v>2</v>
      </c>
      <c r="O29" s="50">
        <f>D29*K29*I29</f>
        <v>3000</v>
      </c>
    </row>
    <row r="30" spans="2:15" ht="21.75" customHeight="1" x14ac:dyDescent="0.25">
      <c r="B30" s="108"/>
      <c r="C30" s="91"/>
      <c r="D30" s="91"/>
      <c r="E30" s="93"/>
      <c r="F30" s="93"/>
      <c r="G30" s="101"/>
      <c r="H30" s="97"/>
      <c r="I30" s="55">
        <f>$M$6</f>
        <v>1680</v>
      </c>
      <c r="J30" s="39" t="s">
        <v>32</v>
      </c>
      <c r="K30" s="88">
        <v>0</v>
      </c>
      <c r="L30" s="91"/>
      <c r="M30" s="93"/>
      <c r="N30" s="101"/>
      <c r="O30" s="51">
        <f>D29*K30*I30</f>
        <v>0</v>
      </c>
    </row>
    <row r="31" spans="2:15" ht="21.75" customHeight="1" x14ac:dyDescent="0.25">
      <c r="B31" s="108"/>
      <c r="C31" s="91"/>
      <c r="D31" s="91"/>
      <c r="E31" s="93"/>
      <c r="F31" s="93"/>
      <c r="G31" s="101"/>
      <c r="H31" s="97"/>
      <c r="I31" s="56"/>
      <c r="J31" s="39" t="s">
        <v>33</v>
      </c>
      <c r="K31" s="88">
        <v>0</v>
      </c>
      <c r="L31" s="91"/>
      <c r="M31" s="93"/>
      <c r="N31" s="101"/>
      <c r="O31" s="51">
        <f>D29*H29*K31</f>
        <v>0</v>
      </c>
    </row>
    <row r="32" spans="2:15" ht="21.75" customHeight="1" thickBot="1" x14ac:dyDescent="0.3">
      <c r="B32" s="109"/>
      <c r="C32" s="92"/>
      <c r="D32" s="92"/>
      <c r="E32" s="94"/>
      <c r="F32" s="94"/>
      <c r="G32" s="102"/>
      <c r="H32" s="98"/>
      <c r="I32" s="57"/>
      <c r="J32" s="40" t="s">
        <v>34</v>
      </c>
      <c r="K32" s="89">
        <v>2</v>
      </c>
      <c r="L32" s="92"/>
      <c r="M32" s="94"/>
      <c r="N32" s="102"/>
      <c r="O32" s="52">
        <f>D29*H29*K32</f>
        <v>15000</v>
      </c>
    </row>
    <row r="33" spans="5:19" ht="18.75" customHeight="1" x14ac:dyDescent="0.25">
      <c r="E33"/>
      <c r="F33"/>
      <c r="G33"/>
      <c r="H33"/>
      <c r="S33"/>
    </row>
    <row r="34" spans="5:19" x14ac:dyDescent="0.25">
      <c r="E34" s="95"/>
      <c r="F34" s="95"/>
      <c r="G34" s="95"/>
      <c r="H34" s="95"/>
    </row>
    <row r="1048551" spans="16384:16384" x14ac:dyDescent="0.25">
      <c r="XFD1048551" s="1" t="str" cm="1">
        <f t="array" ref="XFD1048551">solver_pre</f>
        <v>"""""""""""""""""""""""""""""""""""""""""""""""""""""""""""""""0,000001"""""""""""""""""""""""""""""""""""""""""""""""""""""""""""""""</v>
      </c>
    </row>
    <row r="1048552" spans="16384:16384" x14ac:dyDescent="0.25">
      <c r="XFD1048552" s="1" cm="1">
        <f t="array" ref="XFD1048552">solver_scl</f>
        <v>1</v>
      </c>
    </row>
    <row r="1048553" spans="16384:16384" x14ac:dyDescent="0.25">
      <c r="XFD1048553" s="1" cm="1">
        <f t="array" ref="XFD1048553">solver_rlx</f>
        <v>2</v>
      </c>
    </row>
    <row r="1048554" spans="16384:16384" x14ac:dyDescent="0.25">
      <c r="XFD1048554" s="1" cm="1">
        <f t="array" ref="XFD1048554">solver_tol</f>
        <v>1</v>
      </c>
    </row>
    <row r="1048555" spans="16384:16384" x14ac:dyDescent="0.25">
      <c r="XFD1048555" s="1" t="str" cm="1">
        <f t="array" ref="XFD1048555">solver_cvg</f>
        <v>"""""""""""""""""""""""""""""""""""""""""""""""""""""""""""""""0,0001"""""""""""""""""""""""""""""""""""""""""""""""""""""""""""""""</v>
      </c>
    </row>
    <row r="1048556" spans="16384:16384" x14ac:dyDescent="0.25">
      <c r="XFD1048556" s="1" t="e" cm="1">
        <f t="array" ref="XFD1048556">AREAS(solver_adj1)</f>
        <v>#NAME?</v>
      </c>
    </row>
    <row r="1048557" spans="16384:16384" x14ac:dyDescent="0.25">
      <c r="XFD1048557" s="1" cm="1">
        <f t="array" ref="XFD1048557">solver_ssz</f>
        <v>100</v>
      </c>
    </row>
    <row r="1048558" spans="16384:16384" x14ac:dyDescent="0.25">
      <c r="XFD1048558" s="1" cm="1">
        <f t="array" ref="XFD1048558">solver_rsd</f>
        <v>0</v>
      </c>
    </row>
    <row r="1048559" spans="16384:16384" x14ac:dyDescent="0.25">
      <c r="XFD1048559" s="1" t="str" cm="1">
        <f t="array" ref="XFD1048559">solver_mrt</f>
        <v>"""""""""""""""""""""""""""""""""""""""""""""""""""""""""""""""0,075"""""""""""""""""""""""""""""""""""""""""""""""""""""""""""""""</v>
      </c>
    </row>
    <row r="1048560" spans="16384:16384" x14ac:dyDescent="0.25">
      <c r="XFD1048560" s="1" cm="1">
        <f t="array" ref="XFD1048560">solver_mni</f>
        <v>30</v>
      </c>
    </row>
    <row r="1048561" spans="16384:16384" x14ac:dyDescent="0.25">
      <c r="XFD1048561" s="1" cm="1">
        <f t="array" ref="XFD1048561">solver_rbv</f>
        <v>1</v>
      </c>
    </row>
    <row r="1048562" spans="16384:16384" x14ac:dyDescent="0.25">
      <c r="XFD1048562" s="1" cm="1">
        <f t="array" ref="XFD1048562">solver_neg</f>
        <v>2</v>
      </c>
    </row>
    <row r="1048563" spans="16384:16384" x14ac:dyDescent="0.25">
      <c r="XFD1048563" s="1" t="e" cm="1">
        <f t="array" ref="XFD1048563">solver_ntr</f>
        <v>#NAME?</v>
      </c>
    </row>
    <row r="1048564" spans="16384:16384" x14ac:dyDescent="0.25">
      <c r="XFD1048564" s="1" t="e" cm="1">
        <f t="array" ref="XFD1048564">solver_acc</f>
        <v>#NAME?</v>
      </c>
    </row>
    <row r="1048565" spans="16384:16384" x14ac:dyDescent="0.25">
      <c r="XFD1048565" s="1" t="e" cm="1">
        <f t="array" ref="XFD1048565">solver_res</f>
        <v>#NAME?</v>
      </c>
    </row>
    <row r="1048566" spans="16384:16384" x14ac:dyDescent="0.25">
      <c r="XFD1048566" s="1" t="e" cm="1">
        <f t="array" ref="XFD1048566">solver_ars</f>
        <v>#NAME?</v>
      </c>
    </row>
    <row r="1048567" spans="16384:16384" x14ac:dyDescent="0.25">
      <c r="XFD1048567" s="1" t="e" cm="1">
        <f t="array" ref="XFD1048567">solver_sta</f>
        <v>#NAME?</v>
      </c>
    </row>
    <row r="1048568" spans="16384:16384" x14ac:dyDescent="0.25">
      <c r="XFD1048568" s="1" t="e" cm="1">
        <f t="array" ref="XFD1048568">solver_met</f>
        <v>#NAME?</v>
      </c>
    </row>
    <row r="1048569" spans="16384:16384" x14ac:dyDescent="0.25">
      <c r="XFD1048569" s="1" t="e" cm="1">
        <f t="array" ref="XFD1048569">solver_soc</f>
        <v>#NAME?</v>
      </c>
    </row>
    <row r="1048570" spans="16384:16384" x14ac:dyDescent="0.25">
      <c r="XFD1048570" s="1" t="e" cm="1">
        <f t="array" ref="XFD1048570">solver_lpt</f>
        <v>#NAME?</v>
      </c>
    </row>
    <row r="1048571" spans="16384:16384" x14ac:dyDescent="0.25">
      <c r="XFD1048571" s="1" t="e" cm="1">
        <f t="array" ref="XFD1048571">solver_lpp</f>
        <v>#NAME?</v>
      </c>
    </row>
    <row r="1048572" spans="16384:16384" x14ac:dyDescent="0.25">
      <c r="XFD1048572" s="1" t="e" cm="1">
        <f t="array" ref="XFD1048572">solver_gap</f>
        <v>#NAME?</v>
      </c>
    </row>
    <row r="1048573" spans="16384:16384" x14ac:dyDescent="0.25">
      <c r="XFD1048573" s="1" t="e" cm="1">
        <f t="array" ref="XFD1048573">solver_ips</f>
        <v>#NAME?</v>
      </c>
    </row>
    <row r="1048574" spans="16384:16384" x14ac:dyDescent="0.25">
      <c r="XFD1048574" s="1" t="e" cm="1">
        <f t="array" ref="XFD1048574">solver_fea</f>
        <v>#NAME?</v>
      </c>
    </row>
    <row r="1048575" spans="16384:16384" x14ac:dyDescent="0.25">
      <c r="XFD1048575" s="1" t="e" cm="1">
        <f t="array" ref="XFD1048575">solver_ipi</f>
        <v>#NAME?</v>
      </c>
    </row>
    <row r="1048576" spans="16384:16384" x14ac:dyDescent="0.25">
      <c r="XFD1048576" s="1" t="e" cm="1">
        <f t="array" ref="XFD1048576">solver_ipd</f>
        <v>#NAME?</v>
      </c>
    </row>
  </sheetData>
  <mergeCells count="58">
    <mergeCell ref="F3:H3"/>
    <mergeCell ref="J12:K12"/>
    <mergeCell ref="M2:N2"/>
    <mergeCell ref="B10:C11"/>
    <mergeCell ref="M29:M32"/>
    <mergeCell ref="J3:O3"/>
    <mergeCell ref="L17:L20"/>
    <mergeCell ref="M17:M20"/>
    <mergeCell ref="N29:N32"/>
    <mergeCell ref="N25:N28"/>
    <mergeCell ref="N21:N24"/>
    <mergeCell ref="N17:N20"/>
    <mergeCell ref="N13:N16"/>
    <mergeCell ref="H11:I11"/>
    <mergeCell ref="D11:G11"/>
    <mergeCell ref="J11:K11"/>
    <mergeCell ref="L10:N10"/>
    <mergeCell ref="L29:L32"/>
    <mergeCell ref="B25:B32"/>
    <mergeCell ref="B13:B24"/>
    <mergeCell ref="L21:L24"/>
    <mergeCell ref="M21:M24"/>
    <mergeCell ref="L25:L28"/>
    <mergeCell ref="M25:M28"/>
    <mergeCell ref="C29:C32"/>
    <mergeCell ref="D29:D32"/>
    <mergeCell ref="E29:E32"/>
    <mergeCell ref="F29:F32"/>
    <mergeCell ref="G29:G32"/>
    <mergeCell ref="C25:C28"/>
    <mergeCell ref="D25:D28"/>
    <mergeCell ref="E25:E28"/>
    <mergeCell ref="C21:C24"/>
    <mergeCell ref="D21:D24"/>
    <mergeCell ref="E21:E24"/>
    <mergeCell ref="F21:F24"/>
    <mergeCell ref="G21:G24"/>
    <mergeCell ref="C17:C20"/>
    <mergeCell ref="D17:D20"/>
    <mergeCell ref="E17:E20"/>
    <mergeCell ref="F17:F20"/>
    <mergeCell ref="G17:G20"/>
    <mergeCell ref="C13:C16"/>
    <mergeCell ref="D13:D16"/>
    <mergeCell ref="H13:H16"/>
    <mergeCell ref="G13:G16"/>
    <mergeCell ref="F13:F16"/>
    <mergeCell ref="E13:E16"/>
    <mergeCell ref="L13:L16"/>
    <mergeCell ref="M13:M16"/>
    <mergeCell ref="E34:F34"/>
    <mergeCell ref="G34:H34"/>
    <mergeCell ref="H17:H20"/>
    <mergeCell ref="H21:H24"/>
    <mergeCell ref="H25:H28"/>
    <mergeCell ref="H29:H32"/>
    <mergeCell ref="F25:F28"/>
    <mergeCell ref="G25:G28"/>
  </mergeCells>
  <conditionalFormatting sqref="G5:H8">
    <cfRule type="cellIs" dxfId="12" priority="1" operator="lessThan">
      <formula>0</formula>
    </cfRule>
    <cfRule type="cellIs" dxfId="11" priority="2" operator="greaterThanOrEqual">
      <formula>0</formula>
    </cfRule>
  </conditionalFormatting>
  <conditionalFormatting sqref="L13 L17 L21 L25 L29">
    <cfRule type="cellIs" dxfId="10" priority="4" operator="notEqual">
      <formula>$E13</formula>
    </cfRule>
    <cfRule type="cellIs" dxfId="9" priority="8" operator="equal">
      <formula>$E13</formula>
    </cfRule>
  </conditionalFormatting>
  <conditionalFormatting sqref="M13 M17 M21 M25 M29">
    <cfRule type="cellIs" dxfId="8" priority="3" operator="greaterThanOrEqual">
      <formula>$F13</formula>
    </cfRule>
    <cfRule type="cellIs" dxfId="7" priority="7" operator="lessThan">
      <formula>$F13</formula>
    </cfRule>
  </conditionalFormatting>
  <conditionalFormatting sqref="N13 N17 N21 N25 N29">
    <cfRule type="cellIs" dxfId="6" priority="5" operator="lessThan">
      <formula>$G13</formula>
    </cfRule>
    <cfRule type="cellIs" dxfId="5" priority="6" operator="greaterThanOrEqual">
      <formula>$G13</formula>
    </cfRule>
  </conditionalFormatting>
  <pageMargins left="0.7" right="0.7" top="0.75" bottom="0.75" header="0.3" footer="0.3"/>
  <pageSetup paperSize="9" orientation="portrait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56EC811A-6EF3-4E89-B6D1-50EAEF60615E}">
          <xm:f>Modelagem!1:1048576</xm:f>
        </x15:webExtension>
        <x15:webExtension appRef="{F2CA110E-1A29-4829-811B-D85AF9D4DE52}">
          <xm:f>Modelagem!XFD1048551:XFD1048576</xm:f>
        </x15:webExtension>
        <x15:webExtension appRef="{86BFFCCB-7B2B-4E8B-A926-1BAD77ED5FB4}">
          <xm:f>Modelagem!$O$2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DE36-46D0-4434-A35E-E7CEC1AAFDB3}">
  <sheetPr codeName="Sheet3"/>
  <dimension ref="A1:J42"/>
  <sheetViews>
    <sheetView showGridLines="0" workbookViewId="0">
      <selection activeCell="G38" sqref="G38:L43"/>
    </sheetView>
  </sheetViews>
  <sheetFormatPr defaultRowHeight="15" x14ac:dyDescent="0.25"/>
  <cols>
    <col min="3" max="3" width="11.28515625" customWidth="1"/>
    <col min="4" max="4" width="14.7109375" style="13" customWidth="1"/>
    <col min="5" max="5" width="13.140625" customWidth="1"/>
    <col min="6" max="6" width="12.7109375" style="13" customWidth="1"/>
  </cols>
  <sheetData>
    <row r="1" spans="1:10" ht="15.75" thickBot="1" x14ac:dyDescent="0.3">
      <c r="A1" s="125" t="s">
        <v>69</v>
      </c>
      <c r="B1" s="126"/>
    </row>
    <row r="2" spans="1:10" s="20" customFormat="1" ht="45" x14ac:dyDescent="0.25">
      <c r="A2" s="83" t="s">
        <v>8</v>
      </c>
      <c r="B2" s="84" t="s">
        <v>9</v>
      </c>
      <c r="C2" s="84" t="s">
        <v>66</v>
      </c>
      <c r="D2" s="85" t="s">
        <v>70</v>
      </c>
      <c r="E2" s="86" t="s">
        <v>68</v>
      </c>
      <c r="G2" s="75" t="s">
        <v>66</v>
      </c>
      <c r="H2" s="78" t="s">
        <v>71</v>
      </c>
      <c r="I2" s="75"/>
      <c r="J2" s="76" t="s">
        <v>67</v>
      </c>
    </row>
    <row r="3" spans="1:10" x14ac:dyDescent="0.25">
      <c r="A3" s="15">
        <v>0</v>
      </c>
      <c r="B3">
        <v>5</v>
      </c>
      <c r="C3">
        <v>5</v>
      </c>
      <c r="D3" s="14">
        <v>46280</v>
      </c>
      <c r="E3" s="16">
        <f t="shared" ref="E3:E38" si="0">(D3-MIN($D$3:$D$38))/(MAX($D$3:$D$38)-MIN($D$3:$D$38))</f>
        <v>0.52572497661365758</v>
      </c>
      <c r="G3" s="15">
        <v>0</v>
      </c>
      <c r="H3" s="79">
        <f>_xlfn.MINIFS($D$3:$D$38,$C$3:$C$38,G3)</f>
        <v>51350</v>
      </c>
      <c r="I3" s="15">
        <f>MIN($G$3:$G$13)</f>
        <v>0</v>
      </c>
      <c r="J3" s="81">
        <f>MIN($H$3:$H$13)</f>
        <v>40660</v>
      </c>
    </row>
    <row r="4" spans="1:10" ht="15.75" thickBot="1" x14ac:dyDescent="0.3">
      <c r="A4" s="15">
        <v>0</v>
      </c>
      <c r="B4">
        <v>4</v>
      </c>
      <c r="C4">
        <v>4</v>
      </c>
      <c r="D4" s="14">
        <v>45310</v>
      </c>
      <c r="E4" s="16">
        <f t="shared" si="0"/>
        <v>0.43498596819457436</v>
      </c>
      <c r="G4" s="15">
        <v>1</v>
      </c>
      <c r="H4" s="79">
        <f t="shared" ref="H4:H13" si="1">_xlfn.MINIFS($D$3:$D$38,$C$3:$C$38,G4)</f>
        <v>47050</v>
      </c>
      <c r="I4" s="17">
        <f>MAX($G$3:$G$13)</f>
        <v>10</v>
      </c>
      <c r="J4" s="82">
        <f>MIN($H$3:$H$13)</f>
        <v>40660</v>
      </c>
    </row>
    <row r="5" spans="1:10" x14ac:dyDescent="0.25">
      <c r="A5" s="15">
        <v>0</v>
      </c>
      <c r="B5">
        <v>3</v>
      </c>
      <c r="C5">
        <v>3</v>
      </c>
      <c r="D5" s="14">
        <v>44340</v>
      </c>
      <c r="E5" s="16">
        <f t="shared" si="0"/>
        <v>0.34424695977549113</v>
      </c>
      <c r="G5" s="15">
        <v>2</v>
      </c>
      <c r="H5" s="79">
        <f t="shared" si="1"/>
        <v>44710</v>
      </c>
    </row>
    <row r="6" spans="1:10" x14ac:dyDescent="0.25">
      <c r="A6" s="15">
        <v>0</v>
      </c>
      <c r="B6">
        <v>2</v>
      </c>
      <c r="C6">
        <v>2</v>
      </c>
      <c r="D6" s="14">
        <v>46670</v>
      </c>
      <c r="E6" s="16">
        <f t="shared" si="0"/>
        <v>0.56220767072029931</v>
      </c>
      <c r="G6" s="15">
        <v>3</v>
      </c>
      <c r="H6" s="79">
        <f t="shared" si="1"/>
        <v>40660</v>
      </c>
    </row>
    <row r="7" spans="1:10" x14ac:dyDescent="0.25">
      <c r="A7" s="15">
        <v>0</v>
      </c>
      <c r="B7">
        <v>1</v>
      </c>
      <c r="C7">
        <v>1</v>
      </c>
      <c r="D7" s="14">
        <v>49010</v>
      </c>
      <c r="E7" s="16">
        <f t="shared" si="0"/>
        <v>0.78110383536014971</v>
      </c>
      <c r="G7" s="15">
        <v>4</v>
      </c>
      <c r="H7" s="79">
        <f t="shared" si="1"/>
        <v>40660</v>
      </c>
    </row>
    <row r="8" spans="1:10" x14ac:dyDescent="0.25">
      <c r="A8" s="15">
        <v>0</v>
      </c>
      <c r="B8">
        <v>0</v>
      </c>
      <c r="C8">
        <v>0</v>
      </c>
      <c r="D8" s="14">
        <v>51350</v>
      </c>
      <c r="E8" s="16">
        <f t="shared" si="0"/>
        <v>1</v>
      </c>
      <c r="G8" s="15">
        <v>5</v>
      </c>
      <c r="H8" s="79">
        <f t="shared" si="1"/>
        <v>40660</v>
      </c>
    </row>
    <row r="9" spans="1:10" x14ac:dyDescent="0.25">
      <c r="A9" s="15">
        <v>1</v>
      </c>
      <c r="B9">
        <v>5</v>
      </c>
      <c r="C9">
        <v>6</v>
      </c>
      <c r="D9" s="14">
        <v>45290</v>
      </c>
      <c r="E9" s="16">
        <f t="shared" si="0"/>
        <v>0.43311506080449019</v>
      </c>
      <c r="G9" s="15">
        <v>6</v>
      </c>
      <c r="H9" s="79">
        <f t="shared" si="1"/>
        <v>41110</v>
      </c>
    </row>
    <row r="10" spans="1:10" x14ac:dyDescent="0.25">
      <c r="A10" s="15">
        <v>1</v>
      </c>
      <c r="B10">
        <v>4</v>
      </c>
      <c r="C10">
        <v>5</v>
      </c>
      <c r="D10" s="14">
        <v>44320</v>
      </c>
      <c r="E10" s="16">
        <f t="shared" si="0"/>
        <v>0.34237605238540691</v>
      </c>
      <c r="G10" s="15">
        <v>7</v>
      </c>
      <c r="H10" s="79">
        <f t="shared" si="1"/>
        <v>42300</v>
      </c>
    </row>
    <row r="11" spans="1:10" x14ac:dyDescent="0.25">
      <c r="A11" s="15">
        <v>1</v>
      </c>
      <c r="B11">
        <v>3</v>
      </c>
      <c r="C11">
        <v>4</v>
      </c>
      <c r="D11" s="14">
        <v>43350</v>
      </c>
      <c r="E11" s="16">
        <f t="shared" si="0"/>
        <v>0.25163704396632369</v>
      </c>
      <c r="G11" s="15">
        <v>8</v>
      </c>
      <c r="H11" s="79">
        <f t="shared" si="1"/>
        <v>43490</v>
      </c>
    </row>
    <row r="12" spans="1:10" x14ac:dyDescent="0.25">
      <c r="A12" s="15">
        <v>1</v>
      </c>
      <c r="B12">
        <v>2</v>
      </c>
      <c r="C12">
        <v>3</v>
      </c>
      <c r="D12" s="14">
        <v>42380</v>
      </c>
      <c r="E12" s="16">
        <f t="shared" si="0"/>
        <v>0.16089803554724041</v>
      </c>
      <c r="G12" s="15">
        <v>9</v>
      </c>
      <c r="H12" s="79">
        <f t="shared" si="1"/>
        <v>44680</v>
      </c>
    </row>
    <row r="13" spans="1:10" ht="15.75" thickBot="1" x14ac:dyDescent="0.3">
      <c r="A13" s="15">
        <v>1</v>
      </c>
      <c r="B13">
        <v>1</v>
      </c>
      <c r="C13">
        <v>2</v>
      </c>
      <c r="D13" s="14">
        <v>44710</v>
      </c>
      <c r="E13" s="16">
        <f t="shared" si="0"/>
        <v>0.37885874649204865</v>
      </c>
      <c r="G13" s="17">
        <v>10</v>
      </c>
      <c r="H13" s="80">
        <f t="shared" si="1"/>
        <v>46280</v>
      </c>
    </row>
    <row r="14" spans="1:10" x14ac:dyDescent="0.25">
      <c r="A14" s="15">
        <v>1</v>
      </c>
      <c r="B14">
        <v>0</v>
      </c>
      <c r="C14">
        <v>1</v>
      </c>
      <c r="D14" s="14">
        <v>47050</v>
      </c>
      <c r="E14" s="16">
        <f t="shared" si="0"/>
        <v>0.59775491113189894</v>
      </c>
      <c r="F14" s="14"/>
    </row>
    <row r="15" spans="1:10" x14ac:dyDescent="0.25">
      <c r="A15" s="15">
        <v>2</v>
      </c>
      <c r="B15">
        <v>5</v>
      </c>
      <c r="C15">
        <v>7</v>
      </c>
      <c r="D15" s="14">
        <v>44760</v>
      </c>
      <c r="E15" s="16">
        <f t="shared" si="0"/>
        <v>0.38353601496725914</v>
      </c>
      <c r="G15" s="14"/>
    </row>
    <row r="16" spans="1:10" x14ac:dyDescent="0.25">
      <c r="A16" s="15">
        <v>2</v>
      </c>
      <c r="B16">
        <v>4</v>
      </c>
      <c r="C16">
        <v>6</v>
      </c>
      <c r="D16" s="14">
        <v>43570</v>
      </c>
      <c r="E16" s="16">
        <f t="shared" si="0"/>
        <v>0.27221702525724978</v>
      </c>
      <c r="H16" s="14"/>
    </row>
    <row r="17" spans="1:8" x14ac:dyDescent="0.25">
      <c r="A17" s="15">
        <v>2</v>
      </c>
      <c r="B17">
        <v>3</v>
      </c>
      <c r="C17">
        <v>5</v>
      </c>
      <c r="D17" s="14">
        <v>42600</v>
      </c>
      <c r="E17" s="16">
        <f t="shared" si="0"/>
        <v>0.1814780168381665</v>
      </c>
      <c r="H17" s="14"/>
    </row>
    <row r="18" spans="1:8" x14ac:dyDescent="0.25">
      <c r="A18" s="15">
        <v>2</v>
      </c>
      <c r="B18">
        <v>2</v>
      </c>
      <c r="C18">
        <v>4</v>
      </c>
      <c r="D18" s="14">
        <v>41630</v>
      </c>
      <c r="E18" s="16">
        <f t="shared" si="0"/>
        <v>9.073900841908325E-2</v>
      </c>
      <c r="H18" s="14"/>
    </row>
    <row r="19" spans="1:8" x14ac:dyDescent="0.25">
      <c r="A19" s="15">
        <v>2</v>
      </c>
      <c r="B19">
        <v>1</v>
      </c>
      <c r="C19">
        <v>3</v>
      </c>
      <c r="D19" s="14">
        <v>40660</v>
      </c>
      <c r="E19" s="16">
        <f t="shared" si="0"/>
        <v>0</v>
      </c>
      <c r="H19" s="14"/>
    </row>
    <row r="20" spans="1:8" x14ac:dyDescent="0.25">
      <c r="A20" s="15">
        <v>2</v>
      </c>
      <c r="B20">
        <v>0</v>
      </c>
      <c r="C20">
        <v>2</v>
      </c>
      <c r="D20" s="14">
        <v>47050</v>
      </c>
      <c r="E20" s="16">
        <f t="shared" si="0"/>
        <v>0.59775491113189894</v>
      </c>
      <c r="H20" s="14"/>
    </row>
    <row r="21" spans="1:8" x14ac:dyDescent="0.25">
      <c r="A21" s="15">
        <v>3</v>
      </c>
      <c r="B21">
        <v>5</v>
      </c>
      <c r="C21">
        <v>8</v>
      </c>
      <c r="D21" s="14">
        <v>44980</v>
      </c>
      <c r="E21" s="16">
        <f t="shared" si="0"/>
        <v>0.40411599625818523</v>
      </c>
      <c r="H21" s="14"/>
    </row>
    <row r="22" spans="1:8" x14ac:dyDescent="0.25">
      <c r="A22" s="15">
        <v>3</v>
      </c>
      <c r="B22">
        <v>4</v>
      </c>
      <c r="C22">
        <v>7</v>
      </c>
      <c r="D22" s="14">
        <v>43790</v>
      </c>
      <c r="E22" s="16">
        <f t="shared" si="0"/>
        <v>0.29279700654817586</v>
      </c>
      <c r="H22" s="14"/>
    </row>
    <row r="23" spans="1:8" x14ac:dyDescent="0.25">
      <c r="A23" s="15">
        <v>3</v>
      </c>
      <c r="B23">
        <v>3</v>
      </c>
      <c r="C23">
        <v>6</v>
      </c>
      <c r="D23" s="14">
        <v>42600</v>
      </c>
      <c r="E23" s="16">
        <f t="shared" si="0"/>
        <v>0.1814780168381665</v>
      </c>
      <c r="H23" s="14"/>
    </row>
    <row r="24" spans="1:8" x14ac:dyDescent="0.25">
      <c r="A24" s="15">
        <v>3</v>
      </c>
      <c r="B24">
        <v>2</v>
      </c>
      <c r="C24">
        <v>5</v>
      </c>
      <c r="D24" s="14">
        <v>41630</v>
      </c>
      <c r="E24" s="16">
        <f t="shared" si="0"/>
        <v>9.073900841908325E-2</v>
      </c>
      <c r="H24" s="14"/>
    </row>
    <row r="25" spans="1:8" x14ac:dyDescent="0.25">
      <c r="A25" s="15">
        <v>3</v>
      </c>
      <c r="B25">
        <v>1</v>
      </c>
      <c r="C25">
        <v>4</v>
      </c>
      <c r="D25" s="14">
        <v>40660</v>
      </c>
      <c r="E25" s="16">
        <f t="shared" si="0"/>
        <v>0</v>
      </c>
      <c r="H25" s="14"/>
    </row>
    <row r="26" spans="1:8" x14ac:dyDescent="0.25">
      <c r="A26" s="15">
        <v>3</v>
      </c>
      <c r="B26">
        <v>0</v>
      </c>
      <c r="C26">
        <v>3</v>
      </c>
      <c r="D26" s="14">
        <v>47500</v>
      </c>
      <c r="E26" s="16">
        <f t="shared" si="0"/>
        <v>0.63985032740879322</v>
      </c>
      <c r="H26" s="14"/>
    </row>
    <row r="27" spans="1:8" x14ac:dyDescent="0.25">
      <c r="A27" s="15">
        <v>4</v>
      </c>
      <c r="B27">
        <v>5</v>
      </c>
      <c r="C27">
        <v>9</v>
      </c>
      <c r="D27" s="14">
        <v>45200</v>
      </c>
      <c r="E27" s="16">
        <f t="shared" si="0"/>
        <v>0.42469597754911131</v>
      </c>
      <c r="F27" s="14"/>
    </row>
    <row r="28" spans="1:8" x14ac:dyDescent="0.25">
      <c r="A28" s="15">
        <v>4</v>
      </c>
      <c r="B28">
        <v>4</v>
      </c>
      <c r="C28">
        <v>8</v>
      </c>
      <c r="D28" s="14">
        <v>44010</v>
      </c>
      <c r="E28" s="16">
        <f t="shared" si="0"/>
        <v>0.31337698783910195</v>
      </c>
      <c r="F28" s="14"/>
    </row>
    <row r="29" spans="1:8" x14ac:dyDescent="0.25">
      <c r="A29" s="15">
        <v>4</v>
      </c>
      <c r="B29">
        <v>3</v>
      </c>
      <c r="C29">
        <v>7</v>
      </c>
      <c r="D29" s="14">
        <v>42820</v>
      </c>
      <c r="E29" s="16">
        <f t="shared" si="0"/>
        <v>0.20205799812909261</v>
      </c>
      <c r="F29" s="14"/>
    </row>
    <row r="30" spans="1:8" x14ac:dyDescent="0.25">
      <c r="A30" s="15">
        <v>4</v>
      </c>
      <c r="B30">
        <v>2</v>
      </c>
      <c r="C30">
        <v>6</v>
      </c>
      <c r="D30" s="14">
        <v>41630</v>
      </c>
      <c r="E30" s="16">
        <f t="shared" si="0"/>
        <v>9.073900841908325E-2</v>
      </c>
      <c r="F30" s="14"/>
    </row>
    <row r="31" spans="1:8" x14ac:dyDescent="0.25">
      <c r="A31" s="15">
        <v>4</v>
      </c>
      <c r="B31">
        <v>1</v>
      </c>
      <c r="C31">
        <v>5</v>
      </c>
      <c r="D31" s="14">
        <v>40660</v>
      </c>
      <c r="E31" s="16">
        <f t="shared" si="0"/>
        <v>0</v>
      </c>
      <c r="F31" s="14"/>
    </row>
    <row r="32" spans="1:8" x14ac:dyDescent="0.25">
      <c r="A32" s="15">
        <v>4</v>
      </c>
      <c r="B32">
        <v>0</v>
      </c>
      <c r="C32">
        <v>4</v>
      </c>
      <c r="D32" s="14">
        <v>47500</v>
      </c>
      <c r="E32" s="16">
        <f t="shared" si="0"/>
        <v>0.63985032740879322</v>
      </c>
      <c r="F32" s="14"/>
    </row>
    <row r="33" spans="1:8" x14ac:dyDescent="0.25">
      <c r="A33" s="15">
        <v>5</v>
      </c>
      <c r="B33">
        <v>5</v>
      </c>
      <c r="C33">
        <v>10</v>
      </c>
      <c r="D33" s="14">
        <v>46280</v>
      </c>
      <c r="E33" s="16">
        <f t="shared" si="0"/>
        <v>0.52572497661365758</v>
      </c>
      <c r="F33" s="14"/>
    </row>
    <row r="34" spans="1:8" x14ac:dyDescent="0.25">
      <c r="A34" s="15">
        <v>5</v>
      </c>
      <c r="B34">
        <v>4</v>
      </c>
      <c r="C34">
        <v>9</v>
      </c>
      <c r="D34" s="14">
        <v>44680</v>
      </c>
      <c r="E34" s="16">
        <f t="shared" si="0"/>
        <v>0.37605238540692237</v>
      </c>
      <c r="F34" s="14"/>
    </row>
    <row r="35" spans="1:8" x14ac:dyDescent="0.25">
      <c r="A35" s="15">
        <v>5</v>
      </c>
      <c r="B35">
        <v>3</v>
      </c>
      <c r="C35">
        <v>8</v>
      </c>
      <c r="D35" s="14">
        <v>43490</v>
      </c>
      <c r="E35" s="16">
        <f t="shared" si="0"/>
        <v>0.26473339569691301</v>
      </c>
      <c r="F35" s="14"/>
    </row>
    <row r="36" spans="1:8" x14ac:dyDescent="0.25">
      <c r="A36" s="15">
        <v>5</v>
      </c>
      <c r="B36">
        <v>2</v>
      </c>
      <c r="C36">
        <v>7</v>
      </c>
      <c r="D36" s="14">
        <v>42300</v>
      </c>
      <c r="E36" s="16">
        <f t="shared" si="0"/>
        <v>0.15341440598690365</v>
      </c>
      <c r="F36" s="14"/>
    </row>
    <row r="37" spans="1:8" x14ac:dyDescent="0.25">
      <c r="A37" s="15">
        <v>5</v>
      </c>
      <c r="B37">
        <v>1</v>
      </c>
      <c r="C37">
        <v>6</v>
      </c>
      <c r="D37" s="14">
        <v>41110</v>
      </c>
      <c r="E37" s="16">
        <f t="shared" si="0"/>
        <v>4.2095416276894296E-2</v>
      </c>
      <c r="F37" s="14"/>
    </row>
    <row r="38" spans="1:8" ht="15.75" thickBot="1" x14ac:dyDescent="0.3">
      <c r="A38" s="17">
        <v>5</v>
      </c>
      <c r="B38" s="18">
        <v>0</v>
      </c>
      <c r="C38" s="18">
        <v>5</v>
      </c>
      <c r="D38" s="77">
        <v>47950</v>
      </c>
      <c r="E38" s="19">
        <f t="shared" si="0"/>
        <v>0.68194574368568761</v>
      </c>
      <c r="F38" s="14"/>
    </row>
    <row r="41" spans="1:8" x14ac:dyDescent="0.25">
      <c r="H41" s="14"/>
    </row>
    <row r="42" spans="1:8" x14ac:dyDescent="0.25">
      <c r="H42" s="14"/>
    </row>
  </sheetData>
  <autoFilter ref="A2:E2" xr:uid="{2821DE36-46D0-4434-A35E-E7CEC1AAFDB3}">
    <sortState xmlns:xlrd2="http://schemas.microsoft.com/office/spreadsheetml/2017/richdata2" ref="A3:E38">
      <sortCondition ref="A2"/>
    </sortState>
  </autoFilter>
  <mergeCells count="1">
    <mergeCell ref="A1:B1"/>
  </mergeCells>
  <conditionalFormatting sqref="D3:D38">
    <cfRule type="top10" dxfId="4" priority="4" bottom="1" rank="1"/>
  </conditionalFormatting>
  <conditionalFormatting sqref="H3:H13">
    <cfRule type="top10" dxfId="3" priority="5" bottom="1" rank="1"/>
  </conditionalFormatting>
  <conditionalFormatting sqref="H16:H26">
    <cfRule type="top10" dxfId="2" priority="3" rank="1"/>
  </conditionalFormatting>
  <conditionalFormatting sqref="H41">
    <cfRule type="top10" dxfId="1" priority="2" bottom="1" rank="1"/>
  </conditionalFormatting>
  <conditionalFormatting sqref="H42">
    <cfRule type="top10" dxfId="0" priority="1" bottom="1" rank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Modelagem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Pieper</dc:creator>
  <cp:lastModifiedBy>Rafael Pieper</cp:lastModifiedBy>
  <dcterms:created xsi:type="dcterms:W3CDTF">2024-11-04T22:18:59Z</dcterms:created>
  <dcterms:modified xsi:type="dcterms:W3CDTF">2024-12-08T00:27:05Z</dcterms:modified>
</cp:coreProperties>
</file>