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ocumentos de trabajo\Electros\Github electro\Raw Data\"/>
    </mc:Choice>
  </mc:AlternateContent>
  <xr:revisionPtr revIDLastSave="0" documentId="13_ncr:1_{BF1CF640-5D10-4E1E-A363-E124456D56F0}" xr6:coauthVersionLast="47" xr6:coauthVersionMax="47" xr10:uidLastSave="{00000000-0000-0000-0000-000000000000}"/>
  <bookViews>
    <workbookView xWindow="-28920" yWindow="-60" windowWidth="29040" windowHeight="15720" activeTab="12" xr2:uid="{00000000-000D-0000-FFFF-FFFF00000000}"/>
  </bookViews>
  <sheets>
    <sheet name="Sujetos" sheetId="1" r:id="rId1"/>
    <sheet name="S1A1" sheetId="2" r:id="rId2"/>
    <sheet name="S2A1" sheetId="3" r:id="rId3"/>
    <sheet name="S3A1" sheetId="4" r:id="rId4"/>
    <sheet name="S4A1" sheetId="5" r:id="rId5"/>
    <sheet name="S5A2" sheetId="6" r:id="rId6"/>
    <sheet name="S6A2" sheetId="7" r:id="rId7"/>
    <sheet name="S7A2" sheetId="8" r:id="rId8"/>
    <sheet name="S8A2" sheetId="9" r:id="rId9"/>
    <sheet name="S9A3" sheetId="10" r:id="rId10"/>
    <sheet name="S10A3" sheetId="11" r:id="rId11"/>
    <sheet name="S11A3" sheetId="12" r:id="rId12"/>
    <sheet name="S12A3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E3" i="12"/>
  <c r="D5" i="6"/>
  <c r="D4" i="10"/>
  <c r="E5" i="6"/>
  <c r="D5" i="7"/>
  <c r="E4" i="5"/>
  <c r="E3" i="5"/>
  <c r="D4" i="4"/>
  <c r="H5" i="13"/>
  <c r="G5" i="13"/>
  <c r="F5" i="13"/>
  <c r="E5" i="13"/>
  <c r="D5" i="13"/>
  <c r="E4" i="13"/>
  <c r="D4" i="13"/>
  <c r="H3" i="13"/>
  <c r="G3" i="13"/>
  <c r="F3" i="13"/>
  <c r="E3" i="13"/>
  <c r="D3" i="13"/>
  <c r="H2" i="13"/>
  <c r="G2" i="13"/>
  <c r="F2" i="13"/>
  <c r="E2" i="13"/>
  <c r="D2" i="13"/>
  <c r="H5" i="12"/>
  <c r="G5" i="12"/>
  <c r="F5" i="12"/>
  <c r="E5" i="12"/>
  <c r="D5" i="12"/>
  <c r="E4" i="12"/>
  <c r="D4" i="12"/>
  <c r="H3" i="12"/>
  <c r="G3" i="12"/>
  <c r="F3" i="12"/>
  <c r="D3" i="12"/>
  <c r="H2" i="12"/>
  <c r="G2" i="12"/>
  <c r="F2" i="12"/>
  <c r="E2" i="12"/>
  <c r="D2" i="12"/>
  <c r="H5" i="11"/>
  <c r="G5" i="11"/>
  <c r="F5" i="11"/>
  <c r="E5" i="11"/>
  <c r="D5" i="11"/>
  <c r="E4" i="11"/>
  <c r="D4" i="11"/>
  <c r="H3" i="11"/>
  <c r="G3" i="11"/>
  <c r="F3" i="11"/>
  <c r="E3" i="11"/>
  <c r="D3" i="11"/>
  <c r="H2" i="11"/>
  <c r="G2" i="11"/>
  <c r="F2" i="11"/>
  <c r="E2" i="11"/>
  <c r="D2" i="11"/>
  <c r="H5" i="10"/>
  <c r="G5" i="10"/>
  <c r="F5" i="10"/>
  <c r="E5" i="10"/>
  <c r="D5" i="10"/>
  <c r="E4" i="10"/>
  <c r="H3" i="10"/>
  <c r="G3" i="10"/>
  <c r="F3" i="10"/>
  <c r="E3" i="10"/>
  <c r="D3" i="10"/>
  <c r="G2" i="10"/>
  <c r="F2" i="10"/>
  <c r="E2" i="10"/>
  <c r="D2" i="10"/>
  <c r="H5" i="9"/>
  <c r="G5" i="9"/>
  <c r="F5" i="9"/>
  <c r="E5" i="9"/>
  <c r="D5" i="9"/>
  <c r="E4" i="9"/>
  <c r="D4" i="9"/>
  <c r="H3" i="9"/>
  <c r="G3" i="9"/>
  <c r="F3" i="9"/>
  <c r="E3" i="9"/>
  <c r="D3" i="9"/>
  <c r="H2" i="9"/>
  <c r="G2" i="9"/>
  <c r="F2" i="9"/>
  <c r="E2" i="9"/>
  <c r="D2" i="9"/>
  <c r="H5" i="8"/>
  <c r="G5" i="8"/>
  <c r="F5" i="8"/>
  <c r="E5" i="8"/>
  <c r="D5" i="8"/>
  <c r="E4" i="8"/>
  <c r="D4" i="8"/>
  <c r="H3" i="8"/>
  <c r="G3" i="8"/>
  <c r="F3" i="8"/>
  <c r="E3" i="8"/>
  <c r="D3" i="8"/>
  <c r="H2" i="8"/>
  <c r="G2" i="8"/>
  <c r="F2" i="8"/>
  <c r="E2" i="8"/>
  <c r="D2" i="8"/>
  <c r="I5" i="7"/>
  <c r="E5" i="7"/>
  <c r="F5" i="7" s="1"/>
  <c r="E4" i="7"/>
  <c r="D4" i="7"/>
  <c r="I3" i="7"/>
  <c r="E3" i="7"/>
  <c r="F3" i="7" s="1"/>
  <c r="D3" i="7"/>
  <c r="I2" i="7"/>
  <c r="E2" i="7"/>
  <c r="F2" i="7" s="1"/>
  <c r="D2" i="7"/>
  <c r="I5" i="6"/>
  <c r="F5" i="6"/>
  <c r="E4" i="6"/>
  <c r="I3" i="6"/>
  <c r="E3" i="6"/>
  <c r="F3" i="6" s="1"/>
  <c r="D3" i="6"/>
  <c r="I2" i="6"/>
  <c r="F2" i="6"/>
  <c r="E2" i="6"/>
  <c r="D2" i="6"/>
  <c r="I5" i="5"/>
  <c r="E5" i="5"/>
  <c r="F5" i="5" s="1"/>
  <c r="D5" i="5"/>
  <c r="D4" i="5"/>
  <c r="I3" i="5"/>
  <c r="F3" i="5"/>
  <c r="D3" i="5"/>
  <c r="I2" i="5"/>
  <c r="E2" i="5"/>
  <c r="F2" i="5" s="1"/>
  <c r="D2" i="5"/>
  <c r="I5" i="4"/>
  <c r="E5" i="4"/>
  <c r="F5" i="4" s="1"/>
  <c r="D5" i="4"/>
  <c r="E4" i="4"/>
  <c r="I3" i="4"/>
  <c r="E3" i="4"/>
  <c r="F3" i="4" s="1"/>
  <c r="D3" i="4"/>
  <c r="I2" i="4"/>
  <c r="E2" i="4"/>
  <c r="F2" i="4" s="1"/>
  <c r="D2" i="4"/>
  <c r="I5" i="3"/>
  <c r="E5" i="3"/>
  <c r="F5" i="3" s="1"/>
  <c r="D5" i="3"/>
  <c r="E4" i="3"/>
  <c r="D4" i="3"/>
  <c r="I3" i="3"/>
  <c r="E3" i="3"/>
  <c r="F3" i="3" s="1"/>
  <c r="D3" i="3"/>
  <c r="I2" i="3"/>
  <c r="E2" i="3"/>
  <c r="F2" i="3" s="1"/>
  <c r="D2" i="3"/>
  <c r="I5" i="2"/>
  <c r="E5" i="2"/>
  <c r="F5" i="2" s="1"/>
  <c r="D5" i="2"/>
  <c r="E4" i="2"/>
  <c r="D4" i="2"/>
  <c r="I3" i="2"/>
  <c r="E3" i="2"/>
  <c r="F3" i="2" s="1"/>
  <c r="D3" i="2"/>
  <c r="I2" i="2"/>
  <c r="E2" i="2"/>
  <c r="F2" i="2" s="1"/>
  <c r="D2" i="2"/>
</calcChain>
</file>

<file path=xl/sharedStrings.xml><?xml version="1.0" encoding="utf-8"?>
<sst xmlns="http://schemas.openxmlformats.org/spreadsheetml/2006/main" count="168" uniqueCount="39">
  <si>
    <t>Sujeto ID</t>
  </si>
  <si>
    <t>Nombre</t>
  </si>
  <si>
    <t>S1BeatA1</t>
  </si>
  <si>
    <t>Rodrigo Mecalco Galván</t>
  </si>
  <si>
    <t>S2BeatA1</t>
  </si>
  <si>
    <t>Angela Lucía Cravioto</t>
  </si>
  <si>
    <t>S3BeatA1</t>
  </si>
  <si>
    <t>Román Rodríguez</t>
  </si>
  <si>
    <t>S4BeatA1</t>
  </si>
  <si>
    <t>Aimeé Hernández</t>
  </si>
  <si>
    <t>S5BeatA2</t>
  </si>
  <si>
    <t xml:space="preserve">José Ángel Villareal </t>
  </si>
  <si>
    <t>S6BeatA2</t>
  </si>
  <si>
    <t>Daniella Lizbeth Valle</t>
  </si>
  <si>
    <t>S7BeatA2</t>
  </si>
  <si>
    <t>Maria José Muriel Zapata</t>
  </si>
  <si>
    <t>S8BeatA2</t>
  </si>
  <si>
    <t>Alan Obel Gómez García</t>
  </si>
  <si>
    <t>S9BeatA3</t>
  </si>
  <si>
    <t>Luis Alfonso Núñez Priego</t>
  </si>
  <si>
    <t>S10BeatA3</t>
  </si>
  <si>
    <t>Roberto Ánila Guzmán</t>
  </si>
  <si>
    <t>S11BeatA3</t>
  </si>
  <si>
    <t>Axel Adrián Flores Álvarez</t>
  </si>
  <si>
    <t>S12BeatA3</t>
  </si>
  <si>
    <t>María del Rocío López Cabrera</t>
  </si>
  <si>
    <t>ACTIVIDAD</t>
  </si>
  <si>
    <t>INICIO</t>
  </si>
  <si>
    <t>FIN</t>
  </si>
  <si>
    <t>MUESTRA INICIO</t>
  </si>
  <si>
    <t>MUESTRA FIN</t>
  </si>
  <si>
    <t>Duración del estudio</t>
  </si>
  <si>
    <t>Minuto medio del estudio</t>
  </si>
  <si>
    <t>Muestra inicio</t>
  </si>
  <si>
    <t>OC</t>
  </si>
  <si>
    <t>Inicia Audio</t>
  </si>
  <si>
    <t>OA</t>
  </si>
  <si>
    <t>[3,6,4,5]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</si>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</sst>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20" fontId="3" fillId="0" borderId="0" xfId="0" applyNumberFormat="1" applyFont="1"/>
    <xf numFmtId="0" fontId="3" fillId="0" borderId="0" xfId="0" applyFont="1"/>
    <xf numFmtId="0" fontId="4" fillId="5" borderId="0" xfId="0" applyFont="1" applyFill="1"/>
    <xf numFmtId="0" fontId="1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21" fontId="3" fillId="0" borderId="0" xfId="0" applyNumberFormat="1" applyFont="1"/>
    <xf numFmtId="0" fontId="1" fillId="6" borderId="0" xfId="0" applyFont="1" applyFill="1"/>
    <xf numFmtId="0" fontId="3" fillId="0" borderId="2" xfId="0" applyFont="1" applyBorder="1"/>
    <xf numFmtId="0" fontId="2" fillId="0" borderId="3" xfId="0" applyFont="1" applyBorder="1"/>
    <xf numFmtId="0" fontId="3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20" t="s">
        <v>1</v>
      </c>
      <c r="C1" s="18"/>
    </row>
    <row r="2" spans="1:3" x14ac:dyDescent="0.2">
      <c r="A2" s="2" t="s">
        <v>2</v>
      </c>
      <c r="B2" s="17" t="s">
        <v>3</v>
      </c>
      <c r="C2" s="18"/>
    </row>
    <row r="3" spans="1:3" x14ac:dyDescent="0.2">
      <c r="A3" s="3" t="s">
        <v>4</v>
      </c>
      <c r="B3" s="19" t="s">
        <v>5</v>
      </c>
      <c r="C3" s="18"/>
    </row>
    <row r="4" spans="1:3" x14ac:dyDescent="0.2">
      <c r="A4" s="2" t="s">
        <v>6</v>
      </c>
      <c r="B4" s="17" t="s">
        <v>7</v>
      </c>
      <c r="C4" s="18"/>
    </row>
    <row r="5" spans="1:3" x14ac:dyDescent="0.2">
      <c r="A5" s="3" t="s">
        <v>8</v>
      </c>
      <c r="B5" s="19" t="s">
        <v>9</v>
      </c>
      <c r="C5" s="18"/>
    </row>
    <row r="6" spans="1:3" x14ac:dyDescent="0.2">
      <c r="A6" s="2" t="s">
        <v>10</v>
      </c>
      <c r="B6" s="17" t="s">
        <v>11</v>
      </c>
      <c r="C6" s="18"/>
    </row>
    <row r="7" spans="1:3" x14ac:dyDescent="0.2">
      <c r="A7" s="3" t="s">
        <v>12</v>
      </c>
      <c r="B7" s="19" t="s">
        <v>13</v>
      </c>
      <c r="C7" s="18"/>
    </row>
    <row r="8" spans="1:3" x14ac:dyDescent="0.2">
      <c r="A8" s="2" t="s">
        <v>14</v>
      </c>
      <c r="B8" s="17" t="s">
        <v>15</v>
      </c>
      <c r="C8" s="18"/>
    </row>
    <row r="9" spans="1:3" x14ac:dyDescent="0.2">
      <c r="A9" s="3" t="s">
        <v>16</v>
      </c>
      <c r="B9" s="19" t="s">
        <v>17</v>
      </c>
      <c r="C9" s="18"/>
    </row>
    <row r="10" spans="1:3" x14ac:dyDescent="0.2">
      <c r="A10" s="3" t="s">
        <v>18</v>
      </c>
      <c r="B10" s="19" t="s">
        <v>19</v>
      </c>
      <c r="C10" s="18"/>
    </row>
    <row r="11" spans="1:3" x14ac:dyDescent="0.2">
      <c r="A11" s="2" t="s">
        <v>20</v>
      </c>
      <c r="B11" s="17" t="s">
        <v>21</v>
      </c>
      <c r="C11" s="18"/>
    </row>
    <row r="12" spans="1:3" x14ac:dyDescent="0.2">
      <c r="A12" s="4" t="s">
        <v>22</v>
      </c>
      <c r="B12" s="19" t="s">
        <v>23</v>
      </c>
      <c r="C12" s="18"/>
    </row>
    <row r="13" spans="1:3" x14ac:dyDescent="0.2">
      <c r="A13" s="2" t="s">
        <v>24</v>
      </c>
      <c r="B13" s="17" t="s">
        <v>25</v>
      </c>
      <c r="C13" s="18"/>
    </row>
  </sheetData>
  <mergeCells count="13">
    <mergeCell ref="B13:C13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baseColWidth="10" defaultColWidth="12.5703125" defaultRowHeight="15.75" customHeight="1" x14ac:dyDescent="0.2"/>
  <sheetData>
    <row r="1" spans="1:10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  <c r="J1" s="8"/>
    </row>
    <row r="2" spans="1:10" x14ac:dyDescent="0.2">
      <c r="A2" s="9" t="s">
        <v>34</v>
      </c>
      <c r="B2" s="10">
        <v>3.4722222222222224E-2</v>
      </c>
      <c r="C2" s="10">
        <v>0.11805555555555555</v>
      </c>
      <c r="D2" s="11">
        <f>50*256</f>
        <v>12800</v>
      </c>
      <c r="E2" s="11">
        <f>((2*60)+50)*256</f>
        <v>43520</v>
      </c>
      <c r="F2" s="11">
        <f t="shared" ref="F2:F3" si="0">(E2-D2)/256</f>
        <v>120</v>
      </c>
      <c r="G2" s="10">
        <v>5.5555555555555552E-2</v>
      </c>
      <c r="H2" s="10">
        <v>9.7222222222222224E-2</v>
      </c>
      <c r="I2" s="11">
        <f>((1*60)+20)*256</f>
        <v>20480</v>
      </c>
    </row>
    <row r="3" spans="1:10" x14ac:dyDescent="0.2">
      <c r="A3" s="9" t="s">
        <v>35</v>
      </c>
      <c r="B3" s="10">
        <v>0.12291666666666666</v>
      </c>
      <c r="C3" s="10">
        <v>0.23819444444444443</v>
      </c>
      <c r="D3" s="11">
        <f>((2*60)+57)*256</f>
        <v>45312</v>
      </c>
      <c r="E3" s="11">
        <f>((5*60)+43)*256</f>
        <v>87808</v>
      </c>
      <c r="F3" s="11">
        <f t="shared" si="0"/>
        <v>166</v>
      </c>
      <c r="G3" s="10">
        <v>0.15972222222222221</v>
      </c>
      <c r="H3" s="10">
        <v>0.2013888888888889</v>
      </c>
      <c r="I3" s="11">
        <f>((3*60)+50)*256</f>
        <v>58880</v>
      </c>
    </row>
    <row r="4" spans="1:10" x14ac:dyDescent="0.2">
      <c r="A4" s="9" t="s">
        <v>36</v>
      </c>
      <c r="B4" s="10">
        <v>0.24722222222222223</v>
      </c>
      <c r="C4" s="10">
        <v>0.28888888888888886</v>
      </c>
      <c r="D4" s="11">
        <f>((5*60)+56)*256</f>
        <v>91136</v>
      </c>
      <c r="E4" s="11">
        <f>((6*60)+56)*256</f>
        <v>106496</v>
      </c>
    </row>
    <row r="5" spans="1:10" x14ac:dyDescent="0.2">
      <c r="A5" s="9" t="s">
        <v>34</v>
      </c>
      <c r="B5" s="10">
        <v>0.28888888888888886</v>
      </c>
      <c r="C5" s="10">
        <v>0.33055555555555555</v>
      </c>
      <c r="D5" s="11">
        <f>((6*60)+56)*256</f>
        <v>106496</v>
      </c>
      <c r="E5" s="11">
        <f>((7*60)+56)*256</f>
        <v>121856</v>
      </c>
      <c r="F5" s="11">
        <f>(E5-D5)/256</f>
        <v>60</v>
      </c>
      <c r="G5" s="10">
        <v>0.28888888888888886</v>
      </c>
      <c r="H5" s="10">
        <v>0.33055555555555555</v>
      </c>
      <c r="I5" s="11">
        <f>((6*60)+56)*256</f>
        <v>106496</v>
      </c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5"/>
  <sheetViews>
    <sheetView workbookViewId="0"/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</row>
    <row r="2" spans="1:9" x14ac:dyDescent="0.2">
      <c r="A2" s="9" t="s">
        <v>34</v>
      </c>
      <c r="B2" s="10">
        <v>3.6805555555555557E-2</v>
      </c>
      <c r="C2" s="10">
        <v>0.12013888888888889</v>
      </c>
      <c r="D2" s="11">
        <f>53*256</f>
        <v>13568</v>
      </c>
      <c r="E2" s="11">
        <f>((2*60)+53)*256</f>
        <v>44288</v>
      </c>
      <c r="F2" s="11">
        <f t="shared" ref="F2:F3" si="0">(E2-D2)/256</f>
        <v>120</v>
      </c>
      <c r="G2" s="10">
        <v>5.5555555555555552E-2</v>
      </c>
      <c r="H2" s="10">
        <v>9.7222222222222224E-2</v>
      </c>
      <c r="I2" s="11">
        <f>((1*60)+20)*256</f>
        <v>20480</v>
      </c>
    </row>
    <row r="3" spans="1:9" x14ac:dyDescent="0.2">
      <c r="A3" s="9" t="s">
        <v>35</v>
      </c>
      <c r="B3" s="10">
        <v>0.13541666666666666</v>
      </c>
      <c r="C3" s="10">
        <v>0.28472222222222221</v>
      </c>
      <c r="D3" s="11">
        <f>((3*60)+15)*256</f>
        <v>49920</v>
      </c>
      <c r="E3" s="11">
        <f>((6*60)+50)*256</f>
        <v>104960</v>
      </c>
      <c r="F3" s="11">
        <f t="shared" si="0"/>
        <v>215</v>
      </c>
      <c r="G3" s="10">
        <v>0.18958333333333333</v>
      </c>
      <c r="H3" s="10">
        <v>0.23125000000000001</v>
      </c>
      <c r="I3" s="11">
        <f>((4*60)+33)*256</f>
        <v>69888</v>
      </c>
    </row>
    <row r="4" spans="1:9" x14ac:dyDescent="0.2">
      <c r="A4" s="9" t="s">
        <v>36</v>
      </c>
      <c r="B4" s="10">
        <v>0.2986111111111111</v>
      </c>
      <c r="C4" s="10">
        <v>0.34027777777777779</v>
      </c>
      <c r="D4" s="11">
        <f>((7*60)+10)*256</f>
        <v>110080</v>
      </c>
      <c r="E4" s="11">
        <f>((8*60)+10)*256</f>
        <v>125440</v>
      </c>
    </row>
    <row r="5" spans="1:9" x14ac:dyDescent="0.2">
      <c r="A5" s="9" t="s">
        <v>34</v>
      </c>
      <c r="B5" s="10">
        <v>0.34375</v>
      </c>
      <c r="C5" s="10">
        <v>0.38541666666666669</v>
      </c>
      <c r="D5" s="11">
        <f>((8*60)+15)*256</f>
        <v>126720</v>
      </c>
      <c r="E5" s="11">
        <f>((9*60)+15)*256</f>
        <v>142080</v>
      </c>
      <c r="F5" s="11">
        <f>(E5-D5)/256</f>
        <v>60</v>
      </c>
      <c r="G5" s="10">
        <v>0.34375</v>
      </c>
      <c r="H5" s="10">
        <v>0.38541666666666669</v>
      </c>
      <c r="I5" s="11">
        <f>((8*60)+15)*256</f>
        <v>126720</v>
      </c>
    </row>
  </sheetData>
  <mergeCells count="1"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</row>
    <row r="2" spans="1:9" x14ac:dyDescent="0.2">
      <c r="A2" s="9" t="s">
        <v>34</v>
      </c>
      <c r="B2" s="10">
        <v>3.7499999999999999E-2</v>
      </c>
      <c r="C2" s="10">
        <v>0.12083333333333333</v>
      </c>
      <c r="D2" s="11">
        <f>54*256</f>
        <v>13824</v>
      </c>
      <c r="E2" s="11">
        <f>((2*60)+54)*256</f>
        <v>44544</v>
      </c>
      <c r="F2" s="11">
        <f t="shared" ref="F2:F3" si="0">(E2-D2)/256</f>
        <v>120</v>
      </c>
      <c r="G2" s="10">
        <v>4.4444444444444446E-2</v>
      </c>
      <c r="H2" s="10">
        <v>8.611111111111111E-2</v>
      </c>
      <c r="I2" s="11">
        <f>((1*60)+4)*256</f>
        <v>16384</v>
      </c>
    </row>
    <row r="3" spans="1:9" x14ac:dyDescent="0.2">
      <c r="A3" s="9" t="s">
        <v>35</v>
      </c>
      <c r="B3" s="10">
        <v>0.12847222222222221</v>
      </c>
      <c r="C3" s="10">
        <v>0.24305555555555555</v>
      </c>
      <c r="D3" s="11">
        <f>((3*60)+5)*256</f>
        <v>47360</v>
      </c>
      <c r="E3" s="11">
        <f>((5*60)+50)*256</f>
        <v>89600</v>
      </c>
      <c r="F3" s="11">
        <f t="shared" si="0"/>
        <v>165</v>
      </c>
      <c r="G3" s="10">
        <v>0.14791666666666667</v>
      </c>
      <c r="H3" s="10">
        <v>0.18958333333333333</v>
      </c>
      <c r="I3" s="11">
        <f>((3*60)+33)*256</f>
        <v>54528</v>
      </c>
    </row>
    <row r="4" spans="1:9" x14ac:dyDescent="0.2">
      <c r="A4" s="9" t="s">
        <v>36</v>
      </c>
      <c r="B4" s="10">
        <v>0.25208333333333333</v>
      </c>
      <c r="C4" s="10">
        <v>0.29375000000000001</v>
      </c>
      <c r="D4" s="11">
        <f>((6*60)+3)*256</f>
        <v>92928</v>
      </c>
      <c r="E4" s="11">
        <f>((7*60)+3)*256</f>
        <v>108288</v>
      </c>
    </row>
    <row r="5" spans="1:9" x14ac:dyDescent="0.2">
      <c r="A5" s="9" t="s">
        <v>34</v>
      </c>
      <c r="B5" s="10">
        <v>0.29583333333333334</v>
      </c>
      <c r="C5" s="10">
        <v>0.33750000000000002</v>
      </c>
      <c r="D5" s="11">
        <f>((7*60)+6)*256</f>
        <v>109056</v>
      </c>
      <c r="E5" s="11">
        <f>((8*60)+6)*256</f>
        <v>124416</v>
      </c>
      <c r="F5" s="11">
        <f>(E5-D5)/256</f>
        <v>60</v>
      </c>
      <c r="G5" s="10">
        <v>0.29583333333333334</v>
      </c>
      <c r="H5" s="10">
        <v>0.33750000000000002</v>
      </c>
      <c r="I5" s="11">
        <f>((7*60)+6)*256</f>
        <v>109056</v>
      </c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</row>
    <row r="2" spans="1:9" x14ac:dyDescent="0.2">
      <c r="A2" s="9" t="s">
        <v>34</v>
      </c>
      <c r="B2" s="10">
        <v>3.4722222222222224E-2</v>
      </c>
      <c r="C2" s="10">
        <v>0.11805555555555555</v>
      </c>
      <c r="D2" s="11">
        <f>50*256</f>
        <v>12800</v>
      </c>
      <c r="E2" s="11">
        <f>((2*60)+50)*256</f>
        <v>43520</v>
      </c>
      <c r="F2" s="11">
        <f t="shared" ref="F2:F3" si="0">(E2-D2)/256</f>
        <v>120</v>
      </c>
      <c r="G2" s="10">
        <v>5.5555555555555552E-2</v>
      </c>
      <c r="H2" s="10">
        <v>9.7222222222222224E-2</v>
      </c>
      <c r="I2" s="11">
        <f>((1*60)+20)*256</f>
        <v>20480</v>
      </c>
    </row>
    <row r="3" spans="1:9" x14ac:dyDescent="0.2">
      <c r="A3" s="9" t="s">
        <v>35</v>
      </c>
      <c r="B3" s="10">
        <v>0.12638888888888888</v>
      </c>
      <c r="C3" s="10">
        <v>0.24097222222222223</v>
      </c>
      <c r="D3" s="11">
        <f>((3*60)+2)*256</f>
        <v>46592</v>
      </c>
      <c r="E3" s="11">
        <f>((5*60)+47)*256</f>
        <v>88832</v>
      </c>
      <c r="F3" s="11">
        <f t="shared" si="0"/>
        <v>165</v>
      </c>
      <c r="G3" s="10">
        <v>0.16319444444444445</v>
      </c>
      <c r="H3" s="10">
        <v>0.2048611111111111</v>
      </c>
      <c r="I3" s="11">
        <f>((3*60)+55)*256</f>
        <v>60160</v>
      </c>
    </row>
    <row r="4" spans="1:9" x14ac:dyDescent="0.2">
      <c r="A4" s="9" t="s">
        <v>36</v>
      </c>
      <c r="B4" s="10">
        <v>0.24791666666666667</v>
      </c>
      <c r="C4" s="10">
        <v>0.28958333333333336</v>
      </c>
      <c r="D4" s="11">
        <f>((5*60)+57)*256</f>
        <v>91392</v>
      </c>
      <c r="E4" s="11">
        <f>((6*60)+57)*256</f>
        <v>106752</v>
      </c>
    </row>
    <row r="5" spans="1:9" x14ac:dyDescent="0.2">
      <c r="A5" s="9" t="s">
        <v>34</v>
      </c>
      <c r="B5" s="10">
        <v>0.29375000000000001</v>
      </c>
      <c r="C5" s="10">
        <v>0.33541666666666664</v>
      </c>
      <c r="D5" s="11">
        <f>((7*60)+3)*256</f>
        <v>108288</v>
      </c>
      <c r="E5" s="11">
        <f>((8*60)+3)*256</f>
        <v>123648</v>
      </c>
      <c r="F5" s="11">
        <f>(E5-D5)/256</f>
        <v>60</v>
      </c>
      <c r="G5" s="10">
        <v>0.29375000000000001</v>
      </c>
      <c r="H5" s="10">
        <v>0.33541666666666664</v>
      </c>
      <c r="I5" s="11">
        <f>((7*60)+3)*256</f>
        <v>108288</v>
      </c>
    </row>
  </sheetData>
  <mergeCells count="1"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5"/>
  <sheetViews>
    <sheetView workbookViewId="0">
      <selection activeCell="D4" sqref="D4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</row>
    <row r="2" spans="1:9" x14ac:dyDescent="0.2">
      <c r="A2" s="9" t="s">
        <v>34</v>
      </c>
      <c r="B2" s="10">
        <v>3.4722222222222224E-2</v>
      </c>
      <c r="C2" s="10">
        <v>0.11805555555555555</v>
      </c>
      <c r="D2" s="11">
        <f>50*256</f>
        <v>12800</v>
      </c>
      <c r="E2" s="11">
        <f>((2*60)+50)*256</f>
        <v>43520</v>
      </c>
      <c r="F2" s="11">
        <f t="shared" ref="F2:F3" si="0">(E2-D2)/256</f>
        <v>120</v>
      </c>
      <c r="G2" s="10">
        <v>7.2916666666666671E-2</v>
      </c>
      <c r="H2" s="10">
        <v>0.11458333333333333</v>
      </c>
      <c r="I2" s="11">
        <f>((1*60)+45)*256</f>
        <v>26880</v>
      </c>
    </row>
    <row r="3" spans="1:9" x14ac:dyDescent="0.2">
      <c r="A3" s="9" t="s">
        <v>35</v>
      </c>
      <c r="B3" s="10">
        <v>0.12847222222222221</v>
      </c>
      <c r="C3" s="10">
        <v>0.29305555555555557</v>
      </c>
      <c r="D3" s="11">
        <f>((3*60)+5)*256</f>
        <v>47360</v>
      </c>
      <c r="E3" s="11">
        <f>((7*60)+2)*256</f>
        <v>108032</v>
      </c>
      <c r="F3" s="11">
        <f t="shared" si="0"/>
        <v>237</v>
      </c>
      <c r="G3" s="10">
        <v>0.19027777777777777</v>
      </c>
      <c r="H3" s="10">
        <v>0.23194444444444445</v>
      </c>
      <c r="I3" s="11">
        <f>((4*60)+34)*256</f>
        <v>70144</v>
      </c>
    </row>
    <row r="4" spans="1:9" x14ac:dyDescent="0.2">
      <c r="A4" s="9" t="s">
        <v>36</v>
      </c>
      <c r="B4" s="10">
        <v>0.2986111111111111</v>
      </c>
      <c r="C4" s="10">
        <v>0.34027777777777779</v>
      </c>
      <c r="D4" s="11">
        <f>((5*60)+10)*256</f>
        <v>79360</v>
      </c>
      <c r="E4" s="11">
        <f>((8*60)+10)*256</f>
        <v>125440</v>
      </c>
    </row>
    <row r="5" spans="1:9" x14ac:dyDescent="0.2">
      <c r="A5" s="9" t="s">
        <v>34</v>
      </c>
      <c r="B5" s="10">
        <v>0.34444444444444444</v>
      </c>
      <c r="C5" s="10">
        <v>0.38611111111111113</v>
      </c>
      <c r="D5" s="11">
        <f>((7*60)+16)*256</f>
        <v>111616</v>
      </c>
      <c r="E5" s="11">
        <f>((8*60)+16)*256</f>
        <v>126976</v>
      </c>
      <c r="F5" s="11">
        <f>(E5-D5)/256</f>
        <v>60</v>
      </c>
      <c r="G5" s="10">
        <v>0.34027777777777779</v>
      </c>
      <c r="H5" s="10">
        <v>0.38194444444444442</v>
      </c>
      <c r="I5" s="11">
        <f>((8*60)+10)*256</f>
        <v>125440</v>
      </c>
    </row>
  </sheetData>
  <mergeCells count="1"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5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7" t="s">
        <v>31</v>
      </c>
      <c r="G1" s="21" t="s">
        <v>32</v>
      </c>
      <c r="H1" s="22"/>
      <c r="I1" s="5" t="s">
        <v>33</v>
      </c>
    </row>
    <row r="2" spans="1:9" ht="15.75" customHeight="1" x14ac:dyDescent="0.4">
      <c r="A2" s="9" t="s">
        <v>34</v>
      </c>
      <c r="B2" s="10">
        <v>0.11319444444444444</v>
      </c>
      <c r="C2" s="10">
        <v>0.19652777777777777</v>
      </c>
      <c r="D2" s="12">
        <f>((2*60)+43)*256</f>
        <v>41728</v>
      </c>
      <c r="E2" s="11">
        <f>((4*60)+43)*256</f>
        <v>72448</v>
      </c>
      <c r="F2" s="11">
        <f t="shared" ref="F2:F3" si="0">(E2-D2)/256</f>
        <v>120</v>
      </c>
      <c r="G2" s="10">
        <v>0.13402777777777777</v>
      </c>
      <c r="H2" s="10">
        <v>0.17569444444444443</v>
      </c>
      <c r="I2" s="11">
        <f>((3*60)+13)*256</f>
        <v>49408</v>
      </c>
    </row>
    <row r="3" spans="1:9" x14ac:dyDescent="0.2">
      <c r="A3" s="9" t="s">
        <v>35</v>
      </c>
      <c r="B3" s="10">
        <v>0.2013888888888889</v>
      </c>
      <c r="C3" s="10">
        <v>0.37361111111111112</v>
      </c>
      <c r="D3" s="11">
        <f>((4*60)+50)*256</f>
        <v>74240</v>
      </c>
      <c r="E3" s="11">
        <f>((8*60)+58)*256</f>
        <v>137728</v>
      </c>
      <c r="F3" s="11">
        <f t="shared" si="0"/>
        <v>248</v>
      </c>
      <c r="G3" s="10">
        <v>0.26666666666666666</v>
      </c>
      <c r="H3" s="10">
        <v>0.30833333333333335</v>
      </c>
      <c r="I3" s="11">
        <f>((6*60)+24)*256</f>
        <v>98304</v>
      </c>
    </row>
    <row r="4" spans="1:9" x14ac:dyDescent="0.2">
      <c r="A4" s="9" t="s">
        <v>36</v>
      </c>
      <c r="B4" s="10">
        <v>0.38958333333333334</v>
      </c>
      <c r="C4" s="10">
        <v>0.43125000000000002</v>
      </c>
      <c r="D4" s="11">
        <f>((9*60)+21)*256</f>
        <v>143616</v>
      </c>
      <c r="E4" s="11">
        <f>((10*60)+21)*256</f>
        <v>158976</v>
      </c>
    </row>
    <row r="5" spans="1:9" x14ac:dyDescent="0.2">
      <c r="A5" s="9" t="s">
        <v>34</v>
      </c>
      <c r="B5" s="10">
        <v>0.43819444444444444</v>
      </c>
      <c r="C5" s="10">
        <v>0.47986111111111113</v>
      </c>
      <c r="D5" s="11">
        <f>((10*60)+31)*256</f>
        <v>161536</v>
      </c>
      <c r="E5" s="11">
        <f>((11*60)+31)*256</f>
        <v>176896</v>
      </c>
      <c r="F5" s="11">
        <f>(E5-D5)/256</f>
        <v>60</v>
      </c>
      <c r="G5" s="10">
        <v>0.43125000000000002</v>
      </c>
      <c r="H5" s="10">
        <v>0.47291666666666665</v>
      </c>
      <c r="I5" s="11">
        <f>((10*60)+21)*256</f>
        <v>158976</v>
      </c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1:I12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7" t="s">
        <v>29</v>
      </c>
      <c r="E1" s="5" t="s">
        <v>30</v>
      </c>
      <c r="F1" s="21" t="s">
        <v>32</v>
      </c>
      <c r="G1" s="22"/>
      <c r="H1" s="5" t="s">
        <v>33</v>
      </c>
    </row>
    <row r="2" spans="1:9" x14ac:dyDescent="0.2">
      <c r="A2" s="13" t="s">
        <v>34</v>
      </c>
      <c r="B2" s="14">
        <v>3.9583333333333331E-2</v>
      </c>
      <c r="C2" s="14">
        <v>0.12291666666666666</v>
      </c>
      <c r="D2" s="8">
        <f>57*256</f>
        <v>14592</v>
      </c>
      <c r="E2" s="8">
        <f>((2*60)+57)*256</f>
        <v>45312</v>
      </c>
      <c r="F2" s="14">
        <f t="shared" ref="F2:F3" si="0">((C2+B2)/2)-B$12</f>
        <v>6.041666666666666E-2</v>
      </c>
      <c r="G2" s="14">
        <f t="shared" ref="G2:G3" si="1">((C2+B2)/2)+B$12</f>
        <v>0.10208333333333332</v>
      </c>
      <c r="H2" s="8">
        <f>((1*60)+27)</f>
        <v>87</v>
      </c>
      <c r="I2" s="11" t="s">
        <v>37</v>
      </c>
    </row>
    <row r="3" spans="1:9" x14ac:dyDescent="0.2">
      <c r="A3" s="13" t="s">
        <v>35</v>
      </c>
      <c r="B3" s="14">
        <v>0.14027777777777778</v>
      </c>
      <c r="C3" s="14">
        <v>0.3125</v>
      </c>
      <c r="D3" s="8">
        <f>((3*60)+22)*256</f>
        <v>51712</v>
      </c>
      <c r="E3" s="8">
        <f>((7*60)+30)*256</f>
        <v>115200</v>
      </c>
      <c r="F3" s="14">
        <f t="shared" si="0"/>
        <v>0.20555555555555555</v>
      </c>
      <c r="G3" s="14">
        <f t="shared" si="1"/>
        <v>0.24722222222222223</v>
      </c>
      <c r="H3" s="8">
        <f>((4*60)+56)</f>
        <v>296</v>
      </c>
    </row>
    <row r="4" spans="1:9" x14ac:dyDescent="0.2">
      <c r="A4" s="13" t="s">
        <v>36</v>
      </c>
      <c r="B4" s="14">
        <v>0.31944444444444442</v>
      </c>
      <c r="C4" s="14">
        <v>0.3611111111111111</v>
      </c>
      <c r="D4" s="8">
        <f>((7*60)+40)*256</f>
        <v>117760</v>
      </c>
      <c r="E4" s="8">
        <f>((8*60)+40)*256</f>
        <v>133120</v>
      </c>
      <c r="F4" s="8" t="s">
        <v>38</v>
      </c>
      <c r="G4" s="8" t="s">
        <v>38</v>
      </c>
      <c r="H4" s="8" t="s">
        <v>38</v>
      </c>
    </row>
    <row r="5" spans="1:9" x14ac:dyDescent="0.2">
      <c r="A5" s="13" t="s">
        <v>34</v>
      </c>
      <c r="B5" s="14">
        <v>0.3659722222222222</v>
      </c>
      <c r="C5" s="14">
        <v>0.40763888888888888</v>
      </c>
      <c r="D5" s="8">
        <f>((8*60)+47)*256</f>
        <v>134912</v>
      </c>
      <c r="E5" s="8">
        <f>((9*60)+47)*256</f>
        <v>150272</v>
      </c>
      <c r="F5" s="14">
        <f>((C5+B5)/2)-B$12</f>
        <v>0.3659722222222222</v>
      </c>
      <c r="G5" s="14">
        <f>((C5+B5)/2)+B$12</f>
        <v>0.40763888888888883</v>
      </c>
      <c r="H5" s="8">
        <f>((8*60)+47)</f>
        <v>527</v>
      </c>
    </row>
    <row r="12" spans="1:9" x14ac:dyDescent="0.2">
      <c r="B12" s="15">
        <v>2.0833333333333332E-2</v>
      </c>
    </row>
  </sheetData>
  <mergeCells count="1"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1:I12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21" t="s">
        <v>32</v>
      </c>
      <c r="G1" s="22"/>
      <c r="H1" s="5" t="s">
        <v>33</v>
      </c>
    </row>
    <row r="2" spans="1:9" ht="15.75" customHeight="1" x14ac:dyDescent="0.4">
      <c r="A2" s="9" t="s">
        <v>34</v>
      </c>
      <c r="B2" s="10">
        <v>3.6111111111111108E-2</v>
      </c>
      <c r="C2" s="10">
        <v>0.11944444444444445</v>
      </c>
      <c r="D2" s="12">
        <f>(52)*256</f>
        <v>13312</v>
      </c>
      <c r="E2" s="11">
        <f>((2*60)+52)*256</f>
        <v>44032</v>
      </c>
      <c r="F2" s="10">
        <f t="shared" ref="F2:F3" si="0">((C2+B2)/2)-B$12</f>
        <v>5.694444444444445E-2</v>
      </c>
      <c r="G2" s="10">
        <f t="shared" ref="G2:G3" si="1">((C2+B2)/2)+B$12</f>
        <v>9.8611111111111108E-2</v>
      </c>
      <c r="H2" s="11">
        <f>((1*60)+22)</f>
        <v>82</v>
      </c>
    </row>
    <row r="3" spans="1:9" ht="15.75" customHeight="1" x14ac:dyDescent="0.4">
      <c r="A3" s="9" t="s">
        <v>35</v>
      </c>
      <c r="B3" s="10">
        <v>0.13819444444444445</v>
      </c>
      <c r="C3" s="10">
        <v>0.30625000000000002</v>
      </c>
      <c r="D3" s="12">
        <f>((3*60)+19)*256</f>
        <v>50944</v>
      </c>
      <c r="E3" s="11">
        <f>((7*60)+21)*256</f>
        <v>112896</v>
      </c>
      <c r="F3" s="10">
        <f t="shared" si="0"/>
        <v>0.2013888888888889</v>
      </c>
      <c r="G3" s="10">
        <f t="shared" si="1"/>
        <v>0.24305555555555558</v>
      </c>
      <c r="H3" s="11">
        <f>((4*60)+50)</f>
        <v>290</v>
      </c>
      <c r="I3" s="10"/>
    </row>
    <row r="4" spans="1:9" ht="15.75" customHeight="1" x14ac:dyDescent="0.4">
      <c r="A4" s="9" t="s">
        <v>36</v>
      </c>
      <c r="B4" s="10">
        <v>0.31180555555555556</v>
      </c>
      <c r="C4" s="10">
        <v>0.35347222222222224</v>
      </c>
      <c r="D4" s="12">
        <f>((7*60)+29)*256</f>
        <v>114944</v>
      </c>
      <c r="E4" s="11">
        <f>((8*60)+29)*256</f>
        <v>130304</v>
      </c>
      <c r="F4" s="10"/>
      <c r="G4" s="10"/>
    </row>
    <row r="5" spans="1:9" ht="15.75" customHeight="1" x14ac:dyDescent="0.4">
      <c r="A5" s="9" t="s">
        <v>34</v>
      </c>
      <c r="B5" s="10">
        <v>0.35833333333333334</v>
      </c>
      <c r="C5" s="10">
        <v>0.4</v>
      </c>
      <c r="D5" s="12">
        <f>((8*60)+36)*256</f>
        <v>132096</v>
      </c>
      <c r="E5" s="11">
        <f>((9*60)+36)*256</f>
        <v>147456</v>
      </c>
      <c r="F5" s="10">
        <f>((C5+B5)/2)-B$12</f>
        <v>0.35833333333333334</v>
      </c>
      <c r="G5" s="10">
        <f>((C5+B5)/2)+B$12</f>
        <v>0.39999999999999997</v>
      </c>
      <c r="H5" s="11">
        <f>((8*60)+36)</f>
        <v>516</v>
      </c>
      <c r="I5" s="10"/>
    </row>
    <row r="12" spans="1:9" x14ac:dyDescent="0.2">
      <c r="B12" s="10">
        <v>2.0833333333333332E-2</v>
      </c>
    </row>
  </sheetData>
  <mergeCells count="1"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outlinePr summaryBelow="0" summaryRight="0"/>
  </sheetPr>
  <dimension ref="A1:I12"/>
  <sheetViews>
    <sheetView workbookViewId="0">
      <selection activeCell="H35" sqref="H35:H36"/>
    </sheetView>
  </sheetViews>
  <sheetFormatPr baseColWidth="10" defaultColWidth="12.5703125" defaultRowHeight="15.75" customHeight="1" x14ac:dyDescent="0.2"/>
  <sheetData>
    <row r="1" spans="1:9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21" t="s">
        <v>32</v>
      </c>
      <c r="G1" s="22"/>
      <c r="H1" s="5" t="s">
        <v>33</v>
      </c>
    </row>
    <row r="2" spans="1:9" ht="15.75" customHeight="1" x14ac:dyDescent="0.4">
      <c r="A2" s="9" t="s">
        <v>34</v>
      </c>
      <c r="B2" s="10">
        <v>3.3333333333333333E-2</v>
      </c>
      <c r="C2" s="10">
        <v>0.11666666666666667</v>
      </c>
      <c r="D2" s="12">
        <f>(48)*256</f>
        <v>12288</v>
      </c>
      <c r="E2" s="11">
        <f>((2*60)+48)*256</f>
        <v>43008</v>
      </c>
      <c r="F2" s="10">
        <f t="shared" ref="F2:F3" si="0">((C2+B2)/2)-B$12</f>
        <v>5.4166666666666669E-2</v>
      </c>
      <c r="G2" s="10">
        <f t="shared" ref="G2:G3" si="1">((C2+B2)/2)+B$12</f>
        <v>9.5833333333333326E-2</v>
      </c>
      <c r="H2" s="11">
        <v>78</v>
      </c>
    </row>
    <row r="3" spans="1:9" ht="15.75" customHeight="1" x14ac:dyDescent="0.4">
      <c r="A3" s="9" t="s">
        <v>35</v>
      </c>
      <c r="B3" s="10">
        <v>0.13055555555555556</v>
      </c>
      <c r="C3" s="10">
        <v>0.39791666666666664</v>
      </c>
      <c r="D3" s="12">
        <f>((3*60)+8)*256</f>
        <v>48128</v>
      </c>
      <c r="E3" s="11">
        <f>((9*60)+33)*256</f>
        <v>146688</v>
      </c>
      <c r="F3" s="10">
        <f t="shared" si="0"/>
        <v>0.24340277777777777</v>
      </c>
      <c r="G3" s="10">
        <f t="shared" si="1"/>
        <v>0.28506944444444443</v>
      </c>
      <c r="H3" s="11">
        <f>((5*60)+50)</f>
        <v>350</v>
      </c>
    </row>
    <row r="4" spans="1:9" ht="15.75" customHeight="1" x14ac:dyDescent="0.4">
      <c r="A4" s="9" t="s">
        <v>36</v>
      </c>
      <c r="B4" s="10">
        <v>0.40763888888888888</v>
      </c>
      <c r="C4" s="10">
        <v>0.44930555555555557</v>
      </c>
      <c r="D4" s="12">
        <f>((9*60)+47)*256</f>
        <v>150272</v>
      </c>
      <c r="E4" s="11">
        <f>((10*60)+47)*256</f>
        <v>165632</v>
      </c>
      <c r="F4" s="10"/>
      <c r="G4" s="10"/>
    </row>
    <row r="5" spans="1:9" ht="15.75" customHeight="1" x14ac:dyDescent="0.4">
      <c r="A5" s="9" t="s">
        <v>34</v>
      </c>
      <c r="B5" s="10">
        <v>0.45347222222222222</v>
      </c>
      <c r="C5" s="10">
        <v>0.49513888888888891</v>
      </c>
      <c r="D5" s="12">
        <f>((10*60)+53)*256</f>
        <v>167168</v>
      </c>
      <c r="E5" s="11">
        <f>((11*60)+53)*256</f>
        <v>182528</v>
      </c>
      <c r="F5" s="10">
        <f>((C5+B5)/2)-B$12</f>
        <v>0.45347222222222222</v>
      </c>
      <c r="G5" s="10">
        <f>((C5+B5)/2)+B$12</f>
        <v>0.49513888888888885</v>
      </c>
      <c r="H5" s="11">
        <f>((10*60)+53)</f>
        <v>653</v>
      </c>
      <c r="I5" s="16">
        <v>91904</v>
      </c>
    </row>
    <row r="12" spans="1:9" x14ac:dyDescent="0.2">
      <c r="B12" s="10">
        <v>2.0833333333333332E-2</v>
      </c>
    </row>
  </sheetData>
  <mergeCells count="1"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2"/>
  <sheetViews>
    <sheetView workbookViewId="0">
      <selection activeCell="D4" sqref="D4"/>
    </sheetView>
  </sheetViews>
  <sheetFormatPr baseColWidth="10" defaultColWidth="12.5703125" defaultRowHeight="15.75" customHeight="1" x14ac:dyDescent="0.2"/>
  <sheetData>
    <row r="1" spans="1:8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21" t="s">
        <v>32</v>
      </c>
      <c r="G1" s="22"/>
      <c r="H1" s="5" t="s">
        <v>33</v>
      </c>
    </row>
    <row r="2" spans="1:8" ht="15.75" customHeight="1" x14ac:dyDescent="0.4">
      <c r="A2" s="9" t="s">
        <v>34</v>
      </c>
      <c r="B2" s="10">
        <v>0.15763888888888888</v>
      </c>
      <c r="C2" s="10">
        <v>0.24097222222222223</v>
      </c>
      <c r="D2" s="12">
        <f>((3*60)+47)*256</f>
        <v>58112</v>
      </c>
      <c r="E2" s="11">
        <f>((5*60)+47)*256</f>
        <v>88832</v>
      </c>
      <c r="F2" s="10">
        <f t="shared" ref="F2:F3" si="0">((C2+B2)/2)-B$12</f>
        <v>0.17847222222222223</v>
      </c>
      <c r="G2" s="10">
        <f t="shared" ref="G2:G3" si="1">((C2+B2)/2)+B$12</f>
        <v>0.22013888888888891</v>
      </c>
      <c r="H2" s="11">
        <f>((4*60)+17)*128</f>
        <v>32896</v>
      </c>
    </row>
    <row r="3" spans="1:8" ht="15.75" customHeight="1" x14ac:dyDescent="0.4">
      <c r="A3" s="9" t="s">
        <v>35</v>
      </c>
      <c r="B3" s="10">
        <v>0.25486111111111109</v>
      </c>
      <c r="C3" s="10">
        <v>0.4777777777777778</v>
      </c>
      <c r="D3" s="12">
        <f>((6*60)+7)*256</f>
        <v>93952</v>
      </c>
      <c r="E3" s="11">
        <f>((11*60)+28)*256</f>
        <v>176128</v>
      </c>
      <c r="F3" s="10">
        <f t="shared" si="0"/>
        <v>0.3454861111111111</v>
      </c>
      <c r="G3" s="10">
        <f t="shared" si="1"/>
        <v>0.38715277777777773</v>
      </c>
      <c r="H3" s="11">
        <f>((8*60)+17)*128</f>
        <v>63616</v>
      </c>
    </row>
    <row r="4" spans="1:8" ht="15.75" customHeight="1" x14ac:dyDescent="0.4">
      <c r="A4" s="9" t="s">
        <v>36</v>
      </c>
      <c r="B4" s="10">
        <v>0.52430555555555558</v>
      </c>
      <c r="C4" s="10">
        <v>0.56597222222222221</v>
      </c>
      <c r="D4" s="12">
        <f>((12*60)+35)*256</f>
        <v>193280</v>
      </c>
      <c r="E4" s="11">
        <f>((13*60)+35)*256</f>
        <v>208640</v>
      </c>
      <c r="F4" s="10"/>
      <c r="G4" s="10"/>
    </row>
    <row r="5" spans="1:8" ht="15.75" customHeight="1" x14ac:dyDescent="0.4">
      <c r="A5" s="9" t="s">
        <v>34</v>
      </c>
      <c r="B5" s="10">
        <v>0.57152777777777775</v>
      </c>
      <c r="C5" s="10">
        <v>0.61319444444444449</v>
      </c>
      <c r="D5" s="12">
        <f>((13*60)+43)*256</f>
        <v>210688</v>
      </c>
      <c r="E5" s="11">
        <f>((14*60)+43)*256</f>
        <v>226048</v>
      </c>
      <c r="F5" s="10">
        <f>((C5+B5)/2)-B$12</f>
        <v>0.57152777777777775</v>
      </c>
      <c r="G5" s="10">
        <f>((C5+B5)/2)+B$12</f>
        <v>0.61319444444444449</v>
      </c>
      <c r="H5" s="11">
        <f>((13*60)+43)*128</f>
        <v>105344</v>
      </c>
    </row>
    <row r="12" spans="1:8" x14ac:dyDescent="0.2">
      <c r="B12" s="10">
        <v>2.0833333333333332E-2</v>
      </c>
    </row>
  </sheetData>
  <mergeCells count="1"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2"/>
  <sheetViews>
    <sheetView workbookViewId="0">
      <selection activeCell="E5" sqref="E5"/>
    </sheetView>
  </sheetViews>
  <sheetFormatPr baseColWidth="10" defaultColWidth="12.5703125" defaultRowHeight="15.75" customHeight="1" x14ac:dyDescent="0.2"/>
  <sheetData>
    <row r="1" spans="1:8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21" t="s">
        <v>32</v>
      </c>
      <c r="G1" s="22"/>
      <c r="H1" s="5" t="s">
        <v>33</v>
      </c>
    </row>
    <row r="2" spans="1:8" x14ac:dyDescent="0.2">
      <c r="A2" s="9" t="s">
        <v>34</v>
      </c>
      <c r="B2" s="10">
        <v>3.5416666666666666E-2</v>
      </c>
      <c r="C2" s="10">
        <v>0.11874999999999999</v>
      </c>
      <c r="D2" s="11">
        <f>51*256</f>
        <v>13056</v>
      </c>
      <c r="E2" s="11">
        <f>((2*60)+51)*256</f>
        <v>43776</v>
      </c>
      <c r="F2" s="10">
        <f t="shared" ref="F2:F3" si="0">((C2+B2)/2)-B$12</f>
        <v>5.6250000000000008E-2</v>
      </c>
      <c r="G2" s="10">
        <f t="shared" ref="G2:G3" si="1">((C2+B2)/2)+B$12</f>
        <v>9.7916666666666666E-2</v>
      </c>
      <c r="H2" s="11">
        <f>((1*60)+21)*256</f>
        <v>20736</v>
      </c>
    </row>
    <row r="3" spans="1:8" x14ac:dyDescent="0.2">
      <c r="A3" s="9" t="s">
        <v>35</v>
      </c>
      <c r="B3" s="10">
        <v>0.125</v>
      </c>
      <c r="C3" s="10">
        <v>0.38958333333333334</v>
      </c>
      <c r="D3" s="11">
        <f>((3*60)+2)*256</f>
        <v>46592</v>
      </c>
      <c r="E3" s="11">
        <f>((9*60)+21)*256</f>
        <v>143616</v>
      </c>
      <c r="F3" s="10">
        <f t="shared" si="0"/>
        <v>0.23645833333333335</v>
      </c>
      <c r="G3" s="10">
        <f t="shared" si="1"/>
        <v>0.27812500000000001</v>
      </c>
      <c r="H3" s="11">
        <f>((5*60)+40)*256</f>
        <v>87040</v>
      </c>
    </row>
    <row r="4" spans="1:8" x14ac:dyDescent="0.2">
      <c r="A4" s="9" t="s">
        <v>36</v>
      </c>
      <c r="B4" s="10">
        <v>0.39583333333333331</v>
      </c>
      <c r="C4" s="10">
        <v>0.4375</v>
      </c>
      <c r="D4" s="11">
        <f>((9*60)+30)*256</f>
        <v>145920</v>
      </c>
      <c r="E4" s="11">
        <f>((10*60)+30)*256</f>
        <v>161280</v>
      </c>
      <c r="F4" s="10"/>
      <c r="G4" s="10"/>
    </row>
    <row r="5" spans="1:8" x14ac:dyDescent="0.2">
      <c r="A5" s="9" t="s">
        <v>34</v>
      </c>
      <c r="B5" s="10">
        <v>0.44027777777777777</v>
      </c>
      <c r="C5" s="10">
        <v>0.48194444444444445</v>
      </c>
      <c r="D5" s="11">
        <f>((10*60)+34)*256</f>
        <v>162304</v>
      </c>
      <c r="E5" s="11">
        <f>((11*60)+34)*256</f>
        <v>177664</v>
      </c>
      <c r="F5" s="10">
        <f>((C5+B5)/2)-B$12</f>
        <v>0.44027777777777782</v>
      </c>
      <c r="G5" s="10">
        <f>((C5+B5)/2)+B$12</f>
        <v>0.48194444444444445</v>
      </c>
      <c r="H5" s="11">
        <f>((10*60)+34)*256</f>
        <v>162304</v>
      </c>
    </row>
    <row r="12" spans="1:8" x14ac:dyDescent="0.2">
      <c r="B12" s="10">
        <v>2.0833333333333332E-2</v>
      </c>
    </row>
  </sheetData>
  <mergeCells count="1"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2"/>
  <sheetViews>
    <sheetView tabSelected="1" workbookViewId="0">
      <selection activeCell="D5" sqref="D5"/>
    </sheetView>
  </sheetViews>
  <sheetFormatPr baseColWidth="10" defaultColWidth="12.5703125" defaultRowHeight="15.75" customHeight="1" x14ac:dyDescent="0.2"/>
  <sheetData>
    <row r="1" spans="1:8" x14ac:dyDescent="0.2">
      <c r="A1" s="5" t="s">
        <v>26</v>
      </c>
      <c r="B1" s="5" t="s">
        <v>27</v>
      </c>
      <c r="C1" s="5" t="s">
        <v>28</v>
      </c>
      <c r="D1" s="6" t="s">
        <v>29</v>
      </c>
      <c r="E1" s="5" t="s">
        <v>30</v>
      </c>
      <c r="F1" s="21" t="s">
        <v>32</v>
      </c>
      <c r="G1" s="22"/>
      <c r="H1" s="5" t="s">
        <v>33</v>
      </c>
    </row>
    <row r="2" spans="1:8" x14ac:dyDescent="0.2">
      <c r="A2" s="9" t="s">
        <v>34</v>
      </c>
      <c r="B2" s="10">
        <v>3.4722222222222224E-2</v>
      </c>
      <c r="C2" s="10">
        <v>0.11805555555555555</v>
      </c>
      <c r="D2" s="11">
        <f>50*256</f>
        <v>12800</v>
      </c>
      <c r="E2" s="11">
        <f>((2*60)+50)*256</f>
        <v>43520</v>
      </c>
      <c r="F2" s="10">
        <f t="shared" ref="F2:F3" si="0">((C2+B2)/2)-B$12</f>
        <v>5.5555555555555566E-2</v>
      </c>
      <c r="G2" s="10">
        <f t="shared" ref="G2:G3" si="1">((C2+B2)/2)+B$12</f>
        <v>9.7222222222222224E-2</v>
      </c>
      <c r="H2" s="11">
        <f>((1*60)+20)*256</f>
        <v>20480</v>
      </c>
    </row>
    <row r="3" spans="1:8" x14ac:dyDescent="0.2">
      <c r="A3" s="9" t="s">
        <v>35</v>
      </c>
      <c r="B3" s="10">
        <v>0.125</v>
      </c>
      <c r="C3" s="10">
        <v>0.38750000000000001</v>
      </c>
      <c r="D3" s="11">
        <f>((3*60)+2)*256</f>
        <v>46592</v>
      </c>
      <c r="E3" s="11">
        <f>((9*60)+18)*256</f>
        <v>142848</v>
      </c>
      <c r="F3" s="10">
        <f t="shared" si="0"/>
        <v>0.23541666666666664</v>
      </c>
      <c r="G3" s="10">
        <f t="shared" si="1"/>
        <v>0.27708333333333329</v>
      </c>
      <c r="H3" s="11">
        <f>((5*60)+39)*256</f>
        <v>86784</v>
      </c>
    </row>
    <row r="4" spans="1:8" x14ac:dyDescent="0.2">
      <c r="A4" s="9" t="s">
        <v>36</v>
      </c>
      <c r="B4" s="10">
        <v>0.39444444444444443</v>
      </c>
      <c r="C4" s="10">
        <v>0.43611111111111112</v>
      </c>
      <c r="D4" s="11">
        <f>((9*60)+28)*256</f>
        <v>145408</v>
      </c>
      <c r="E4" s="11">
        <f>((10*60)+28)*256</f>
        <v>160768</v>
      </c>
      <c r="F4" s="10"/>
      <c r="G4" s="10"/>
    </row>
    <row r="5" spans="1:8" x14ac:dyDescent="0.2">
      <c r="A5" s="9" t="s">
        <v>34</v>
      </c>
      <c r="B5" s="10">
        <v>0.44027777777777777</v>
      </c>
      <c r="C5" s="10">
        <v>0.48194444444444445</v>
      </c>
      <c r="D5" s="11">
        <f>((10*60)+34)*256</f>
        <v>162304</v>
      </c>
      <c r="E5" s="11">
        <f>((11*60)+34)*256</f>
        <v>177664</v>
      </c>
      <c r="F5" s="10">
        <f>((C5+B5)/2)-B$12</f>
        <v>0.44027777777777782</v>
      </c>
      <c r="G5" s="10">
        <f>((C5+B5)/2)+B$12</f>
        <v>0.48194444444444445</v>
      </c>
      <c r="H5" s="11">
        <f>((10*60)+34)*256</f>
        <v>162304</v>
      </c>
    </row>
    <row r="12" spans="1:8" x14ac:dyDescent="0.2">
      <c r="B12" s="10">
        <v>2.0833333333333332E-2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Sujetos</vt:lpstr>
      <vt:lpstr>S1A1</vt:lpstr>
      <vt:lpstr>S2A1</vt:lpstr>
      <vt:lpstr>S3A1</vt:lpstr>
      <vt:lpstr>S4A1</vt:lpstr>
      <vt:lpstr>S5A2</vt:lpstr>
      <vt:lpstr>S6A2</vt:lpstr>
      <vt:lpstr>S7A2</vt:lpstr>
      <vt:lpstr>S8A2</vt:lpstr>
      <vt:lpstr>S9A3</vt:lpstr>
      <vt:lpstr>S10A3</vt:lpstr>
      <vt:lpstr>S11A3</vt:lpstr>
      <vt:lpstr>S12A3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SANCHEZ CEDILLO</cp:lastModifiedBy>
  <dcterms:modified xsi:type="dcterms:W3CDTF">2024-01-16T23:21:10Z</dcterms:modified>
</cp:coreProperties>
</file>