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os" sheetId="1" r:id="rId4"/>
    <sheet state="visible" name="S1A1" sheetId="2" r:id="rId5"/>
    <sheet state="visible" name="S2A1" sheetId="3" r:id="rId6"/>
    <sheet state="visible" name="S3A1" sheetId="4" r:id="rId7"/>
    <sheet state="visible" name="S4A1" sheetId="5" r:id="rId8"/>
    <sheet state="visible" name="S5A2" sheetId="6" r:id="rId9"/>
    <sheet state="visible" name="S6A2" sheetId="7" r:id="rId10"/>
    <sheet state="visible" name="S7A2" sheetId="8" r:id="rId11"/>
    <sheet state="visible" name="S8A2" sheetId="9" r:id="rId12"/>
    <sheet state="visible" name="S9A3" sheetId="10" r:id="rId13"/>
    <sheet state="visible" name="S10A3" sheetId="11" r:id="rId14"/>
    <sheet state="visible" name="S11A3" sheetId="12" r:id="rId15"/>
    <sheet state="visible" name="S12A3" sheetId="13" r:id="rId16"/>
  </sheets>
  <definedNames/>
  <calcPr/>
</workbook>
</file>

<file path=xl/sharedStrings.xml><?xml version="1.0" encoding="utf-8"?>
<sst xmlns="http://schemas.openxmlformats.org/spreadsheetml/2006/main" count="168" uniqueCount="39">
  <si>
    <t>Sujeto ID</t>
  </si>
  <si>
    <t>Nombre</t>
  </si>
  <si>
    <t>S1BeatA1</t>
  </si>
  <si>
    <t>Rodrigo Mecalco Galván</t>
  </si>
  <si>
    <t>S2BeatA1</t>
  </si>
  <si>
    <t>Angela Lucía Cravioto</t>
  </si>
  <si>
    <t>S3BeatA1</t>
  </si>
  <si>
    <t>Román Rodríguez</t>
  </si>
  <si>
    <t>S4BeatA1</t>
  </si>
  <si>
    <t>Aimeé Hernández</t>
  </si>
  <si>
    <t>S5BeatA2</t>
  </si>
  <si>
    <t xml:space="preserve">José Ángel Villareal </t>
  </si>
  <si>
    <t>S6BeatA2</t>
  </si>
  <si>
    <t>Daniella Lizbeth Valle</t>
  </si>
  <si>
    <t>S7BeatA2</t>
  </si>
  <si>
    <t>Maria José Muriel Zapata</t>
  </si>
  <si>
    <t>S8BeatA2</t>
  </si>
  <si>
    <t>Alan Obel Gómez García</t>
  </si>
  <si>
    <t>S9BeatA3</t>
  </si>
  <si>
    <t>Luis Alfonso Núñez Priego</t>
  </si>
  <si>
    <t>S10BeatA3</t>
  </si>
  <si>
    <t>Roberto Ánila Guzmán</t>
  </si>
  <si>
    <t>S11BeatA3</t>
  </si>
  <si>
    <t>Axel Adrián Flores Álvarez</t>
  </si>
  <si>
    <t>S12BeatA3</t>
  </si>
  <si>
    <t>María del Rocío López Cabrera</t>
  </si>
  <si>
    <t>ACTIVIDAD</t>
  </si>
  <si>
    <t>INICIO</t>
  </si>
  <si>
    <t>FIN</t>
  </si>
  <si>
    <t>MUESTRA INICIO</t>
  </si>
  <si>
    <t>MUESTRA FIN</t>
  </si>
  <si>
    <t>Duración del estudio</t>
  </si>
  <si>
    <t>Minuto medio del estudio</t>
  </si>
  <si>
    <t>Muestra inicio</t>
  </si>
  <si>
    <t>OC</t>
  </si>
  <si>
    <t>Inicia Audio</t>
  </si>
  <si>
    <t>OA</t>
  </si>
  <si>
    <t>[3,6,4,5]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</si>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</sst>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3" numFmtId="0" xfId="0" applyFont="1"/>
    <xf borderId="0" fillId="5" fontId="4" numFmtId="0" xfId="0" applyFill="1" applyFont="1"/>
    <xf borderId="0" fillId="4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3" numFmtId="2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21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</row>
    <row r="2">
      <c r="A2" s="4" t="s">
        <v>2</v>
      </c>
      <c r="B2" s="5" t="s">
        <v>3</v>
      </c>
      <c r="C2" s="3"/>
    </row>
    <row r="3">
      <c r="A3" s="6" t="s">
        <v>4</v>
      </c>
      <c r="B3" s="7" t="s">
        <v>5</v>
      </c>
      <c r="C3" s="3"/>
    </row>
    <row r="4">
      <c r="A4" s="4" t="s">
        <v>6</v>
      </c>
      <c r="B4" s="5" t="s">
        <v>7</v>
      </c>
      <c r="C4" s="3"/>
    </row>
    <row r="5">
      <c r="A5" s="6" t="s">
        <v>8</v>
      </c>
      <c r="B5" s="7" t="s">
        <v>9</v>
      </c>
      <c r="C5" s="3"/>
    </row>
    <row r="6">
      <c r="A6" s="4" t="s">
        <v>10</v>
      </c>
      <c r="B6" s="5" t="s">
        <v>11</v>
      </c>
      <c r="C6" s="3"/>
    </row>
    <row r="7">
      <c r="A7" s="6" t="s">
        <v>12</v>
      </c>
      <c r="B7" s="7" t="s">
        <v>13</v>
      </c>
      <c r="C7" s="3"/>
    </row>
    <row r="8">
      <c r="A8" s="4" t="s">
        <v>14</v>
      </c>
      <c r="B8" s="5" t="s">
        <v>15</v>
      </c>
      <c r="C8" s="3"/>
    </row>
    <row r="9">
      <c r="A9" s="6" t="s">
        <v>16</v>
      </c>
      <c r="B9" s="7" t="s">
        <v>17</v>
      </c>
      <c r="C9" s="3"/>
    </row>
    <row r="10">
      <c r="A10" s="6" t="s">
        <v>18</v>
      </c>
      <c r="B10" s="7" t="s">
        <v>19</v>
      </c>
      <c r="C10" s="3"/>
    </row>
    <row r="11">
      <c r="A11" s="4" t="s">
        <v>20</v>
      </c>
      <c r="B11" s="5" t="s">
        <v>21</v>
      </c>
      <c r="C11" s="3"/>
    </row>
    <row r="12">
      <c r="A12" s="8" t="s">
        <v>22</v>
      </c>
      <c r="B12" s="7" t="s">
        <v>23</v>
      </c>
      <c r="C12" s="3"/>
    </row>
    <row r="13">
      <c r="A13" s="4" t="s">
        <v>24</v>
      </c>
      <c r="B13" s="5" t="s">
        <v>25</v>
      </c>
      <c r="C13" s="3"/>
    </row>
  </sheetData>
  <mergeCells count="13">
    <mergeCell ref="B8:C8"/>
    <mergeCell ref="B9:C9"/>
    <mergeCell ref="B10:C10"/>
    <mergeCell ref="B11:C11"/>
    <mergeCell ref="B12:C12"/>
    <mergeCell ref="B13:C13"/>
    <mergeCell ref="B1:C1"/>
    <mergeCell ref="B2:C2"/>
    <mergeCell ref="B3:C3"/>
    <mergeCell ref="B4:C4"/>
    <mergeCell ref="B5:C5"/>
    <mergeCell ref="B6:C6"/>
    <mergeCell ref="B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9" t="s">
        <v>32</v>
      </c>
      <c r="H1" s="9" t="s">
        <v>33</v>
      </c>
    </row>
    <row r="2">
      <c r="A2" s="13" t="s">
        <v>34</v>
      </c>
      <c r="B2" s="14">
        <v>0.03333333333333333</v>
      </c>
      <c r="C2" s="14">
        <v>0.11666666666666667</v>
      </c>
      <c r="D2" s="16">
        <f>(48)*256</f>
        <v>12288</v>
      </c>
      <c r="E2" s="15">
        <f>((2*60)+48)*256</f>
        <v>43008</v>
      </c>
      <c r="F2" s="14">
        <f t="shared" ref="F2:F3" si="1">((C2+B2)/2)-B$12</f>
        <v>0.05416666667</v>
      </c>
      <c r="G2" s="14">
        <f t="shared" ref="G2:G3" si="2">((C2+B2)/2)+B$12</f>
        <v>0.09583333333</v>
      </c>
      <c r="H2" s="21">
        <v>78.0</v>
      </c>
    </row>
    <row r="3">
      <c r="A3" s="13" t="s">
        <v>35</v>
      </c>
      <c r="B3" s="14">
        <v>0.13055555555555556</v>
      </c>
      <c r="C3" s="14">
        <v>0.39791666666666664</v>
      </c>
      <c r="D3" s="16">
        <f>((3*60)+8)*256</f>
        <v>48128</v>
      </c>
      <c r="E3" s="15">
        <f>((9*60)+33)*256</f>
        <v>146688</v>
      </c>
      <c r="F3" s="14">
        <f t="shared" si="1"/>
        <v>0.2434027778</v>
      </c>
      <c r="G3" s="14">
        <f t="shared" si="2"/>
        <v>0.2850694444</v>
      </c>
      <c r="H3" s="15">
        <f>((5*60)+50)</f>
        <v>350</v>
      </c>
    </row>
    <row r="4">
      <c r="A4" s="13" t="s">
        <v>36</v>
      </c>
      <c r="B4" s="14">
        <v>0.4076388888888889</v>
      </c>
      <c r="C4" s="14">
        <v>0.44930555555555557</v>
      </c>
      <c r="D4" s="16">
        <f>((9*60)+47)*256</f>
        <v>150272</v>
      </c>
      <c r="E4" s="15">
        <f>((10*60)+47)*256</f>
        <v>165632</v>
      </c>
      <c r="F4" s="14"/>
      <c r="G4" s="14"/>
    </row>
    <row r="5">
      <c r="A5" s="13" t="s">
        <v>34</v>
      </c>
      <c r="B5" s="14">
        <v>0.4534722222222222</v>
      </c>
      <c r="C5" s="14">
        <v>0.4951388888888889</v>
      </c>
      <c r="D5" s="16">
        <f>((10*60)+53)*256</f>
        <v>167168</v>
      </c>
      <c r="E5" s="15">
        <f>((11*60)+53)*256</f>
        <v>182528</v>
      </c>
      <c r="F5" s="14">
        <f>((C5+B5)/2)-B$12</f>
        <v>0.4534722222</v>
      </c>
      <c r="G5" s="14">
        <f>((C5+B5)/2)+B$12</f>
        <v>0.4951388889</v>
      </c>
      <c r="H5" s="15">
        <f>((10*60)+53)</f>
        <v>653</v>
      </c>
      <c r="I5" s="23">
        <v>91904.0</v>
      </c>
    </row>
    <row r="12">
      <c r="B12" s="14">
        <v>0.020833333333333332</v>
      </c>
    </row>
  </sheetData>
  <mergeCells count="1">
    <mergeCell ref="F1: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9" t="s">
        <v>32</v>
      </c>
      <c r="H1" s="9" t="s">
        <v>33</v>
      </c>
    </row>
    <row r="2">
      <c r="A2" s="13" t="s">
        <v>34</v>
      </c>
      <c r="B2" s="14">
        <v>0.15763888888888888</v>
      </c>
      <c r="C2" s="14">
        <v>0.24097222222222223</v>
      </c>
      <c r="D2" s="24">
        <f>((3*60)+47)*256</f>
        <v>58112</v>
      </c>
      <c r="E2" s="15">
        <f>((5*60)+47)*256</f>
        <v>88832</v>
      </c>
      <c r="F2" s="14">
        <f t="shared" ref="F2:F3" si="1">((C2+B2)/2)-B$12</f>
        <v>0.1784722222</v>
      </c>
      <c r="G2" s="14">
        <f t="shared" ref="G2:G3" si="2">((C2+B2)/2)+B$12</f>
        <v>0.2201388889</v>
      </c>
      <c r="H2" s="15">
        <f>((4*60)+17)*128</f>
        <v>32896</v>
      </c>
    </row>
    <row r="3">
      <c r="A3" s="13" t="s">
        <v>35</v>
      </c>
      <c r="B3" s="14">
        <v>0.2548611111111111</v>
      </c>
      <c r="C3" s="14">
        <v>0.4777777777777778</v>
      </c>
      <c r="D3" s="16">
        <f>((6*60)+7)*256</f>
        <v>93952</v>
      </c>
      <c r="E3" s="15">
        <f>((11*60)+28)*256</f>
        <v>176128</v>
      </c>
      <c r="F3" s="14">
        <f t="shared" si="1"/>
        <v>0.3454861111</v>
      </c>
      <c r="G3" s="14">
        <f t="shared" si="2"/>
        <v>0.3871527778</v>
      </c>
      <c r="H3" s="15">
        <f>((8*60)+17)*128</f>
        <v>63616</v>
      </c>
    </row>
    <row r="4">
      <c r="A4" s="13" t="s">
        <v>36</v>
      </c>
      <c r="B4" s="14">
        <v>0.5243055555555556</v>
      </c>
      <c r="C4" s="14">
        <v>0.5659722222222222</v>
      </c>
      <c r="D4" s="16">
        <f>((12*60)+35)*256</f>
        <v>193280</v>
      </c>
      <c r="E4" s="15">
        <f>((13*60)+35)*256</f>
        <v>208640</v>
      </c>
      <c r="F4" s="14"/>
      <c r="G4" s="14"/>
    </row>
    <row r="5">
      <c r="A5" s="13" t="s">
        <v>34</v>
      </c>
      <c r="B5" s="14">
        <v>0.5715277777777777</v>
      </c>
      <c r="C5" s="14">
        <v>0.6131944444444445</v>
      </c>
      <c r="D5" s="16">
        <f>((13*60)+43)*256</f>
        <v>210688</v>
      </c>
      <c r="E5" s="15">
        <f>((14*60)+43)*256</f>
        <v>226048</v>
      </c>
      <c r="F5" s="14">
        <f>((C5+B5)/2)-B$12</f>
        <v>0.5715277778</v>
      </c>
      <c r="G5" s="14">
        <f>((C5+B5)/2)+B$12</f>
        <v>0.6131944444</v>
      </c>
      <c r="H5" s="15">
        <f>((13*60)+43)*128</f>
        <v>105344</v>
      </c>
    </row>
    <row r="12">
      <c r="B12" s="14">
        <v>0.020833333333333332</v>
      </c>
    </row>
  </sheetData>
  <mergeCells count="1">
    <mergeCell ref="F1:G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9" t="s">
        <v>32</v>
      </c>
      <c r="H1" s="9" t="s">
        <v>33</v>
      </c>
    </row>
    <row r="2">
      <c r="A2" s="13" t="s">
        <v>34</v>
      </c>
      <c r="B2" s="14">
        <v>0.035416666666666666</v>
      </c>
      <c r="C2" s="14">
        <v>0.11875</v>
      </c>
      <c r="D2" s="15">
        <f>51*256</f>
        <v>13056</v>
      </c>
      <c r="E2" s="15">
        <f>((2*60)+51)*256</f>
        <v>43776</v>
      </c>
      <c r="F2" s="14">
        <f t="shared" ref="F2:F3" si="1">((C2+B2)/2)-B$12</f>
        <v>0.05625</v>
      </c>
      <c r="G2" s="14">
        <f t="shared" ref="G2:G3" si="2">((C2+B2)/2)+B$12</f>
        <v>0.09791666667</v>
      </c>
      <c r="H2" s="15">
        <f>((1*60)+21)*256</f>
        <v>20736</v>
      </c>
    </row>
    <row r="3">
      <c r="A3" s="13" t="s">
        <v>35</v>
      </c>
      <c r="B3" s="14">
        <v>0.125</v>
      </c>
      <c r="C3" s="14">
        <v>0.38958333333333334</v>
      </c>
      <c r="D3" s="15">
        <f>((3*60)+2)*256</f>
        <v>46592</v>
      </c>
      <c r="E3" s="15">
        <f>((9*60)+21)*256</f>
        <v>143616</v>
      </c>
      <c r="F3" s="14">
        <f t="shared" si="1"/>
        <v>0.2364583333</v>
      </c>
      <c r="G3" s="14">
        <f t="shared" si="2"/>
        <v>0.278125</v>
      </c>
      <c r="H3" s="15">
        <f>((5*60)+40)*256</f>
        <v>87040</v>
      </c>
    </row>
    <row r="4">
      <c r="A4" s="13" t="s">
        <v>36</v>
      </c>
      <c r="B4" s="14">
        <v>0.3958333333333333</v>
      </c>
      <c r="C4" s="14">
        <v>0.4375</v>
      </c>
      <c r="D4" s="15">
        <f>((9*60)+30)*256</f>
        <v>145920</v>
      </c>
      <c r="E4" s="15">
        <f>((10*60)+30)*256</f>
        <v>161280</v>
      </c>
      <c r="F4" s="14"/>
      <c r="G4" s="14"/>
    </row>
    <row r="5">
      <c r="A5" s="13" t="s">
        <v>34</v>
      </c>
      <c r="B5" s="14">
        <v>0.44027777777777777</v>
      </c>
      <c r="C5" s="14">
        <v>0.48194444444444445</v>
      </c>
      <c r="D5" s="15">
        <f>((10*60)+34)*256</f>
        <v>162304</v>
      </c>
      <c r="E5" s="15">
        <f>((11*60)+34)*256</f>
        <v>177664</v>
      </c>
      <c r="F5" s="14">
        <f>((C5+B5)/2)-B$12</f>
        <v>0.4402777778</v>
      </c>
      <c r="G5" s="14">
        <f>((C5+B5)/2)+B$12</f>
        <v>0.4819444444</v>
      </c>
      <c r="H5" s="15">
        <f>((10*60)+34)*256</f>
        <v>162304</v>
      </c>
    </row>
    <row r="12">
      <c r="B12" s="14">
        <v>0.020833333333333332</v>
      </c>
    </row>
  </sheetData>
  <mergeCells count="1">
    <mergeCell ref="F1:G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9" t="s">
        <v>32</v>
      </c>
      <c r="H1" s="9" t="s">
        <v>33</v>
      </c>
    </row>
    <row r="2">
      <c r="A2" s="13" t="s">
        <v>34</v>
      </c>
      <c r="B2" s="14">
        <v>0.034722222222222224</v>
      </c>
      <c r="C2" s="14">
        <v>0.11805555555555555</v>
      </c>
      <c r="D2" s="15">
        <f>50*256</f>
        <v>12800</v>
      </c>
      <c r="E2" s="15">
        <f>((2*60)+50)*256</f>
        <v>43520</v>
      </c>
      <c r="F2" s="14">
        <f t="shared" ref="F2:F3" si="1">((C2+B2)/2)-B$12</f>
        <v>0.05555555556</v>
      </c>
      <c r="G2" s="14">
        <f t="shared" ref="G2:G3" si="2">((C2+B2)/2)+B$12</f>
        <v>0.09722222222</v>
      </c>
      <c r="H2" s="15">
        <f>((1*60)+20)*256</f>
        <v>20480</v>
      </c>
    </row>
    <row r="3">
      <c r="A3" s="13" t="s">
        <v>35</v>
      </c>
      <c r="B3" s="14">
        <v>0.125</v>
      </c>
      <c r="C3" s="14">
        <v>0.3875</v>
      </c>
      <c r="D3" s="15">
        <f>((3*60)+2)*256</f>
        <v>46592</v>
      </c>
      <c r="E3" s="15">
        <f>((9*60)+18)*256</f>
        <v>142848</v>
      </c>
      <c r="F3" s="14">
        <f t="shared" si="1"/>
        <v>0.2354166667</v>
      </c>
      <c r="G3" s="14">
        <f t="shared" si="2"/>
        <v>0.2770833333</v>
      </c>
      <c r="H3" s="15">
        <f>((5*60)+39)*256</f>
        <v>86784</v>
      </c>
    </row>
    <row r="4">
      <c r="A4" s="13" t="s">
        <v>36</v>
      </c>
      <c r="B4" s="14">
        <v>0.39444444444444443</v>
      </c>
      <c r="C4" s="14">
        <v>0.4361111111111111</v>
      </c>
      <c r="D4" s="15">
        <f>((9*60)+28)*256</f>
        <v>145408</v>
      </c>
      <c r="E4" s="15">
        <f>((10*60)+28)*256</f>
        <v>160768</v>
      </c>
      <c r="F4" s="14"/>
      <c r="G4" s="14"/>
    </row>
    <row r="5">
      <c r="A5" s="13" t="s">
        <v>34</v>
      </c>
      <c r="B5" s="14">
        <v>0.44027777777777777</v>
      </c>
      <c r="C5" s="14">
        <v>0.48194444444444445</v>
      </c>
      <c r="D5" s="15">
        <f>((10*60)+34)*256</f>
        <v>162304</v>
      </c>
      <c r="E5" s="15">
        <f>((11*60)+34)*256</f>
        <v>177664</v>
      </c>
      <c r="F5" s="14">
        <f>((C5+B5)/2)-B$12</f>
        <v>0.4402777778</v>
      </c>
      <c r="G5" s="14">
        <f>((C5+B5)/2)+B$12</f>
        <v>0.4819444444</v>
      </c>
      <c r="H5" s="15">
        <f>((10*60)+34)*256</f>
        <v>162304</v>
      </c>
    </row>
    <row r="12">
      <c r="B12" s="14">
        <v>0.020833333333333332</v>
      </c>
    </row>
  </sheetData>
  <mergeCells count="1"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  <c r="J1" s="12"/>
    </row>
    <row r="2">
      <c r="A2" s="13" t="s">
        <v>34</v>
      </c>
      <c r="B2" s="14">
        <v>0.034722222222222224</v>
      </c>
      <c r="C2" s="14">
        <v>0.11805555555555555</v>
      </c>
      <c r="D2" s="15">
        <f>50*256</f>
        <v>12800</v>
      </c>
      <c r="E2" s="15">
        <f>((2*60)+50)*256</f>
        <v>43520</v>
      </c>
      <c r="F2" s="15">
        <f t="shared" ref="F2:F3" si="1">(E2-D2)/256</f>
        <v>120</v>
      </c>
      <c r="G2" s="14">
        <v>0.05555555555555555</v>
      </c>
      <c r="H2" s="14">
        <v>0.09722222222222222</v>
      </c>
      <c r="I2" s="15">
        <f>((1*60)+20)*256</f>
        <v>20480</v>
      </c>
    </row>
    <row r="3">
      <c r="A3" s="13" t="s">
        <v>35</v>
      </c>
      <c r="B3" s="14">
        <v>0.12291666666666666</v>
      </c>
      <c r="C3" s="14">
        <v>0.23819444444444443</v>
      </c>
      <c r="D3" s="15">
        <f>((2*60)+57)*256</f>
        <v>45312</v>
      </c>
      <c r="E3" s="15">
        <f>((5*60)+43)*256</f>
        <v>87808</v>
      </c>
      <c r="F3" s="15">
        <f t="shared" si="1"/>
        <v>166</v>
      </c>
      <c r="G3" s="14">
        <v>0.1597222222222222</v>
      </c>
      <c r="H3" s="14">
        <v>0.2013888888888889</v>
      </c>
      <c r="I3" s="15">
        <f>((3*60)+50)*256</f>
        <v>58880</v>
      </c>
    </row>
    <row r="4">
      <c r="A4" s="13" t="s">
        <v>36</v>
      </c>
      <c r="B4" s="14">
        <v>0.24722222222222223</v>
      </c>
      <c r="C4" s="14">
        <v>0.28888888888888886</v>
      </c>
      <c r="D4" s="15">
        <f>((5*60)+56)*256</f>
        <v>91136</v>
      </c>
      <c r="E4" s="15">
        <f>((6*60)+56)*256</f>
        <v>106496</v>
      </c>
    </row>
    <row r="5">
      <c r="A5" s="13" t="s">
        <v>34</v>
      </c>
      <c r="B5" s="14">
        <v>0.28888888888888886</v>
      </c>
      <c r="C5" s="14">
        <v>0.33055555555555555</v>
      </c>
      <c r="D5" s="15">
        <f>((6*60)+56)*256</f>
        <v>106496</v>
      </c>
      <c r="E5" s="15">
        <f>((7*60)+56)*256</f>
        <v>121856</v>
      </c>
      <c r="F5" s="15">
        <f>(E5-D5)/256</f>
        <v>60</v>
      </c>
      <c r="G5" s="14">
        <v>0.28888888888888886</v>
      </c>
      <c r="H5" s="14">
        <v>0.33055555555555555</v>
      </c>
      <c r="I5" s="15">
        <f>((6*60)+56)*256</f>
        <v>106496</v>
      </c>
    </row>
  </sheetData>
  <mergeCells count="1"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</row>
    <row r="2">
      <c r="A2" s="13" t="s">
        <v>34</v>
      </c>
      <c r="B2" s="14">
        <v>0.03680555555555556</v>
      </c>
      <c r="C2" s="14">
        <v>0.12013888888888889</v>
      </c>
      <c r="D2" s="15">
        <f>53*256</f>
        <v>13568</v>
      </c>
      <c r="E2" s="15">
        <f>((2*60)+53)*256</f>
        <v>44288</v>
      </c>
      <c r="F2" s="15">
        <f t="shared" ref="F2:F3" si="1">(E2-D2)/256</f>
        <v>120</v>
      </c>
      <c r="G2" s="14">
        <v>0.05555555555555555</v>
      </c>
      <c r="H2" s="14">
        <v>0.09722222222222222</v>
      </c>
      <c r="I2" s="15">
        <f>((1*60)+20)*256</f>
        <v>20480</v>
      </c>
    </row>
    <row r="3">
      <c r="A3" s="13" t="s">
        <v>35</v>
      </c>
      <c r="B3" s="14">
        <v>0.13541666666666666</v>
      </c>
      <c r="C3" s="14">
        <v>0.2847222222222222</v>
      </c>
      <c r="D3" s="15">
        <f>((3*60)+15)*256</f>
        <v>49920</v>
      </c>
      <c r="E3" s="15">
        <f>((6*60)+50)*256</f>
        <v>104960</v>
      </c>
      <c r="F3" s="15">
        <f t="shared" si="1"/>
        <v>215</v>
      </c>
      <c r="G3" s="14">
        <v>0.18958333333333333</v>
      </c>
      <c r="H3" s="14">
        <v>0.23125</v>
      </c>
      <c r="I3" s="15">
        <f>((4*60)+33)*256</f>
        <v>69888</v>
      </c>
    </row>
    <row r="4">
      <c r="A4" s="13" t="s">
        <v>36</v>
      </c>
      <c r="B4" s="14">
        <v>0.2986111111111111</v>
      </c>
      <c r="C4" s="14">
        <v>0.3402777777777778</v>
      </c>
      <c r="D4" s="15">
        <f>((7*60)+10)*256</f>
        <v>110080</v>
      </c>
      <c r="E4" s="15">
        <f>((8*60)+10)*256</f>
        <v>125440</v>
      </c>
    </row>
    <row r="5">
      <c r="A5" s="13" t="s">
        <v>34</v>
      </c>
      <c r="B5" s="14">
        <v>0.34375</v>
      </c>
      <c r="C5" s="14">
        <v>0.3854166666666667</v>
      </c>
      <c r="D5" s="15">
        <f>((8*60)+15)*256</f>
        <v>126720</v>
      </c>
      <c r="E5" s="15">
        <f>((9*60)+15)*256</f>
        <v>142080</v>
      </c>
      <c r="F5" s="15">
        <f>(E5-D5)/256</f>
        <v>60</v>
      </c>
      <c r="G5" s="14">
        <v>0.34375</v>
      </c>
      <c r="H5" s="14">
        <v>0.3854166666666667</v>
      </c>
      <c r="I5" s="15">
        <f>((8*60)+15)*256</f>
        <v>126720</v>
      </c>
    </row>
  </sheetData>
  <mergeCells count="1"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</row>
    <row r="2">
      <c r="A2" s="13" t="s">
        <v>34</v>
      </c>
      <c r="B2" s="14">
        <v>0.0375</v>
      </c>
      <c r="C2" s="14">
        <v>0.12083333333333333</v>
      </c>
      <c r="D2" s="15">
        <f>54*256</f>
        <v>13824</v>
      </c>
      <c r="E2" s="15">
        <f>((2*60)+54)*256</f>
        <v>44544</v>
      </c>
      <c r="F2" s="15">
        <f t="shared" ref="F2:F3" si="1">(E2-D2)/256</f>
        <v>120</v>
      </c>
      <c r="G2" s="14">
        <v>0.044444444444444446</v>
      </c>
      <c r="H2" s="14">
        <v>0.08611111111111111</v>
      </c>
      <c r="I2" s="15">
        <f>((1*60)+4)*256</f>
        <v>16384</v>
      </c>
    </row>
    <row r="3">
      <c r="A3" s="13" t="s">
        <v>35</v>
      </c>
      <c r="B3" s="14">
        <v>0.1284722222222222</v>
      </c>
      <c r="C3" s="14">
        <v>0.24305555555555555</v>
      </c>
      <c r="D3" s="15">
        <f>((3*60)+5)*256</f>
        <v>47360</v>
      </c>
      <c r="E3" s="15">
        <f>((5*60)+50)*256</f>
        <v>89600</v>
      </c>
      <c r="F3" s="15">
        <f t="shared" si="1"/>
        <v>165</v>
      </c>
      <c r="G3" s="14">
        <v>0.14791666666666667</v>
      </c>
      <c r="H3" s="14">
        <v>0.18958333333333333</v>
      </c>
      <c r="I3" s="15">
        <f>((3*60)+33)*256</f>
        <v>54528</v>
      </c>
    </row>
    <row r="4">
      <c r="A4" s="13" t="s">
        <v>36</v>
      </c>
      <c r="B4" s="14">
        <v>0.2520833333333333</v>
      </c>
      <c r="C4" s="14">
        <v>0.29375</v>
      </c>
      <c r="D4" s="15">
        <f>((6*60)+3)*256</f>
        <v>92928</v>
      </c>
      <c r="E4" s="15">
        <f>((7*60)+3)*256</f>
        <v>108288</v>
      </c>
    </row>
    <row r="5">
      <c r="A5" s="13" t="s">
        <v>34</v>
      </c>
      <c r="B5" s="14">
        <v>0.29583333333333334</v>
      </c>
      <c r="C5" s="14">
        <v>0.3375</v>
      </c>
      <c r="D5" s="15">
        <f>((7*60)+6)*256</f>
        <v>109056</v>
      </c>
      <c r="E5" s="15">
        <f>((8*60)+6)*256</f>
        <v>124416</v>
      </c>
      <c r="F5" s="15">
        <f>(E5-D5)/256</f>
        <v>60</v>
      </c>
      <c r="G5" s="14">
        <v>0.29583333333333334</v>
      </c>
      <c r="H5" s="14">
        <v>0.3375</v>
      </c>
      <c r="I5" s="15">
        <f>((7*60)+6)*256</f>
        <v>109056</v>
      </c>
    </row>
  </sheetData>
  <mergeCells count="1">
    <mergeCell ref="G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</row>
    <row r="2">
      <c r="A2" s="13" t="s">
        <v>34</v>
      </c>
      <c r="B2" s="14">
        <v>0.034722222222222224</v>
      </c>
      <c r="C2" s="14">
        <v>0.11805555555555555</v>
      </c>
      <c r="D2" s="15">
        <f>50*256</f>
        <v>12800</v>
      </c>
      <c r="E2" s="15">
        <f>((2*60)+50)*256</f>
        <v>43520</v>
      </c>
      <c r="F2" s="15">
        <f t="shared" ref="F2:F3" si="1">(E2-D2)/256</f>
        <v>120</v>
      </c>
      <c r="G2" s="14">
        <v>0.05555555555555555</v>
      </c>
      <c r="H2" s="14">
        <v>0.09722222222222222</v>
      </c>
      <c r="I2" s="15">
        <f>((1*60)+20)*256</f>
        <v>20480</v>
      </c>
    </row>
    <row r="3">
      <c r="A3" s="13" t="s">
        <v>35</v>
      </c>
      <c r="B3" s="14">
        <v>0.12638888888888888</v>
      </c>
      <c r="C3" s="14">
        <v>0.24097222222222223</v>
      </c>
      <c r="D3" s="15">
        <f>((3*60)+2)*256</f>
        <v>46592</v>
      </c>
      <c r="E3" s="15">
        <f>((5*60)+47)*256</f>
        <v>88832</v>
      </c>
      <c r="F3" s="15">
        <f t="shared" si="1"/>
        <v>165</v>
      </c>
      <c r="G3" s="14">
        <v>0.16319444444444445</v>
      </c>
      <c r="H3" s="14">
        <v>0.2048611111111111</v>
      </c>
      <c r="I3" s="15">
        <f>((3*60)+55)*256</f>
        <v>60160</v>
      </c>
    </row>
    <row r="4">
      <c r="A4" s="13" t="s">
        <v>36</v>
      </c>
      <c r="B4" s="14">
        <v>0.24791666666666667</v>
      </c>
      <c r="C4" s="14">
        <v>0.28958333333333336</v>
      </c>
      <c r="D4" s="15">
        <f>((5*60)+57)*256</f>
        <v>91392</v>
      </c>
      <c r="E4" s="15">
        <f>((6*60)+57)*256</f>
        <v>106752</v>
      </c>
    </row>
    <row r="5">
      <c r="A5" s="13" t="s">
        <v>34</v>
      </c>
      <c r="B5" s="14">
        <v>0.29375</v>
      </c>
      <c r="C5" s="14">
        <v>0.33541666666666664</v>
      </c>
      <c r="D5" s="15">
        <f>((7*60)+3)*256</f>
        <v>108288</v>
      </c>
      <c r="E5" s="15">
        <f>((8*60)+3)*256</f>
        <v>123648</v>
      </c>
      <c r="F5" s="15">
        <f>(E5-D5)/256</f>
        <v>60</v>
      </c>
      <c r="G5" s="14">
        <v>0.29375</v>
      </c>
      <c r="H5" s="14">
        <v>0.33541666666666664</v>
      </c>
      <c r="I5" s="15">
        <f>((7*60)+3)*256</f>
        <v>108288</v>
      </c>
    </row>
  </sheetData>
  <mergeCells count="1">
    <mergeCell ref="G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</row>
    <row r="2">
      <c r="A2" s="13" t="s">
        <v>34</v>
      </c>
      <c r="B2" s="14">
        <v>0.034722222222222224</v>
      </c>
      <c r="C2" s="14">
        <v>0.11805555555555555</v>
      </c>
      <c r="D2" s="15">
        <f>50*256</f>
        <v>12800</v>
      </c>
      <c r="E2" s="15">
        <f>((2*60)+50)*256</f>
        <v>43520</v>
      </c>
      <c r="F2" s="15">
        <f t="shared" ref="F2:F3" si="1">(E2-D2)/256</f>
        <v>120</v>
      </c>
      <c r="G2" s="14">
        <v>0.07291666666666667</v>
      </c>
      <c r="H2" s="14">
        <v>0.11458333333333333</v>
      </c>
      <c r="I2" s="15">
        <f>((1*60)+45)*256</f>
        <v>26880</v>
      </c>
    </row>
    <row r="3">
      <c r="A3" s="13" t="s">
        <v>35</v>
      </c>
      <c r="B3" s="14">
        <v>0.1284722222222222</v>
      </c>
      <c r="C3" s="14">
        <v>0.29305555555555557</v>
      </c>
      <c r="D3" s="15">
        <f>((3*60)+5)*256</f>
        <v>47360</v>
      </c>
      <c r="E3" s="15">
        <f>((7*60)+2)*256</f>
        <v>108032</v>
      </c>
      <c r="F3" s="15">
        <f t="shared" si="1"/>
        <v>237</v>
      </c>
      <c r="G3" s="14">
        <v>0.19027777777777777</v>
      </c>
      <c r="H3" s="14">
        <v>0.23194444444444445</v>
      </c>
      <c r="I3" s="15">
        <f>((4*60)+34)*256</f>
        <v>70144</v>
      </c>
    </row>
    <row r="4">
      <c r="A4" s="13" t="s">
        <v>36</v>
      </c>
      <c r="B4" s="14">
        <v>0.2986111111111111</v>
      </c>
      <c r="C4" s="14">
        <v>0.3402777777777778</v>
      </c>
      <c r="D4" s="15">
        <f>((5*60)+10)*256</f>
        <v>79360</v>
      </c>
      <c r="E4" s="15">
        <f>((8*60)+10)*256</f>
        <v>125440</v>
      </c>
    </row>
    <row r="5">
      <c r="A5" s="13" t="s">
        <v>34</v>
      </c>
      <c r="B5" s="14">
        <v>0.34444444444444444</v>
      </c>
      <c r="C5" s="14">
        <v>0.3861111111111111</v>
      </c>
      <c r="D5" s="15">
        <f>((7*60)+16)*256</f>
        <v>111616</v>
      </c>
      <c r="E5" s="15">
        <f>((8*60)+16)*256</f>
        <v>126976</v>
      </c>
      <c r="F5" s="15">
        <f>(E5-D5)/256</f>
        <v>60</v>
      </c>
      <c r="G5" s="14">
        <v>0.3402777777777778</v>
      </c>
      <c r="H5" s="14">
        <v>0.3819444444444444</v>
      </c>
      <c r="I5" s="15">
        <f>((8*60)+10)*256</f>
        <v>125440</v>
      </c>
    </row>
  </sheetData>
  <mergeCells count="1">
    <mergeCell ref="G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11" t="s">
        <v>31</v>
      </c>
      <c r="G1" s="9" t="s">
        <v>32</v>
      </c>
      <c r="I1" s="9" t="s">
        <v>33</v>
      </c>
    </row>
    <row r="2">
      <c r="A2" s="13" t="s">
        <v>34</v>
      </c>
      <c r="B2" s="14">
        <v>0.11319444444444444</v>
      </c>
      <c r="C2" s="14">
        <v>0.19652777777777777</v>
      </c>
      <c r="D2" s="16">
        <f>((2*60)+43)*256</f>
        <v>41728</v>
      </c>
      <c r="E2" s="15">
        <f>((4*60)+43)*256</f>
        <v>72448</v>
      </c>
      <c r="F2" s="15">
        <f t="shared" ref="F2:F3" si="1">(E2-D2)/256</f>
        <v>120</v>
      </c>
      <c r="G2" s="14">
        <v>0.13402777777777777</v>
      </c>
      <c r="H2" s="14">
        <v>0.17569444444444443</v>
      </c>
      <c r="I2" s="15">
        <f>((3*60)+13)*256</f>
        <v>49408</v>
      </c>
    </row>
    <row r="3">
      <c r="A3" s="13" t="s">
        <v>35</v>
      </c>
      <c r="B3" s="14">
        <v>0.2013888888888889</v>
      </c>
      <c r="C3" s="14">
        <v>0.3736111111111111</v>
      </c>
      <c r="D3" s="15">
        <f>((4*60)+50)*256</f>
        <v>74240</v>
      </c>
      <c r="E3" s="15">
        <f>((8*60)+58)*256</f>
        <v>137728</v>
      </c>
      <c r="F3" s="15">
        <f t="shared" si="1"/>
        <v>248</v>
      </c>
      <c r="G3" s="14">
        <v>0.26666666666666666</v>
      </c>
      <c r="H3" s="14">
        <v>0.30833333333333335</v>
      </c>
      <c r="I3" s="15">
        <f>((6*60)+24)*256</f>
        <v>98304</v>
      </c>
    </row>
    <row r="4">
      <c r="A4" s="13" t="s">
        <v>36</v>
      </c>
      <c r="B4" s="14">
        <v>0.38958333333333334</v>
      </c>
      <c r="C4" s="14">
        <v>0.43125</v>
      </c>
      <c r="D4" s="15">
        <f>((9*60)+21)*256</f>
        <v>143616</v>
      </c>
      <c r="E4" s="15">
        <f>((10*60)+21)*256</f>
        <v>158976</v>
      </c>
    </row>
    <row r="5">
      <c r="A5" s="13" t="s">
        <v>34</v>
      </c>
      <c r="B5" s="14">
        <v>0.43819444444444444</v>
      </c>
      <c r="C5" s="14">
        <v>0.4798611111111111</v>
      </c>
      <c r="D5" s="15">
        <f>((10*60)+31)*256</f>
        <v>161536</v>
      </c>
      <c r="E5" s="15">
        <f>((11*60)+31)*256</f>
        <v>176896</v>
      </c>
      <c r="F5" s="15">
        <f>(E5-D5)/256</f>
        <v>60</v>
      </c>
      <c r="G5" s="14">
        <v>0.43125</v>
      </c>
      <c r="H5" s="14">
        <v>0.47291666666666665</v>
      </c>
      <c r="I5" s="15">
        <f>((10*60)+21)*256</f>
        <v>158976</v>
      </c>
    </row>
  </sheetData>
  <mergeCells count="1">
    <mergeCell ref="G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1" t="s">
        <v>29</v>
      </c>
      <c r="E1" s="17" t="s">
        <v>30</v>
      </c>
      <c r="F1" s="9" t="s">
        <v>32</v>
      </c>
      <c r="H1" s="9" t="s">
        <v>33</v>
      </c>
    </row>
    <row r="2">
      <c r="A2" s="18" t="s">
        <v>34</v>
      </c>
      <c r="B2" s="19">
        <v>0.03958333333333333</v>
      </c>
      <c r="C2" s="19">
        <v>0.12291666666666666</v>
      </c>
      <c r="D2" s="20">
        <f>57*256</f>
        <v>14592</v>
      </c>
      <c r="E2" s="20">
        <f>((2*60)+57)*256</f>
        <v>45312</v>
      </c>
      <c r="F2" s="19">
        <f t="shared" ref="F2:F3" si="1">((C2+B2)/2)-B$12</f>
        <v>0.06041666667</v>
      </c>
      <c r="G2" s="19">
        <f t="shared" ref="G2:G3" si="2">((C2+B2)/2)+B$12</f>
        <v>0.1020833333</v>
      </c>
      <c r="H2" s="20">
        <f>((1*60)+27)</f>
        <v>87</v>
      </c>
      <c r="I2" s="21" t="s">
        <v>37</v>
      </c>
    </row>
    <row r="3">
      <c r="A3" s="18" t="s">
        <v>35</v>
      </c>
      <c r="B3" s="19">
        <v>0.14027777777777778</v>
      </c>
      <c r="C3" s="19">
        <v>0.3125</v>
      </c>
      <c r="D3" s="20">
        <f>((3*60)+22)*256</f>
        <v>51712</v>
      </c>
      <c r="E3" s="20">
        <f>((7*60)+30)*256</f>
        <v>115200</v>
      </c>
      <c r="F3" s="19">
        <f t="shared" si="1"/>
        <v>0.2055555556</v>
      </c>
      <c r="G3" s="19">
        <f t="shared" si="2"/>
        <v>0.2472222222</v>
      </c>
      <c r="H3" s="20">
        <f>((4*60)+56)</f>
        <v>296</v>
      </c>
    </row>
    <row r="4">
      <c r="A4" s="18" t="s">
        <v>36</v>
      </c>
      <c r="B4" s="19">
        <v>0.3194444444444444</v>
      </c>
      <c r="C4" s="19">
        <v>0.3611111111111111</v>
      </c>
      <c r="D4" s="20">
        <f>((7*60)+40)*256</f>
        <v>117760</v>
      </c>
      <c r="E4" s="20">
        <f>((8*60)+40)*256</f>
        <v>133120</v>
      </c>
      <c r="F4" s="12" t="s">
        <v>38</v>
      </c>
      <c r="G4" s="12" t="s">
        <v>38</v>
      </c>
      <c r="H4" s="12" t="s">
        <v>38</v>
      </c>
    </row>
    <row r="5">
      <c r="A5" s="18" t="s">
        <v>34</v>
      </c>
      <c r="B5" s="19">
        <v>0.3659722222222222</v>
      </c>
      <c r="C5" s="19">
        <v>0.4076388888888889</v>
      </c>
      <c r="D5" s="20">
        <f>((8*60)+47)*256</f>
        <v>134912</v>
      </c>
      <c r="E5" s="20">
        <f>((9*60)+47)*256</f>
        <v>150272</v>
      </c>
      <c r="F5" s="19">
        <f>((C5+B5)/2)-B$12</f>
        <v>0.3659722222</v>
      </c>
      <c r="G5" s="19">
        <f>((C5+B5)/2)+B$12</f>
        <v>0.4076388889</v>
      </c>
      <c r="H5" s="20">
        <f>((8*60)+47)</f>
        <v>527</v>
      </c>
    </row>
    <row r="12">
      <c r="B12" s="22">
        <v>0.020833333333333332</v>
      </c>
    </row>
  </sheetData>
  <mergeCells count="1">
    <mergeCell ref="F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10" t="s">
        <v>29</v>
      </c>
      <c r="E1" s="9" t="s">
        <v>30</v>
      </c>
      <c r="F1" s="9" t="s">
        <v>32</v>
      </c>
      <c r="H1" s="9" t="s">
        <v>33</v>
      </c>
    </row>
    <row r="2">
      <c r="A2" s="13" t="s">
        <v>34</v>
      </c>
      <c r="B2" s="14">
        <v>0.03611111111111111</v>
      </c>
      <c r="C2" s="14">
        <v>0.11944444444444445</v>
      </c>
      <c r="D2" s="16">
        <f>(52)*256</f>
        <v>13312</v>
      </c>
      <c r="E2" s="15">
        <f>((2*60)+52)*256</f>
        <v>44032</v>
      </c>
      <c r="F2" s="14">
        <f t="shared" ref="F2:F3" si="1">((C2+B2)/2)-B$12</f>
        <v>0.05694444444</v>
      </c>
      <c r="G2" s="14">
        <f t="shared" ref="G2:G3" si="2">((C2+B2)/2)+B$12</f>
        <v>0.09861111111</v>
      </c>
      <c r="H2" s="15">
        <f>((1*60)+22)</f>
        <v>82</v>
      </c>
    </row>
    <row r="3">
      <c r="A3" s="13" t="s">
        <v>35</v>
      </c>
      <c r="B3" s="14">
        <v>0.13819444444444445</v>
      </c>
      <c r="C3" s="14">
        <v>0.30625</v>
      </c>
      <c r="D3" s="16">
        <f>((3*60)+19)*256</f>
        <v>50944</v>
      </c>
      <c r="E3" s="15">
        <f>((7*60)+21)*256</f>
        <v>112896</v>
      </c>
      <c r="F3" s="14">
        <f t="shared" si="1"/>
        <v>0.2013888889</v>
      </c>
      <c r="G3" s="14">
        <f t="shared" si="2"/>
        <v>0.2430555556</v>
      </c>
      <c r="H3" s="15">
        <f>((4*60)+50)</f>
        <v>290</v>
      </c>
      <c r="I3" s="14"/>
    </row>
    <row r="4">
      <c r="A4" s="13" t="s">
        <v>36</v>
      </c>
      <c r="B4" s="14">
        <v>0.31180555555555556</v>
      </c>
      <c r="C4" s="14">
        <v>0.35347222222222224</v>
      </c>
      <c r="D4" s="16">
        <f>((7*60)+29)*256</f>
        <v>114944</v>
      </c>
      <c r="E4" s="15">
        <f>((8*60)+29)*256</f>
        <v>130304</v>
      </c>
      <c r="F4" s="14"/>
      <c r="G4" s="14"/>
    </row>
    <row r="5">
      <c r="A5" s="13" t="s">
        <v>34</v>
      </c>
      <c r="B5" s="14">
        <v>0.35833333333333334</v>
      </c>
      <c r="C5" s="14">
        <v>0.4</v>
      </c>
      <c r="D5" s="16">
        <f>((8*60)+36)*256</f>
        <v>132096</v>
      </c>
      <c r="E5" s="15">
        <f>((9*60)+36)*256</f>
        <v>147456</v>
      </c>
      <c r="F5" s="14">
        <f>((C5+B5)/2)-B$12</f>
        <v>0.3583333333</v>
      </c>
      <c r="G5" s="14">
        <f>((C5+B5)/2)+B$12</f>
        <v>0.4</v>
      </c>
      <c r="H5" s="15">
        <f>((8*60)+36)</f>
        <v>516</v>
      </c>
      <c r="I5" s="14"/>
    </row>
    <row r="12">
      <c r="B12" s="14">
        <v>0.020833333333333332</v>
      </c>
    </row>
  </sheetData>
  <mergeCells count="1">
    <mergeCell ref="F1:G1"/>
  </mergeCells>
  <drawing r:id="rId1"/>
</worksheet>
</file>