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ES, PRECIO, UMBRAL RENT o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<sst xmlns="http://schemas.openxmlformats.org/spreadsheetml/2006/main" count="106" uniqueCount="84">
  <si>
    <t xml:space="preserve">ANÁLISIS DE COSTES Y PRECIOS</t>
  </si>
  <si>
    <t xml:space="preserve">Nº SERVICIOS</t>
  </si>
  <si>
    <t xml:space="preserve">AÑO DE INICIO</t>
  </si>
  <si>
    <t xml:space="preserve">Variación según cantidas de bienes o servicios que una empresa produca</t>
  </si>
  <si>
    <t xml:space="preserve">INICIO AÑO 0 INVERSIÓN TOTAL AÑO COSTE FJO</t>
  </si>
  <si>
    <r>
      <rPr>
        <b val="true"/>
        <sz val="12"/>
        <color rgb="FF000000"/>
        <rFont val="Abadi"/>
        <family val="2"/>
        <charset val="1"/>
      </rPr>
      <t xml:space="preserve">1º AÑO TOTAL AÑO COSTE VARIABLE- </t>
    </r>
    <r>
      <rPr>
        <sz val="14"/>
        <color rgb="FF000000"/>
        <rFont val="Abadi"/>
        <family val="2"/>
        <charset val="1"/>
      </rPr>
      <t xml:space="preserve"> 7000 usuarios.  Contando que vamos a conseguir 3 cadenas de gimnasio con una media de 5 centros y 1000 clientes por cada uno, suponiendo un 40% de descargas(6000), un 10% adicional de particulares y 3 empresas de 50 trabajadores con un 50% de descargas.</t>
    </r>
  </si>
  <si>
    <r>
      <rPr>
        <b val="true"/>
        <u val="single"/>
        <sz val="12"/>
        <color rgb="FF000000"/>
        <rFont val="Abadi"/>
        <family val="2"/>
        <charset val="1"/>
      </rPr>
      <t xml:space="preserve">PRECIO SOBRE VENTA</t>
    </r>
    <r>
      <rPr>
        <b val="true"/>
        <sz val="12"/>
        <color rgb="FF000000"/>
        <rFont val="Abadi"/>
        <family val="2"/>
        <charset val="1"/>
      </rPr>
      <t xml:space="preserve"> sin IVA TOTAL</t>
    </r>
  </si>
  <si>
    <t xml:space="preserve">PRECIO UD AÑO (decidimos el precio según competencia) (cálc precio total / 5 limpiadoras)</t>
  </si>
  <si>
    <t xml:space="preserve">MARGEN DE VENTA (decidimos nuestro margen)</t>
  </si>
  <si>
    <t xml:space="preserve">BENEFICIO UNITARIO AÑO</t>
  </si>
  <si>
    <t xml:space="preserve">COSTE VARIABLE UNITARIO AÑO </t>
  </si>
  <si>
    <t xml:space="preserve">Coach deportivo</t>
  </si>
  <si>
    <t xml:space="preserve">Servicios digitales(AWS, Gateway, DynamoDB…)</t>
  </si>
  <si>
    <t xml:space="preserve">Gestoría InfoGestSur</t>
  </si>
  <si>
    <t xml:space="preserve">Dietas</t>
  </si>
  <si>
    <t xml:space="preserve">Suministros de oficina</t>
  </si>
  <si>
    <t xml:space="preserve">Gastos representación gasolina</t>
  </si>
  <si>
    <t xml:space="preserve">Equipos personal / licencias, móvil y cuotas</t>
  </si>
  <si>
    <t xml:space="preserve">Gastos socios tarifa móvil</t>
  </si>
  <si>
    <t xml:space="preserve">Mobiliario</t>
  </si>
  <si>
    <t xml:space="preserve">Suministros (luz, agua, gas, cuota móvil…)</t>
  </si>
  <si>
    <t xml:space="preserve">Limpieza</t>
  </si>
  <si>
    <t xml:space="preserve">Gastos Coach tarifa móvil</t>
  </si>
  <si>
    <t xml:space="preserve">Seguros</t>
  </si>
  <si>
    <t xml:space="preserve">Alquiler</t>
  </si>
  <si>
    <t xml:space="preserve">Couta de autonomo</t>
  </si>
  <si>
    <t xml:space="preserve">INVERSIÓN INICIAL</t>
  </si>
  <si>
    <t xml:space="preserve">Coste / (100%-20%)</t>
  </si>
  <si>
    <t xml:space="preserve">Faltaría realizar un análisis de amortización de los bienes (reducción del valor de los bienes con el paso del tiempo),</t>
  </si>
  <si>
    <t xml:space="preserve">IVA</t>
  </si>
  <si>
    <t xml:space="preserve">Intereses bancarios, amortizaciones de préstamo , impuestos, etc</t>
  </si>
  <si>
    <t xml:space="preserve"> PRECIO VENTA UNITARIO</t>
  </si>
  <si>
    <t xml:space="preserve">COSTE VARIABLE UNITARIO </t>
  </si>
  <si>
    <t xml:space="preserve">CÁLCULO DE PUNTO MUERTO O UMBRAL DE RENTABILIDAD</t>
  </si>
  <si>
    <t xml:space="preserve">INGRESOS = COSTES</t>
  </si>
  <si>
    <t xml:space="preserve">q*= CFijo Total / ( Pu - Cvu)</t>
  </si>
  <si>
    <t xml:space="preserve">Umbral Rentabilidad=124312 / (19212,20-15369,76)</t>
  </si>
  <si>
    <t xml:space="preserve">q* = </t>
  </si>
  <si>
    <t xml:space="preserve">Cantidad de productos o servicios que tengo que vender para INGRESOS = COSTES</t>
  </si>
  <si>
    <t xml:space="preserve">Si se vende por ENCIMA del punto muerto son BENEFICIOS</t>
  </si>
  <si>
    <t xml:space="preserve">Si se vende por DEBAJO del punto muerto son PÉRDIDAS</t>
  </si>
  <si>
    <t xml:space="preserve">Se hace comprobación INGRESOS = COSTES</t>
  </si>
  <si>
    <t xml:space="preserve">Ingreso Total (IT) = Pu x q*</t>
  </si>
  <si>
    <t xml:space="preserve">19212,20 x 32,35</t>
  </si>
  <si>
    <t xml:space="preserve">Coste Total (CT) = CF + CVu x q* </t>
  </si>
  <si>
    <t xml:space="preserve">124312,00 + 15369,76 x 32,35</t>
  </si>
  <si>
    <t xml:space="preserve">PLAZO DE RECUPERACIÓN O PAY-BACK</t>
  </si>
  <si>
    <t xml:space="preserve">PERÍODO DE RETORNO. Es el tiempo que se tarda en recuperar la inversión incial.</t>
  </si>
  <si>
    <t xml:space="preserve">Cuanto antes se recupere el dinero invertido más viable será el proyecto.</t>
  </si>
  <si>
    <t xml:space="preserve">ES UN MÉTODO ENTRE OTROS PARA HACER UNA PREVISIÓN</t>
  </si>
  <si>
    <t xml:space="preserve">DESEMBOLSO INICIAL – INVERSIONES</t>
  </si>
  <si>
    <r>
      <rPr>
        <sz val="12"/>
        <color rgb="FF000000"/>
        <rFont val="Abadi"/>
        <family val="2"/>
        <charset val="1"/>
      </rPr>
      <t xml:space="preserve">Ingreso Total (IT) =</t>
    </r>
    <r>
      <rPr>
        <b val="true"/>
        <sz val="12"/>
        <color rgb="FF000000"/>
        <rFont val="Abadi"/>
        <family val="2"/>
        <charset val="1"/>
      </rPr>
      <t xml:space="preserve"> Pu x q* - </t>
    </r>
    <r>
      <rPr>
        <sz val="12"/>
        <color rgb="FF000000"/>
        <rFont val="Abadi"/>
        <family val="2"/>
        <charset val="1"/>
      </rPr>
      <t xml:space="preserve">(Coste Total (CT) =</t>
    </r>
    <r>
      <rPr>
        <b val="true"/>
        <sz val="12"/>
        <color rgb="FF000000"/>
        <rFont val="Abadi"/>
        <family val="2"/>
        <charset val="1"/>
      </rPr>
      <t xml:space="preserve"> CF + CVu x q*</t>
    </r>
    <r>
      <rPr>
        <sz val="12"/>
        <color rgb="FF000000"/>
        <rFont val="Abadi"/>
        <family val="2"/>
        <charset val="1"/>
      </rPr>
      <t xml:space="preserve"> )</t>
    </r>
  </si>
  <si>
    <r>
      <rPr>
        <b val="true"/>
        <u val="single"/>
        <sz val="12"/>
        <color rgb="FF000000"/>
        <rFont val="Abadi"/>
        <family val="2"/>
        <charset val="1"/>
      </rPr>
      <t xml:space="preserve">Incremento</t>
    </r>
    <r>
      <rPr>
        <b val="true"/>
        <sz val="12"/>
        <color rgb="FF000000"/>
        <rFont val="Abadi"/>
        <family val="2"/>
        <charset val="1"/>
      </rPr>
      <t xml:space="preserve"> Ingresos Netos Año (BENEFICIO neto)</t>
    </r>
    <r>
      <rPr>
        <b val="true"/>
        <u val="single"/>
        <sz val="12"/>
        <color rgb="FF000000"/>
        <rFont val="Abadi"/>
        <family val="2"/>
        <charset val="1"/>
      </rPr>
      <t xml:space="preserve"> (entradas-salidas)</t>
    </r>
  </si>
  <si>
    <t xml:space="preserve">CANTIDAD DE SERVICIOS</t>
  </si>
  <si>
    <r>
      <rPr>
        <b val="true"/>
        <sz val="12"/>
        <color rgb="FF000000"/>
        <rFont val="Abadi"/>
        <family val="2"/>
        <charset val="1"/>
      </rPr>
      <t xml:space="preserve">VENTAS</t>
    </r>
    <r>
      <rPr>
        <sz val="12"/>
        <color rgb="FF000000"/>
        <rFont val="Abadi"/>
        <family val="2"/>
        <charset val="1"/>
      </rPr>
      <t xml:space="preserve"> (precio unitario x cantidad de servicios)</t>
    </r>
  </si>
  <si>
    <t xml:space="preserve">GASTOS (coste fijo + coste variables unitario * cantidad de serv)</t>
  </si>
  <si>
    <t xml:space="preserve">INVERSIÓN Año 0</t>
  </si>
  <si>
    <t xml:space="preserve">Año 1     (19212,2 x 5) - (124312,00 + (15369,76 x 5) )</t>
  </si>
  <si>
    <t xml:space="preserve">Año 2   </t>
  </si>
  <si>
    <t xml:space="preserve">Año 3</t>
  </si>
  <si>
    <t xml:space="preserve">Año 4</t>
  </si>
  <si>
    <t xml:space="preserve">COMIENZA A ESTAR POR ENCIMA DEL PUNTO MUERTO</t>
  </si>
  <si>
    <t xml:space="preserve">Año 5</t>
  </si>
  <si>
    <t xml:space="preserve">Año 6</t>
  </si>
  <si>
    <t xml:space="preserve">Año 7</t>
  </si>
  <si>
    <t xml:space="preserve">AÑO 0 financiación, no dispongo de servicios hasta año 1</t>
  </si>
  <si>
    <t xml:space="preserve">Año 8</t>
  </si>
  <si>
    <t xml:space="preserve">SUMA DE PÉRDIDAS desde el año 0 a año 3</t>
  </si>
  <si>
    <t xml:space="preserve">Año 9</t>
  </si>
  <si>
    <t xml:space="preserve">Año 10</t>
  </si>
  <si>
    <t xml:space="preserve">En el AÑO 10 Se ha recuperado la inversión.</t>
  </si>
  <si>
    <t xml:space="preserve">Año 11</t>
  </si>
  <si>
    <t xml:space="preserve">Año 12</t>
  </si>
  <si>
    <t xml:space="preserve">Año 13</t>
  </si>
  <si>
    <t xml:space="preserve">BENEFICIO NETO ACUMULADO </t>
  </si>
  <si>
    <t xml:space="preserve">Año 1</t>
  </si>
  <si>
    <t xml:space="preserve">gasto acumulado resta inversión año 0 - inversión año 1</t>
  </si>
  <si>
    <t xml:space="preserve">Año 2</t>
  </si>
  <si>
    <t xml:space="preserve">gasto acumulado resta inversión año 2 - acumulado año 1</t>
  </si>
  <si>
    <t xml:space="preserve">COINCIDE CON EL UMBRAL DE RENTABILIDAD</t>
  </si>
  <si>
    <t xml:space="preserve">gasto acumulado resta inversión año 4 + acumulado año 3</t>
  </si>
  <si>
    <t xml:space="preserve">PLAZO RECUPERACIÓN</t>
  </si>
  <si>
    <t xml:space="preserve">INGRESO NETO ACUMULADO </t>
  </si>
  <si>
    <t xml:space="preserve">EL PLAZO DE RECUPERACIÓN DE LA ACUMULACIÓN DE INGRESOS SERÍA EN EL  AÑO 8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</si>
</sst>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&quot; €&quot;;[RED]\-#,##0.00&quot; €&quot;"/>
    <numFmt numFmtId="166" formatCode="0.00\ %"/>
    <numFmt numFmtId="167" formatCode="#,##0.00\ [$€-C0A];[RED]\-#,##0.00\ [$€-C0A]"/>
    <numFmt numFmtId="168" formatCode="#,##0.00\ ;[RED]\-#,##0.00\ "/>
    <numFmt numFmtId="169" formatCode="#,##0.00_ ;[RED]\-#,##0.00\ "/>
    <numFmt numFmtId="170" formatCode="0.00"/>
    <numFmt numFmtId="171" formatCode="#,##0.00&quot; €&quot;"/>
    <numFmt numFmtId="172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badi"/>
      <family val="2"/>
      <charset val="1"/>
    </font>
    <font>
      <b val="true"/>
      <sz val="12"/>
      <color rgb="FF000000"/>
      <name val="Abadi"/>
      <family val="2"/>
      <charset val="1"/>
    </font>
    <font>
      <sz val="14"/>
      <color rgb="FF000000"/>
      <name val="Abadi"/>
      <family val="2"/>
      <charset val="1"/>
    </font>
    <font>
      <b val="true"/>
      <u val="single"/>
      <sz val="12"/>
      <color rgb="FF000000"/>
      <name val="Abadi"/>
      <family val="2"/>
      <charset val="1"/>
    </font>
    <font>
      <sz val="12"/>
      <color rgb="FF0070C0"/>
      <name val="Abadi"/>
      <family val="2"/>
      <charset val="1"/>
    </font>
    <font>
      <b val="true"/>
      <sz val="12"/>
      <name val="Abadi"/>
      <family val="2"/>
      <charset val="1"/>
    </font>
    <font>
      <b val="true"/>
      <sz val="12"/>
      <color rgb="FF0070C0"/>
      <name val="Abadi"/>
      <family val="2"/>
      <charset val="1"/>
    </font>
    <font>
      <sz val="12"/>
      <name val="Abadi"/>
      <family val="2"/>
      <charset val="1"/>
    </font>
    <font>
      <b val="true"/>
      <u val="single"/>
      <sz val="14"/>
      <color rgb="FF2E75B6"/>
      <name val="Abadi"/>
      <family val="2"/>
      <charset val="1"/>
    </font>
    <font>
      <sz val="12"/>
      <color rgb="FFFF0000"/>
      <name val="Abadi"/>
      <family val="2"/>
      <charset val="1"/>
    </font>
    <font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E2F0D9"/>
      </patternFill>
    </fill>
    <fill>
      <patternFill patternType="solid">
        <fgColor rgb="FF00B0F0"/>
        <bgColor rgb="FF33CC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CCC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5" fillId="7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95040</xdr:colOff>
      <xdr:row>39</xdr:row>
      <xdr:rowOff>160920</xdr:rowOff>
    </xdr:from>
    <xdr:to>
      <xdr:col>6</xdr:col>
      <xdr:colOff>629280</xdr:colOff>
      <xdr:row>39</xdr:row>
      <xdr:rowOff>161640</xdr:rowOff>
    </xdr:to>
    <xdr:cxnSp>
      <xdr:nvCxnSpPr>
        <xdr:cNvPr id="0" name="Conector recto 2"/>
        <xdr:cNvCxnSpPr/>
      </xdr:nvCxnSpPr>
      <xdr:spPr>
        <a:xfrm flipV="1">
          <a:off x="11528280" y="9486000"/>
          <a:ext cx="3706200" cy="1080"/>
        </a:xfrm>
        <a:prstGeom prst="straightConnector1">
          <a:avLst/>
        </a:prstGeom>
        <a:ln w="38160">
          <a:solidFill>
            <a:srgbClr val="4472c4"/>
          </a:solidFill>
          <a:round/>
        </a:ln>
      </xdr:spPr>
    </xdr:cxnSp>
    <xdr:clientData/>
  </xdr:twoCellAnchor>
  <xdr:twoCellAnchor editAs="twoCell">
    <xdr:from>
      <xdr:col>6</xdr:col>
      <xdr:colOff>628200</xdr:colOff>
      <xdr:row>39</xdr:row>
      <xdr:rowOff>146160</xdr:rowOff>
    </xdr:from>
    <xdr:to>
      <xdr:col>6</xdr:col>
      <xdr:colOff>628200</xdr:colOff>
      <xdr:row>54</xdr:row>
      <xdr:rowOff>498240</xdr:rowOff>
    </xdr:to>
    <xdr:cxnSp>
      <xdr:nvCxnSpPr>
        <xdr:cNvPr id="1" name="Conector recto 4"/>
        <xdr:cNvCxnSpPr/>
      </xdr:nvCxnSpPr>
      <xdr:spPr>
        <a:xfrm>
          <a:off x="15233040" y="9471240"/>
          <a:ext cx="360" cy="3209760"/>
        </a:xfrm>
        <a:prstGeom prst="straightConnector1">
          <a:avLst/>
        </a:prstGeom>
        <a:ln w="38160">
          <a:solidFill>
            <a:srgbClr val="4472c4"/>
          </a:solidFill>
          <a:round/>
        </a:ln>
      </xdr:spPr>
    </xdr:cxnSp>
    <xdr:clientData/>
  </xdr:twoCellAnchor>
  <xdr:twoCellAnchor editAs="twoCell">
    <xdr:from>
      <xdr:col>5</xdr:col>
      <xdr:colOff>107640</xdr:colOff>
      <xdr:row>54</xdr:row>
      <xdr:rowOff>475560</xdr:rowOff>
    </xdr:from>
    <xdr:to>
      <xdr:col>6</xdr:col>
      <xdr:colOff>631800</xdr:colOff>
      <xdr:row>54</xdr:row>
      <xdr:rowOff>480240</xdr:rowOff>
    </xdr:to>
    <xdr:cxnSp>
      <xdr:nvCxnSpPr>
        <xdr:cNvPr id="2" name="Conector recto de flecha 6"/>
        <xdr:cNvCxnSpPr/>
      </xdr:nvCxnSpPr>
      <xdr:spPr>
        <a:xfrm flipH="1">
          <a:off x="13091400" y="12657960"/>
          <a:ext cx="2145600" cy="5040"/>
        </a:xfrm>
        <a:prstGeom prst="straightConnector1">
          <a:avLst/>
        </a:prstGeom>
        <a:ln w="38160">
          <a:solidFill>
            <a:srgbClr val="4472c4"/>
          </a:solidFill>
          <a:round/>
          <a:tailEnd len="med" type="triangle" w="med"/>
        </a:ln>
      </xdr:spPr>
    </xdr:cxn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101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F4" activeCellId="0" sqref="F4"/>
    </sheetView>
  </sheetViews>
  <sheetFormatPr defaultColWidth="11.5625" defaultRowHeight="15" zeroHeight="false" outlineLevelRow="0" outlineLevelCol="0"/>
  <cols>
    <col collapsed="false" customWidth="true" hidden="false" outlineLevel="0" max="1" min="1" style="1" width="58.44"/>
    <col collapsed="false" customWidth="true" hidden="false" outlineLevel="0" max="2" min="2" style="1" width="25.77"/>
    <col collapsed="false" customWidth="true" hidden="false" outlineLevel="0" max="3" min="3" style="1" width="58"/>
    <col collapsed="false" customWidth="true" hidden="false" outlineLevel="0" max="4" min="4" style="1" width="20"/>
    <col collapsed="false" customWidth="true" hidden="false" outlineLevel="0" max="5" min="5" style="1" width="22"/>
    <col collapsed="false" customWidth="true" hidden="false" outlineLevel="0" max="6" min="6" style="1" width="23"/>
    <col collapsed="false" customWidth="true" hidden="false" outlineLevel="0" max="7" min="7" style="1" width="18.88"/>
    <col collapsed="false" customWidth="true" hidden="false" outlineLevel="0" max="8" min="8" style="1" width="22.22"/>
    <col collapsed="false" customWidth="true" hidden="false" outlineLevel="0" max="9" min="9" style="1" width="17.76"/>
    <col collapsed="false" customWidth="true" hidden="false" outlineLevel="0" max="10" min="10" style="1" width="23.11"/>
    <col collapsed="false" customWidth="true" hidden="false" outlineLevel="0" max="11" min="11" style="2" width="20.22"/>
    <col collapsed="false" customWidth="true" hidden="false" outlineLevel="0" max="12" min="12" style="2" width="15.88"/>
    <col collapsed="false" customWidth="true" hidden="false" outlineLevel="0" max="13" min="13" style="1" width="16.67"/>
    <col collapsed="false" customWidth="true" hidden="false" outlineLevel="0" max="14" min="14" style="1" width="16.44"/>
    <col collapsed="false" customWidth="true" hidden="false" outlineLevel="0" max="15" min="15" style="1" width="14.33"/>
    <col collapsed="false" customWidth="false" hidden="false" outlineLevel="0" max="16384" min="16" style="1" width="11.56"/>
  </cols>
  <sheetData>
    <row r="2" customFormat="false" ht="15" hidden="false" customHeight="false" outlineLevel="0" collapsed="false">
      <c r="A2" s="3" t="s">
        <v>0</v>
      </c>
    </row>
    <row r="3" customFormat="false" ht="15" hidden="false" customHeight="false" outlineLevel="0" collapsed="false">
      <c r="F3" s="4" t="s">
        <v>1</v>
      </c>
    </row>
    <row r="4" customFormat="false" ht="29.85" hidden="false" customHeight="false" outlineLevel="0" collapsed="false">
      <c r="A4" s="5" t="s">
        <v>2</v>
      </c>
      <c r="B4" s="5"/>
      <c r="C4" s="6" t="s">
        <v>3</v>
      </c>
      <c r="D4" s="5"/>
      <c r="E4" s="5"/>
      <c r="F4" s="7" t="n">
        <v>42000</v>
      </c>
      <c r="G4" s="5"/>
      <c r="H4" s="5"/>
      <c r="I4" s="5"/>
      <c r="J4" s="5"/>
      <c r="K4" s="5"/>
      <c r="L4" s="5"/>
      <c r="N4" s="2"/>
      <c r="O4" s="2"/>
    </row>
    <row r="5" s="15" customFormat="true" ht="116.4" hidden="false" customHeight="true" outlineLevel="0" collapsed="false">
      <c r="A5" s="8" t="s">
        <v>4</v>
      </c>
      <c r="B5" s="8"/>
      <c r="C5" s="9" t="s">
        <v>5</v>
      </c>
      <c r="D5" s="9"/>
      <c r="E5" s="10" t="s">
        <v>6</v>
      </c>
      <c r="F5" s="11" t="s">
        <v>7</v>
      </c>
      <c r="G5" s="12" t="s">
        <v>8</v>
      </c>
      <c r="H5" s="12" t="s">
        <v>9</v>
      </c>
      <c r="I5" s="8" t="s">
        <v>10</v>
      </c>
      <c r="J5" s="13"/>
      <c r="K5" s="13"/>
      <c r="L5" s="14"/>
      <c r="M5" s="14"/>
      <c r="N5" s="13"/>
      <c r="P5" s="2"/>
      <c r="Q5" s="16"/>
    </row>
    <row r="6" customFormat="false" ht="15" hidden="false" customHeight="false" outlineLevel="0" collapsed="false">
      <c r="A6" s="17" t="s">
        <v>11</v>
      </c>
      <c r="B6" s="18" t="n">
        <v>23357.1</v>
      </c>
      <c r="C6" s="19" t="s">
        <v>12</v>
      </c>
      <c r="D6" s="20" t="n">
        <f aca="false">400*7</f>
        <v>2800</v>
      </c>
      <c r="E6" s="21"/>
      <c r="F6" s="21"/>
      <c r="G6" s="21"/>
      <c r="H6" s="21"/>
      <c r="I6" s="21"/>
      <c r="J6" s="13"/>
      <c r="K6" s="13"/>
      <c r="L6" s="14"/>
      <c r="M6" s="14"/>
      <c r="N6" s="13"/>
      <c r="P6" s="2"/>
      <c r="Q6" s="22"/>
    </row>
    <row r="7" customFormat="false" ht="15" hidden="false" customHeight="false" outlineLevel="0" collapsed="false">
      <c r="A7" s="17" t="s">
        <v>13</v>
      </c>
      <c r="B7" s="18" t="n">
        <v>3800</v>
      </c>
      <c r="C7" s="17" t="s">
        <v>14</v>
      </c>
      <c r="D7" s="18" t="n">
        <f aca="false">(10*2)*5*4*12</f>
        <v>4800</v>
      </c>
      <c r="E7" s="23"/>
      <c r="F7" s="23"/>
      <c r="G7" s="23"/>
      <c r="H7" s="23"/>
      <c r="I7" s="23"/>
      <c r="J7" s="13"/>
      <c r="K7" s="13"/>
      <c r="L7" s="14"/>
      <c r="M7" s="14"/>
      <c r="N7" s="13"/>
      <c r="P7" s="2"/>
      <c r="Q7" s="24"/>
    </row>
    <row r="8" customFormat="false" ht="15" hidden="false" customHeight="false" outlineLevel="0" collapsed="false">
      <c r="A8" s="17" t="s">
        <v>15</v>
      </c>
      <c r="B8" s="18" t="n">
        <v>1200</v>
      </c>
      <c r="C8" s="19" t="s">
        <v>16</v>
      </c>
      <c r="D8" s="20" t="n">
        <f aca="false">5*5*4*12*1.5</f>
        <v>1800</v>
      </c>
      <c r="E8" s="23"/>
      <c r="F8" s="23"/>
      <c r="G8" s="23"/>
      <c r="H8" s="23"/>
      <c r="I8" s="23"/>
      <c r="J8" s="13"/>
      <c r="K8" s="13"/>
      <c r="L8" s="14"/>
      <c r="M8" s="14"/>
      <c r="N8" s="13"/>
      <c r="P8" s="16"/>
      <c r="Q8" s="25"/>
    </row>
    <row r="9" customFormat="false" ht="15" hidden="false" customHeight="false" outlineLevel="0" collapsed="false">
      <c r="A9" s="19" t="s">
        <v>17</v>
      </c>
      <c r="B9" s="20" t="n">
        <f aca="false">(500/3)*3+(800/3)*3+(15*3)+(120*12)</f>
        <v>2785</v>
      </c>
      <c r="C9" s="19" t="s">
        <v>18</v>
      </c>
      <c r="D9" s="20" t="n">
        <f aca="false">(200/3)</f>
        <v>66.6666666666667</v>
      </c>
      <c r="E9" s="23"/>
      <c r="F9" s="23"/>
      <c r="G9" s="23"/>
      <c r="H9" s="23"/>
      <c r="I9" s="23"/>
      <c r="J9" s="13"/>
      <c r="K9" s="13"/>
      <c r="L9" s="14"/>
      <c r="M9" s="14"/>
      <c r="N9" s="13"/>
      <c r="P9" s="16"/>
      <c r="Q9" s="2"/>
    </row>
    <row r="10" customFormat="false" ht="15" hidden="false" customHeight="false" outlineLevel="0" collapsed="false">
      <c r="A10" s="17" t="s">
        <v>19</v>
      </c>
      <c r="B10" s="18" t="n">
        <v>2000</v>
      </c>
      <c r="C10" s="17"/>
      <c r="D10" s="20"/>
      <c r="E10" s="23"/>
      <c r="F10" s="23"/>
      <c r="G10" s="23"/>
      <c r="H10" s="23"/>
      <c r="I10" s="23"/>
      <c r="J10" s="13"/>
      <c r="K10" s="13"/>
      <c r="L10" s="14"/>
      <c r="M10" s="14"/>
      <c r="N10" s="13"/>
      <c r="P10" s="16"/>
      <c r="Q10" s="2"/>
    </row>
    <row r="11" customFormat="false" ht="15" hidden="false" customHeight="false" outlineLevel="0" collapsed="false">
      <c r="A11" s="17" t="s">
        <v>20</v>
      </c>
      <c r="B11" s="18" t="n">
        <v>1400</v>
      </c>
      <c r="C11" s="19"/>
      <c r="D11" s="20"/>
      <c r="E11" s="23"/>
      <c r="F11" s="23"/>
      <c r="G11" s="23"/>
      <c r="H11" s="23"/>
      <c r="I11" s="23"/>
      <c r="J11" s="13"/>
      <c r="K11" s="13"/>
      <c r="L11" s="14"/>
      <c r="M11" s="14"/>
      <c r="N11" s="13"/>
      <c r="P11" s="16"/>
      <c r="Q11" s="2"/>
    </row>
    <row r="12" customFormat="false" ht="15" hidden="false" customHeight="false" outlineLevel="0" collapsed="false">
      <c r="A12" s="17" t="s">
        <v>21</v>
      </c>
      <c r="B12" s="18" t="n">
        <v>2000</v>
      </c>
      <c r="C12" s="19"/>
      <c r="D12" s="20"/>
      <c r="E12" s="23"/>
      <c r="F12" s="23"/>
      <c r="G12" s="23"/>
      <c r="H12" s="23"/>
      <c r="I12" s="23"/>
      <c r="J12" s="13"/>
      <c r="K12" s="13"/>
      <c r="L12" s="14"/>
      <c r="M12" s="14"/>
      <c r="N12" s="13"/>
      <c r="P12" s="2"/>
      <c r="Q12" s="2"/>
    </row>
    <row r="13" customFormat="false" ht="15" hidden="false" customHeight="false" outlineLevel="0" collapsed="false">
      <c r="A13" s="19" t="s">
        <v>22</v>
      </c>
      <c r="B13" s="20" t="n">
        <f aca="false">15*12</f>
        <v>180</v>
      </c>
      <c r="C13" s="19"/>
      <c r="D13" s="20"/>
      <c r="E13" s="23"/>
      <c r="F13" s="23"/>
      <c r="G13" s="23"/>
      <c r="H13" s="23"/>
      <c r="I13" s="23"/>
      <c r="J13" s="13"/>
      <c r="K13" s="13"/>
      <c r="L13" s="14"/>
      <c r="M13" s="14"/>
      <c r="N13" s="13"/>
      <c r="P13" s="2"/>
      <c r="Q13" s="2"/>
    </row>
    <row r="14" customFormat="false" ht="15" hidden="false" customHeight="false" outlineLevel="0" collapsed="false">
      <c r="A14" s="17" t="s">
        <v>23</v>
      </c>
      <c r="B14" s="18" t="n">
        <v>1000</v>
      </c>
      <c r="C14" s="19"/>
      <c r="D14" s="19"/>
      <c r="E14" s="23"/>
      <c r="F14" s="23"/>
      <c r="G14" s="23"/>
      <c r="H14" s="23"/>
      <c r="I14" s="23"/>
      <c r="J14" s="13"/>
      <c r="K14" s="13"/>
      <c r="L14" s="14"/>
      <c r="M14" s="14"/>
      <c r="N14" s="13"/>
      <c r="P14" s="2"/>
      <c r="Q14" s="2"/>
    </row>
    <row r="15" customFormat="false" ht="15" hidden="false" customHeight="false" outlineLevel="0" collapsed="false">
      <c r="A15" s="17" t="s">
        <v>24</v>
      </c>
      <c r="B15" s="18" t="n">
        <v>10000</v>
      </c>
      <c r="C15" s="19"/>
      <c r="D15" s="19"/>
      <c r="E15" s="23"/>
      <c r="F15" s="23"/>
      <c r="G15" s="23"/>
      <c r="H15" s="23"/>
      <c r="I15" s="23"/>
      <c r="J15" s="13"/>
      <c r="K15" s="13"/>
      <c r="L15" s="14"/>
      <c r="M15" s="14"/>
      <c r="N15" s="13"/>
      <c r="P15" s="2"/>
      <c r="Q15" s="2"/>
    </row>
    <row r="16" customFormat="false" ht="15" hidden="false" customHeight="false" outlineLevel="0" collapsed="false">
      <c r="A16" s="17" t="s">
        <v>25</v>
      </c>
      <c r="B16" s="18" t="n">
        <v>2880</v>
      </c>
      <c r="C16" s="19"/>
      <c r="D16" s="19"/>
      <c r="E16" s="26"/>
      <c r="F16" s="26"/>
      <c r="G16" s="26"/>
      <c r="H16" s="26"/>
      <c r="I16" s="26"/>
      <c r="J16" s="13"/>
      <c r="K16" s="13"/>
      <c r="L16" s="14"/>
      <c r="M16" s="14"/>
      <c r="N16" s="13"/>
      <c r="P16" s="2"/>
      <c r="Q16" s="2"/>
    </row>
    <row r="17" s="3" customFormat="true" ht="15" hidden="false" customHeight="false" outlineLevel="0" collapsed="false">
      <c r="A17" s="27" t="s">
        <v>26</v>
      </c>
      <c r="B17" s="28" t="n">
        <f aca="false">SUM(B6:B16)</f>
        <v>50602.1</v>
      </c>
      <c r="C17" s="29"/>
      <c r="D17" s="30" t="n">
        <f aca="false">SUM(D6:D16)</f>
        <v>9466.66666666667</v>
      </c>
      <c r="E17" s="31" t="n">
        <f aca="false">D17/(100%-G17)</f>
        <v>63111.1111111111</v>
      </c>
      <c r="F17" s="31" t="n">
        <v>15</v>
      </c>
      <c r="G17" s="32" t="n">
        <v>0.85</v>
      </c>
      <c r="H17" s="33" t="n">
        <f aca="false">F17*G17</f>
        <v>12.75</v>
      </c>
      <c r="I17" s="28" t="n">
        <f aca="false">F17-H17</f>
        <v>2.25</v>
      </c>
      <c r="J17" s="13"/>
      <c r="K17" s="13"/>
      <c r="L17" s="14"/>
      <c r="M17" s="14"/>
      <c r="N17" s="13"/>
      <c r="P17" s="34"/>
      <c r="Q17" s="34"/>
    </row>
    <row r="18" customFormat="false" ht="15" hidden="false" customHeight="false" outlineLevel="0" collapsed="false">
      <c r="E18" s="1" t="s">
        <v>27</v>
      </c>
      <c r="F18" s="33" t="n">
        <f aca="false">F17/12</f>
        <v>1.25</v>
      </c>
      <c r="I18" s="13"/>
      <c r="J18" s="13"/>
      <c r="K18" s="13"/>
      <c r="L18" s="14"/>
      <c r="M18" s="14"/>
      <c r="N18" s="13"/>
      <c r="O18" s="13"/>
      <c r="P18" s="13"/>
    </row>
    <row r="19" customFormat="false" ht="15" hidden="false" customHeight="false" outlineLevel="0" collapsed="false">
      <c r="A19" s="35" t="s">
        <v>28</v>
      </c>
      <c r="B19" s="36"/>
      <c r="C19" s="37"/>
      <c r="E19" s="38" t="s">
        <v>29</v>
      </c>
      <c r="F19" s="39" t="n">
        <f aca="false">F18*1.21</f>
        <v>1.5125</v>
      </c>
      <c r="G19" s="13"/>
      <c r="I19" s="13"/>
      <c r="J19" s="13"/>
      <c r="K19" s="13"/>
      <c r="L19" s="13"/>
      <c r="M19" s="13"/>
      <c r="N19" s="14"/>
      <c r="O19" s="14"/>
      <c r="P19" s="13"/>
      <c r="Q19" s="13"/>
      <c r="R19" s="13"/>
    </row>
    <row r="20" customFormat="false" ht="15" hidden="false" customHeight="false" outlineLevel="0" collapsed="false">
      <c r="A20" s="40" t="s">
        <v>30</v>
      </c>
      <c r="B20" s="41"/>
      <c r="C20" s="42"/>
      <c r="K20" s="13"/>
      <c r="L20" s="13"/>
      <c r="M20" s="13"/>
      <c r="N20" s="13"/>
      <c r="O20" s="13"/>
      <c r="P20" s="13"/>
      <c r="Q20" s="13"/>
      <c r="R20" s="13"/>
    </row>
    <row r="21" customFormat="false" ht="15" hidden="false" customHeight="false" outlineLevel="0" collapsed="false">
      <c r="K21" s="13"/>
      <c r="L21" s="13"/>
      <c r="M21" s="13"/>
      <c r="N21" s="13"/>
      <c r="O21" s="13"/>
      <c r="P21" s="13"/>
      <c r="Q21" s="13"/>
      <c r="R21" s="13"/>
    </row>
    <row r="22" customFormat="false" ht="15" hidden="false" customHeight="false" outlineLevel="0" collapsed="false">
      <c r="F22" s="43"/>
      <c r="G22" s="43"/>
      <c r="K22" s="13"/>
      <c r="L22" s="13"/>
      <c r="M22" s="13"/>
      <c r="N22" s="13"/>
      <c r="O22" s="13"/>
      <c r="P22" s="13"/>
      <c r="Q22" s="13"/>
      <c r="R22" s="13"/>
    </row>
    <row r="23" customFormat="false" ht="30.75" hidden="false" customHeight="false" outlineLevel="0" collapsed="false">
      <c r="A23" s="8" t="s">
        <v>31</v>
      </c>
      <c r="B23" s="8" t="s">
        <v>32</v>
      </c>
      <c r="F23" s="43"/>
      <c r="G23" s="43"/>
      <c r="K23" s="13"/>
      <c r="L23" s="13"/>
      <c r="M23" s="13"/>
      <c r="N23" s="13"/>
      <c r="O23" s="13"/>
      <c r="P23" s="13"/>
      <c r="Q23" s="13"/>
      <c r="R23" s="13"/>
    </row>
    <row r="24" customFormat="false" ht="15" hidden="false" customHeight="false" outlineLevel="0" collapsed="false">
      <c r="A24" s="29" t="n">
        <f aca="false">F17</f>
        <v>15</v>
      </c>
      <c r="B24" s="29" t="n">
        <f aca="false">I17</f>
        <v>2.25</v>
      </c>
      <c r="F24" s="43"/>
      <c r="G24" s="43"/>
      <c r="K24" s="13"/>
      <c r="L24" s="13"/>
      <c r="M24" s="13"/>
      <c r="N24" s="13"/>
      <c r="O24" s="13"/>
      <c r="P24" s="13"/>
      <c r="Q24" s="13"/>
      <c r="R24" s="13"/>
    </row>
    <row r="25" customFormat="false" ht="15" hidden="false" customHeight="false" outlineLevel="0" collapsed="false">
      <c r="F25" s="13"/>
      <c r="G25" s="13"/>
      <c r="H25" s="3"/>
      <c r="I25" s="43"/>
      <c r="J25" s="43"/>
      <c r="K25" s="13"/>
      <c r="L25" s="13"/>
      <c r="M25" s="13"/>
      <c r="N25" s="13"/>
      <c r="O25" s="13"/>
      <c r="P25" s="13"/>
      <c r="Q25" s="13"/>
      <c r="R25" s="13"/>
    </row>
    <row r="26" customFormat="false" ht="15" hidden="false" customHeight="false" outlineLevel="0" collapsed="false"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customFormat="false" ht="27" hidden="false" customHeight="true" outlineLevel="0" collapsed="false">
      <c r="A27" s="44" t="s">
        <v>33</v>
      </c>
      <c r="B27" s="45"/>
      <c r="C27" s="45"/>
      <c r="D27" s="45"/>
      <c r="E27" s="45"/>
      <c r="F27" s="46"/>
      <c r="H27" s="13"/>
    </row>
    <row r="29" customFormat="false" ht="15" hidden="false" customHeight="false" outlineLevel="0" collapsed="false">
      <c r="A29" s="1" t="s">
        <v>34</v>
      </c>
    </row>
    <row r="31" customFormat="false" ht="15" hidden="false" customHeight="false" outlineLevel="0" collapsed="false">
      <c r="A31" s="3" t="s">
        <v>35</v>
      </c>
    </row>
    <row r="32" customFormat="false" ht="15" hidden="false" customHeight="false" outlineLevel="0" collapsed="false">
      <c r="B32" s="3" t="s">
        <v>36</v>
      </c>
    </row>
    <row r="33" customFormat="false" ht="20.25" hidden="false" customHeight="true" outlineLevel="0" collapsed="false">
      <c r="A33" s="47" t="s">
        <v>37</v>
      </c>
      <c r="B33" s="48" t="n">
        <f aca="false">B17/(F17-I17)</f>
        <v>3968.79215686275</v>
      </c>
      <c r="C33" s="49" t="s">
        <v>38</v>
      </c>
      <c r="D33" s="50"/>
      <c r="E33" s="50"/>
      <c r="F33" s="51"/>
      <c r="G33" s="52"/>
      <c r="H33" s="53"/>
    </row>
    <row r="34" customFormat="false" ht="15" hidden="false" customHeight="false" outlineLevel="0" collapsed="false">
      <c r="C34" s="54" t="s">
        <v>39</v>
      </c>
      <c r="H34" s="55"/>
    </row>
    <row r="35" customFormat="false" ht="15" hidden="false" customHeight="false" outlineLevel="0" collapsed="false">
      <c r="C35" s="56" t="s">
        <v>40</v>
      </c>
      <c r="D35" s="57"/>
      <c r="E35" s="57"/>
      <c r="F35" s="57"/>
      <c r="G35" s="57"/>
      <c r="H35" s="58"/>
    </row>
    <row r="38" customFormat="false" ht="15" hidden="false" customHeight="false" outlineLevel="0" collapsed="false">
      <c r="A38" s="59" t="s">
        <v>41</v>
      </c>
      <c r="B38" s="36"/>
      <c r="C38" s="37"/>
      <c r="F38" s="60"/>
    </row>
    <row r="39" customFormat="false" ht="15" hidden="false" customHeight="false" outlineLevel="0" collapsed="false">
      <c r="A39" s="61"/>
      <c r="C39" s="62"/>
    </row>
    <row r="40" customFormat="false" ht="15" hidden="false" customHeight="false" outlineLevel="0" collapsed="false">
      <c r="A40" s="61" t="s">
        <v>42</v>
      </c>
      <c r="C40" s="63" t="n">
        <f aca="false">F17*B33</f>
        <v>59531.8823529412</v>
      </c>
      <c r="D40" s="1" t="s">
        <v>43</v>
      </c>
    </row>
    <row r="41" customFormat="false" ht="15" hidden="false" customHeight="false" outlineLevel="0" collapsed="false">
      <c r="A41" s="40" t="s">
        <v>44</v>
      </c>
      <c r="B41" s="41"/>
      <c r="C41" s="64" t="n">
        <f aca="false">B17+I17*B33</f>
        <v>59531.8823529412</v>
      </c>
      <c r="D41" s="1" t="s">
        <v>45</v>
      </c>
    </row>
    <row r="42" customFormat="false" ht="15" hidden="false" customHeight="false" outlineLevel="0" collapsed="false">
      <c r="C42" s="13"/>
    </row>
    <row r="43" customFormat="false" ht="15" hidden="false" customHeight="false" outlineLevel="0" collapsed="false">
      <c r="C43" s="13"/>
    </row>
    <row r="45" customFormat="false" ht="15" hidden="false" customHeight="false" outlineLevel="0" collapsed="false">
      <c r="A45" s="65" t="s">
        <v>46</v>
      </c>
    </row>
    <row r="46" customFormat="false" ht="15" hidden="false" customHeight="false" outlineLevel="0" collapsed="false">
      <c r="A46" s="66" t="s">
        <v>47</v>
      </c>
      <c r="B46" s="46"/>
      <c r="C46" s="46"/>
      <c r="D46" s="46"/>
      <c r="E46" s="46"/>
      <c r="F46" s="46"/>
    </row>
    <row r="47" customFormat="false" ht="15" hidden="false" customHeight="false" outlineLevel="0" collapsed="false">
      <c r="A47" s="46"/>
      <c r="B47" s="66" t="s">
        <v>48</v>
      </c>
      <c r="C47" s="46"/>
      <c r="D47" s="46"/>
      <c r="E47" s="46"/>
      <c r="F47" s="46"/>
    </row>
    <row r="48" customFormat="false" ht="15" hidden="false" customHeight="false" outlineLevel="0" collapsed="false">
      <c r="B48" s="3"/>
    </row>
    <row r="49" customFormat="false" ht="15" hidden="false" customHeight="false" outlineLevel="0" collapsed="false">
      <c r="A49" s="3" t="s">
        <v>49</v>
      </c>
    </row>
    <row r="52" customFormat="false" ht="15" hidden="false" customHeight="false" outlineLevel="0" collapsed="false">
      <c r="A52" s="67" t="s">
        <v>50</v>
      </c>
      <c r="B52" s="68"/>
      <c r="C52" s="68"/>
      <c r="D52" s="69" t="n">
        <f aca="false">-B17</f>
        <v>-50602.1</v>
      </c>
    </row>
    <row r="54" s="1" customFormat="true" ht="15" hidden="false" customHeight="false" outlineLevel="0" collapsed="false">
      <c r="B54" s="70" t="s">
        <v>51</v>
      </c>
      <c r="G54" s="2"/>
      <c r="H54" s="2"/>
    </row>
    <row r="55" customFormat="false" ht="63.75" hidden="false" customHeight="true" outlineLevel="0" collapsed="false">
      <c r="A55" s="71"/>
      <c r="B55" s="72" t="s">
        <v>52</v>
      </c>
      <c r="C55" s="73" t="s">
        <v>53</v>
      </c>
      <c r="D55" s="74" t="s">
        <v>54</v>
      </c>
      <c r="E55" s="74" t="s">
        <v>55</v>
      </c>
      <c r="G55" s="75"/>
      <c r="H55" s="75"/>
      <c r="I55" s="76"/>
      <c r="J55" s="76"/>
      <c r="K55" s="76"/>
      <c r="L55" s="76"/>
    </row>
    <row r="56" s="1" customFormat="true" ht="15" hidden="false" customHeight="false" outlineLevel="0" collapsed="false">
      <c r="A56" s="77" t="s">
        <v>56</v>
      </c>
      <c r="B56" s="13" t="n">
        <f aca="false">D52</f>
        <v>-50602.1</v>
      </c>
      <c r="C56" s="77"/>
      <c r="D56" s="33" t="n">
        <f aca="false">B56</f>
        <v>-50602.1</v>
      </c>
      <c r="E56" s="33" t="n">
        <f aca="false">-B17-D17</f>
        <v>-60068.7666666667</v>
      </c>
      <c r="G56" s="2"/>
      <c r="H56" s="2"/>
    </row>
    <row r="57" s="1" customFormat="true" ht="15" hidden="false" customHeight="false" outlineLevel="0" collapsed="false">
      <c r="A57" s="77" t="s">
        <v>57</v>
      </c>
      <c r="B57" s="33" t="n">
        <f aca="false">C57*$F$17-($B$17+$I$17*C57)</f>
        <v>484897.9</v>
      </c>
      <c r="C57" s="78" t="n">
        <v>42000</v>
      </c>
      <c r="D57" s="33" t="n">
        <f aca="false">C57*$F$17</f>
        <v>630000</v>
      </c>
      <c r="E57" s="33" t="n">
        <f aca="false">-($B$17+C57*$I$17)</f>
        <v>-145102.1</v>
      </c>
      <c r="F57" s="60" t="n">
        <f aca="false">D57+E57</f>
        <v>484897.9</v>
      </c>
      <c r="G57" s="2"/>
      <c r="H57" s="2"/>
    </row>
    <row r="58" s="76" customFormat="true" ht="15" hidden="false" customHeight="false" outlineLevel="0" collapsed="false">
      <c r="A58" s="77" t="s">
        <v>58</v>
      </c>
      <c r="B58" s="33" t="n">
        <f aca="false">C58*$F$17-($B$17+$I$17*C58)</f>
        <v>586897.9</v>
      </c>
      <c r="C58" s="78" t="n">
        <v>50000</v>
      </c>
      <c r="D58" s="33" t="n">
        <f aca="false">C58*$F$17</f>
        <v>750000</v>
      </c>
      <c r="E58" s="33" t="n">
        <f aca="false">-($B$17+C58*$I$17)</f>
        <v>-163102.1</v>
      </c>
      <c r="F58" s="60" t="n">
        <f aca="false">D58+E58</f>
        <v>586897.9</v>
      </c>
      <c r="G58" s="2"/>
      <c r="H58" s="2"/>
      <c r="I58" s="1"/>
      <c r="J58" s="1"/>
      <c r="K58" s="1"/>
      <c r="L58" s="1"/>
    </row>
    <row r="59" s="1" customFormat="true" ht="15" hidden="false" customHeight="false" outlineLevel="0" collapsed="false">
      <c r="A59" s="77" t="s">
        <v>59</v>
      </c>
      <c r="B59" s="33" t="n">
        <f aca="false">C59*$F$17-($B$17+$I$17*C59)</f>
        <v>714397.9</v>
      </c>
      <c r="C59" s="78" t="n">
        <v>60000</v>
      </c>
      <c r="D59" s="33" t="n">
        <f aca="false">C59*$F$17</f>
        <v>900000</v>
      </c>
      <c r="E59" s="33" t="n">
        <f aca="false">-($B$17+C59*$I$17)</f>
        <v>-185602.1</v>
      </c>
      <c r="H59" s="2"/>
    </row>
    <row r="60" s="1" customFormat="true" ht="15" hidden="false" customHeight="false" outlineLevel="0" collapsed="false">
      <c r="A60" s="79" t="s">
        <v>60</v>
      </c>
      <c r="B60" s="80" t="n">
        <f aca="false">C60*$F$17-($B$17+$I$17*C60)</f>
        <v>841897.9</v>
      </c>
      <c r="C60" s="81" t="n">
        <v>70000</v>
      </c>
      <c r="D60" s="80" t="n">
        <f aca="false">C60*$F$17</f>
        <v>1050000</v>
      </c>
      <c r="E60" s="33" t="n">
        <f aca="false">-($B$17+C60*$I$17)</f>
        <v>-208102.1</v>
      </c>
      <c r="F60" s="82" t="s">
        <v>61</v>
      </c>
      <c r="G60" s="83"/>
      <c r="H60" s="83"/>
      <c r="I60" s="84"/>
    </row>
    <row r="61" s="1" customFormat="true" ht="15" hidden="false" customHeight="false" outlineLevel="0" collapsed="false">
      <c r="A61" s="77" t="s">
        <v>62</v>
      </c>
      <c r="B61" s="33" t="n">
        <f aca="false">C61*$F$17-($B$17+$I$17*C61)</f>
        <v>841910.65</v>
      </c>
      <c r="C61" s="81" t="n">
        <v>70001</v>
      </c>
      <c r="D61" s="33" t="n">
        <f aca="false">C61*$F$17</f>
        <v>1050015</v>
      </c>
      <c r="E61" s="33" t="n">
        <f aca="false">-($B$17+C61*$I$17)</f>
        <v>-208104.35</v>
      </c>
      <c r="H61" s="2"/>
    </row>
    <row r="62" s="1" customFormat="true" ht="15" hidden="false" customHeight="false" outlineLevel="0" collapsed="false">
      <c r="A62" s="77" t="s">
        <v>63</v>
      </c>
      <c r="B62" s="33" t="n">
        <f aca="false">C62*$F$17-($B$17+$I$17*C62)</f>
        <v>841923.4</v>
      </c>
      <c r="C62" s="81" t="n">
        <v>70002</v>
      </c>
      <c r="D62" s="33" t="n">
        <f aca="false">C62*$F$17</f>
        <v>1050030</v>
      </c>
      <c r="E62" s="33" t="n">
        <f aca="false">-($B$17+C62*$I$17)</f>
        <v>-208106.6</v>
      </c>
      <c r="H62" s="2"/>
    </row>
    <row r="63" s="1" customFormat="true" ht="15" hidden="false" customHeight="false" outlineLevel="0" collapsed="false">
      <c r="A63" s="77" t="s">
        <v>64</v>
      </c>
      <c r="B63" s="33" t="n">
        <f aca="false">C63*$F$17-($B$17+$I$17*C63)</f>
        <v>841936.15</v>
      </c>
      <c r="C63" s="81" t="n">
        <v>70003</v>
      </c>
      <c r="D63" s="33" t="n">
        <f aca="false">C63*$F$17</f>
        <v>1050045</v>
      </c>
      <c r="E63" s="33" t="n">
        <f aca="false">-($B$17+C63*$I$17)</f>
        <v>-208108.85</v>
      </c>
      <c r="F63" s="82" t="s">
        <v>65</v>
      </c>
      <c r="G63" s="84"/>
      <c r="H63" s="83"/>
      <c r="I63" s="84"/>
    </row>
    <row r="64" s="1" customFormat="true" ht="15" hidden="false" customHeight="false" outlineLevel="0" collapsed="false">
      <c r="A64" s="77" t="s">
        <v>66</v>
      </c>
      <c r="B64" s="33" t="n">
        <f aca="false">C64*$F$17-($B$17+$I$17*C64)</f>
        <v>841948.9</v>
      </c>
      <c r="C64" s="81" t="n">
        <v>70004</v>
      </c>
      <c r="D64" s="33" t="n">
        <f aca="false">C64*$F$17</f>
        <v>1050060</v>
      </c>
      <c r="E64" s="33" t="n">
        <f aca="false">-($B$17+C64*$I$17)</f>
        <v>-208111.1</v>
      </c>
      <c r="F64" s="82" t="s">
        <v>67</v>
      </c>
      <c r="G64" s="83"/>
      <c r="H64" s="83"/>
      <c r="I64" s="84"/>
    </row>
    <row r="65" s="1" customFormat="true" ht="15" hidden="false" customHeight="false" outlineLevel="0" collapsed="false">
      <c r="A65" s="77" t="s">
        <v>68</v>
      </c>
      <c r="B65" s="33" t="n">
        <f aca="false">C65*$F$17-($B$17+$I$17*C65)</f>
        <v>841961.65</v>
      </c>
      <c r="C65" s="81" t="n">
        <v>70005</v>
      </c>
      <c r="D65" s="33" t="n">
        <f aca="false">C65*$F$17</f>
        <v>1050075</v>
      </c>
      <c r="E65" s="33" t="n">
        <f aca="false">-($B$17+C65*$I$17)</f>
        <v>-208113.35</v>
      </c>
      <c r="F65" s="85" t="n">
        <f aca="false">SUM(B56:B59)</f>
        <v>1735591.6</v>
      </c>
      <c r="G65" s="83"/>
      <c r="H65" s="83"/>
      <c r="I65" s="84"/>
    </row>
    <row r="66" s="1" customFormat="true" ht="15" hidden="false" customHeight="false" outlineLevel="0" collapsed="false">
      <c r="A66" s="79" t="s">
        <v>69</v>
      </c>
      <c r="B66" s="80" t="n">
        <f aca="false">C66*$F$17-($B$17+$I$17*C66)</f>
        <v>841974.4</v>
      </c>
      <c r="C66" s="81" t="n">
        <v>70006</v>
      </c>
      <c r="D66" s="80" t="n">
        <f aca="false">C66*$F$17</f>
        <v>1050090</v>
      </c>
      <c r="E66" s="33" t="n">
        <f aca="false">-($B$17+C66*$I$17)</f>
        <v>-208115.6</v>
      </c>
      <c r="F66" s="86" t="s">
        <v>70</v>
      </c>
      <c r="G66" s="83"/>
      <c r="H66" s="83"/>
      <c r="I66" s="84"/>
    </row>
    <row r="67" s="1" customFormat="true" ht="15" hidden="false" customHeight="false" outlineLevel="0" collapsed="false">
      <c r="A67" s="77" t="s">
        <v>71</v>
      </c>
      <c r="B67" s="33" t="n">
        <f aca="false">C67*$F$17-($B$17+$I$17*C67)</f>
        <v>841987.15</v>
      </c>
      <c r="C67" s="81" t="n">
        <v>70007</v>
      </c>
      <c r="D67" s="33" t="n">
        <f aca="false">C67*$F$17</f>
        <v>1050105</v>
      </c>
      <c r="E67" s="33" t="n">
        <f aca="false">-($B$17+C67*$I$17)</f>
        <v>-208117.85</v>
      </c>
      <c r="F67" s="13"/>
      <c r="G67" s="2"/>
      <c r="H67" s="2"/>
    </row>
    <row r="68" s="1" customFormat="true" ht="15" hidden="false" customHeight="false" outlineLevel="0" collapsed="false">
      <c r="A68" s="77" t="s">
        <v>72</v>
      </c>
      <c r="B68" s="33" t="n">
        <f aca="false">C68*$F$17-($B$17+$I$17*C68)</f>
        <v>841999.9</v>
      </c>
      <c r="C68" s="81" t="n">
        <v>70008</v>
      </c>
      <c r="D68" s="33" t="n">
        <f aca="false">C68*$F$17</f>
        <v>1050120</v>
      </c>
      <c r="E68" s="33" t="n">
        <f aca="false">-($B$17+C68*$I$17)</f>
        <v>-208120.1</v>
      </c>
      <c r="F68" s="13"/>
      <c r="G68" s="2"/>
      <c r="H68" s="2"/>
    </row>
    <row r="69" s="1" customFormat="true" ht="15" hidden="false" customHeight="false" outlineLevel="0" collapsed="false">
      <c r="A69" s="77" t="s">
        <v>73</v>
      </c>
      <c r="B69" s="33" t="n">
        <f aca="false">C69*$F$17-($B$17+$I$17*C69)</f>
        <v>842012.65</v>
      </c>
      <c r="C69" s="81" t="n">
        <v>70009</v>
      </c>
      <c r="D69" s="33" t="n">
        <f aca="false">C69*$F$17</f>
        <v>1050135</v>
      </c>
      <c r="E69" s="33" t="n">
        <f aca="false">-($B$17+C69*$I$17)</f>
        <v>-208122.35</v>
      </c>
      <c r="F69" s="13"/>
      <c r="G69" s="2"/>
      <c r="H69" s="2"/>
    </row>
    <row r="70" s="1" customFormat="true" ht="15" hidden="false" customHeight="false" outlineLevel="0" collapsed="false">
      <c r="E70" s="13"/>
      <c r="F70" s="13"/>
      <c r="G70" s="2"/>
      <c r="H70" s="2"/>
    </row>
    <row r="71" s="1" customFormat="true" ht="15" hidden="false" customHeight="false" outlineLevel="0" collapsed="false">
      <c r="E71" s="13"/>
      <c r="F71" s="13"/>
      <c r="G71" s="2"/>
      <c r="H71" s="2"/>
    </row>
    <row r="72" s="1" customFormat="true" ht="30.75" hidden="false" customHeight="false" outlineLevel="0" collapsed="false">
      <c r="A72" s="87"/>
      <c r="B72" s="73" t="s">
        <v>74</v>
      </c>
      <c r="C72" s="60"/>
      <c r="E72" s="13"/>
      <c r="F72" s="13"/>
      <c r="G72" s="2"/>
      <c r="H72" s="2"/>
    </row>
    <row r="73" s="1" customFormat="true" ht="15" hidden="false" customHeight="false" outlineLevel="0" collapsed="false">
      <c r="A73" s="77" t="s">
        <v>56</v>
      </c>
      <c r="B73" s="33" t="n">
        <f aca="false">B56</f>
        <v>-50602.1</v>
      </c>
      <c r="C73" s="60"/>
      <c r="E73" s="13"/>
      <c r="F73" s="13"/>
      <c r="G73" s="2"/>
      <c r="H73" s="2"/>
    </row>
    <row r="74" s="1" customFormat="true" ht="15" hidden="false" customHeight="false" outlineLevel="0" collapsed="false">
      <c r="A74" s="77" t="s">
        <v>75</v>
      </c>
      <c r="B74" s="88" t="n">
        <f aca="false">B73+B57</f>
        <v>434295.8</v>
      </c>
      <c r="C74" s="60" t="s">
        <v>76</v>
      </c>
      <c r="E74" s="13"/>
      <c r="F74" s="13"/>
      <c r="G74" s="2"/>
      <c r="H74" s="2"/>
    </row>
    <row r="75" s="1" customFormat="true" ht="15" hidden="false" customHeight="false" outlineLevel="0" collapsed="false">
      <c r="A75" s="77" t="s">
        <v>77</v>
      </c>
      <c r="B75" s="88" t="n">
        <f aca="false">B74+B58</f>
        <v>1021193.7</v>
      </c>
      <c r="C75" s="60" t="s">
        <v>78</v>
      </c>
      <c r="E75" s="13"/>
      <c r="F75" s="13"/>
      <c r="G75" s="2"/>
      <c r="H75" s="2"/>
    </row>
    <row r="76" s="1" customFormat="true" ht="15" hidden="false" customHeight="false" outlineLevel="0" collapsed="false">
      <c r="A76" s="79" t="s">
        <v>59</v>
      </c>
      <c r="B76" s="88" t="n">
        <f aca="false">B75+B59</f>
        <v>1735591.6</v>
      </c>
      <c r="C76" s="89" t="s">
        <v>79</v>
      </c>
      <c r="D76" s="84"/>
      <c r="E76" s="13"/>
      <c r="F76" s="13"/>
      <c r="G76" s="2"/>
      <c r="H76" s="2"/>
    </row>
    <row r="77" s="1" customFormat="true" ht="15" hidden="false" customHeight="false" outlineLevel="0" collapsed="false">
      <c r="A77" s="77" t="s">
        <v>60</v>
      </c>
      <c r="B77" s="88" t="n">
        <f aca="false">B76+B60</f>
        <v>2577489.5</v>
      </c>
      <c r="C77" s="60" t="s">
        <v>80</v>
      </c>
      <c r="E77" s="13"/>
      <c r="F77" s="13"/>
      <c r="G77" s="2"/>
      <c r="H77" s="2"/>
    </row>
    <row r="78" s="1" customFormat="true" ht="15" hidden="false" customHeight="false" outlineLevel="0" collapsed="false">
      <c r="A78" s="77" t="s">
        <v>62</v>
      </c>
      <c r="B78" s="88" t="n">
        <f aca="false">B77+B61</f>
        <v>3419400.15</v>
      </c>
      <c r="G78" s="2"/>
      <c r="H78" s="2"/>
    </row>
    <row r="79" s="1" customFormat="true" ht="15" hidden="false" customHeight="false" outlineLevel="0" collapsed="false">
      <c r="A79" s="77" t="s">
        <v>63</v>
      </c>
      <c r="B79" s="88" t="n">
        <f aca="false">B78+B62</f>
        <v>4261323.55</v>
      </c>
      <c r="C79" s="70"/>
      <c r="D79" s="2"/>
      <c r="E79" s="2"/>
      <c r="F79" s="2"/>
      <c r="G79" s="2"/>
      <c r="H79" s="2"/>
    </row>
    <row r="80" s="1" customFormat="true" ht="15" hidden="false" customHeight="false" outlineLevel="0" collapsed="false">
      <c r="A80" s="77" t="s">
        <v>64</v>
      </c>
      <c r="B80" s="88" t="n">
        <f aca="false">B79+B63</f>
        <v>5103259.7</v>
      </c>
      <c r="D80" s="2"/>
      <c r="E80" s="2"/>
      <c r="F80" s="2"/>
      <c r="G80" s="2"/>
      <c r="H80" s="2"/>
    </row>
    <row r="81" s="1" customFormat="true" ht="18" hidden="false" customHeight="false" outlineLevel="0" collapsed="false">
      <c r="A81" s="77" t="s">
        <v>66</v>
      </c>
      <c r="B81" s="88" t="n">
        <f aca="false">B80+B64</f>
        <v>5945208.6</v>
      </c>
      <c r="C81" s="90"/>
      <c r="D81" s="2"/>
      <c r="E81" s="2"/>
      <c r="F81" s="2"/>
      <c r="G81" s="2"/>
      <c r="H81" s="2"/>
    </row>
    <row r="82" s="1" customFormat="true" ht="15" hidden="false" customHeight="false" outlineLevel="0" collapsed="false">
      <c r="A82" s="77" t="s">
        <v>68</v>
      </c>
      <c r="B82" s="88" t="n">
        <f aca="false">B81+B65</f>
        <v>6787170.25</v>
      </c>
      <c r="C82" s="70"/>
      <c r="G82" s="2"/>
      <c r="H82" s="2"/>
    </row>
    <row r="83" s="1" customFormat="true" ht="15" hidden="false" customHeight="false" outlineLevel="0" collapsed="false">
      <c r="A83" s="77" t="s">
        <v>69</v>
      </c>
      <c r="B83" s="88" t="n">
        <f aca="false">B82+B66</f>
        <v>7629144.65</v>
      </c>
      <c r="G83" s="2"/>
      <c r="H83" s="2"/>
    </row>
    <row r="84" s="1" customFormat="true" ht="15" hidden="false" customHeight="false" outlineLevel="0" collapsed="false">
      <c r="A84" s="77" t="s">
        <v>71</v>
      </c>
      <c r="B84" s="88" t="n">
        <f aca="false">B83+B67</f>
        <v>8471131.8</v>
      </c>
      <c r="G84" s="2"/>
      <c r="H84" s="2"/>
    </row>
    <row r="85" s="1" customFormat="true" ht="15" hidden="false" customHeight="false" outlineLevel="0" collapsed="false">
      <c r="B85" s="91"/>
      <c r="G85" s="2"/>
      <c r="H85" s="2"/>
    </row>
    <row r="86" s="1" customFormat="true" ht="15" hidden="false" customHeight="false" outlineLevel="0" collapsed="false">
      <c r="G86" s="2"/>
      <c r="H86" s="2"/>
    </row>
    <row r="87" s="1" customFormat="true" ht="30.75" hidden="false" customHeight="false" outlineLevel="0" collapsed="false">
      <c r="A87" s="92" t="s">
        <v>81</v>
      </c>
      <c r="B87" s="93" t="s">
        <v>82</v>
      </c>
      <c r="G87" s="2"/>
      <c r="H87" s="2"/>
    </row>
    <row r="88" s="1" customFormat="true" ht="15" hidden="false" customHeight="false" outlineLevel="0" collapsed="false">
      <c r="A88" s="77" t="s">
        <v>56</v>
      </c>
      <c r="B88" s="33" t="n">
        <f aca="false">B56</f>
        <v>-50602.1</v>
      </c>
      <c r="G88" s="2"/>
      <c r="H88" s="2"/>
    </row>
    <row r="89" s="1" customFormat="true" ht="19.5" hidden="false" customHeight="true" outlineLevel="0" collapsed="false">
      <c r="A89" s="77" t="s">
        <v>75</v>
      </c>
      <c r="B89" s="33" t="n">
        <f aca="false">B88+B57</f>
        <v>434295.8</v>
      </c>
      <c r="E89" s="94"/>
      <c r="G89" s="2"/>
      <c r="H89" s="2"/>
    </row>
    <row r="90" s="1" customFormat="true" ht="18" hidden="false" customHeight="false" outlineLevel="0" collapsed="false">
      <c r="A90" s="77" t="s">
        <v>77</v>
      </c>
      <c r="B90" s="33" t="n">
        <f aca="false">B89+B58</f>
        <v>1021193.7</v>
      </c>
      <c r="C90" s="90"/>
      <c r="E90" s="94"/>
      <c r="G90" s="2"/>
      <c r="H90" s="2"/>
    </row>
    <row r="91" s="1" customFormat="true" ht="18" hidden="false" customHeight="false" outlineLevel="0" collapsed="false">
      <c r="A91" s="77" t="s">
        <v>59</v>
      </c>
      <c r="B91" s="33" t="n">
        <f aca="false">B90+B59</f>
        <v>1735591.6</v>
      </c>
      <c r="C91" s="90"/>
      <c r="E91" s="94"/>
      <c r="G91" s="2"/>
      <c r="H91" s="2"/>
    </row>
    <row r="92" s="1" customFormat="true" ht="18" hidden="false" customHeight="false" outlineLevel="0" collapsed="false">
      <c r="A92" s="77" t="s">
        <v>60</v>
      </c>
      <c r="B92" s="33" t="n">
        <f aca="false">B91+B60</f>
        <v>2577489.5</v>
      </c>
      <c r="C92" s="90"/>
      <c r="E92" s="94"/>
      <c r="G92" s="2"/>
      <c r="H92" s="2"/>
    </row>
    <row r="93" s="95" customFormat="true" ht="18" hidden="false" customHeight="false" outlineLevel="0" collapsed="false">
      <c r="A93" s="77" t="s">
        <v>62</v>
      </c>
      <c r="B93" s="33" t="n">
        <f aca="false">B92+B61</f>
        <v>3419400.15</v>
      </c>
      <c r="C93" s="90"/>
      <c r="D93" s="1"/>
      <c r="K93" s="96"/>
      <c r="L93" s="96"/>
    </row>
    <row r="94" s="95" customFormat="true" ht="18" hidden="false" customHeight="false" outlineLevel="0" collapsed="false">
      <c r="A94" s="77" t="s">
        <v>63</v>
      </c>
      <c r="B94" s="33" t="n">
        <f aca="false">B93+B62</f>
        <v>4261323.55</v>
      </c>
      <c r="C94" s="90"/>
      <c r="D94" s="1"/>
      <c r="K94" s="96"/>
      <c r="L94" s="96"/>
    </row>
    <row r="95" s="95" customFormat="true" ht="18" hidden="false" customHeight="false" outlineLevel="0" collapsed="false">
      <c r="A95" s="77" t="s">
        <v>64</v>
      </c>
      <c r="B95" s="33" t="n">
        <f aca="false">B94+B63</f>
        <v>5103259.7</v>
      </c>
      <c r="C95" s="90"/>
      <c r="D95" s="1"/>
      <c r="K95" s="96"/>
      <c r="L95" s="96"/>
    </row>
    <row r="96" s="95" customFormat="true" ht="18" hidden="false" customHeight="false" outlineLevel="0" collapsed="false">
      <c r="A96" s="79" t="s">
        <v>66</v>
      </c>
      <c r="B96" s="80" t="n">
        <f aca="false">B95+B64</f>
        <v>5945208.6</v>
      </c>
      <c r="C96" s="90" t="s">
        <v>83</v>
      </c>
      <c r="D96" s="1"/>
      <c r="K96" s="96"/>
      <c r="L96" s="96"/>
    </row>
    <row r="97" s="95" customFormat="true" ht="18" hidden="false" customHeight="false" outlineLevel="0" collapsed="false">
      <c r="A97" s="77" t="s">
        <v>68</v>
      </c>
      <c r="B97" s="33" t="n">
        <f aca="false">B96+B65</f>
        <v>6787170.25</v>
      </c>
      <c r="C97" s="90"/>
      <c r="D97" s="1"/>
      <c r="K97" s="96"/>
      <c r="L97" s="96"/>
    </row>
    <row r="98" s="95" customFormat="true" ht="15" hidden="false" customHeight="false" outlineLevel="0" collapsed="false">
      <c r="A98" s="77" t="s">
        <v>69</v>
      </c>
      <c r="B98" s="33" t="n">
        <f aca="false">B97+B66</f>
        <v>7629144.65</v>
      </c>
      <c r="D98" s="1"/>
      <c r="E98" s="1"/>
      <c r="F98" s="1"/>
      <c r="G98" s="1"/>
      <c r="H98" s="1"/>
      <c r="I98" s="1"/>
      <c r="J98" s="1"/>
      <c r="K98" s="2"/>
      <c r="L98" s="2"/>
      <c r="M98" s="1"/>
      <c r="N98" s="1"/>
      <c r="O98" s="1"/>
      <c r="P98" s="1"/>
      <c r="Q98" s="1"/>
      <c r="R98" s="1"/>
    </row>
    <row r="99" customFormat="false" ht="18" hidden="false" customHeight="false" outlineLevel="0" collapsed="false">
      <c r="A99" s="77" t="s">
        <v>71</v>
      </c>
      <c r="B99" s="33" t="n">
        <f aca="false">B98+B67</f>
        <v>8471131.8</v>
      </c>
      <c r="C99" s="90"/>
    </row>
    <row r="100" customFormat="false" ht="18" hidden="false" customHeight="false" outlineLevel="0" collapsed="false">
      <c r="A100" s="13"/>
      <c r="B100" s="13"/>
      <c r="C100" s="90"/>
      <c r="D100" s="90"/>
      <c r="E100" s="90"/>
      <c r="F100" s="90"/>
    </row>
    <row r="101" customFormat="false" ht="18" hidden="false" customHeight="false" outlineLevel="0" collapsed="false">
      <c r="C101" s="90"/>
      <c r="D101" s="90"/>
      <c r="E101" s="90"/>
      <c r="F101" s="90"/>
    </row>
  </sheetData>
  <mergeCells count="2">
    <mergeCell ref="A5:B5"/>
    <mergeCell ref="C5:D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2024-02-09T07:52:11Z</dcterms:created>
  <dc:creator>Daniel Buján</dc:creator>
  <dc:description/>
  <dc:language>es-ES</dc:language>
  <cp:lastModifiedBy/>
  <cp:lastPrinted>2024-02-14T08:31:53Z</cp:lastPrinted>
  <dcterms:modified xsi:type="dcterms:W3CDTF">2024-12-02T16:17:59Z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