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Rafae\Documents\Proyectos\TFM_GRUPO5\"/>
    </mc:Choice>
  </mc:AlternateContent>
  <xr:revisionPtr revIDLastSave="0" documentId="13_ncr:1_{062443B2-D089-48E9-8CC5-7E7536CF5F06}" xr6:coauthVersionLast="47" xr6:coauthVersionMax="47" xr10:uidLastSave="{00000000-0000-0000-0000-000000000000}"/>
  <bookViews>
    <workbookView xWindow="-108" yWindow="-108" windowWidth="23256" windowHeight="12456" xr2:uid="{201CEFBF-3892-4229-8E2F-C9418E24518E}"/>
  </bookViews>
  <sheets>
    <sheet name="1.Salarios" sheetId="2" r:id="rId1"/>
    <sheet name="2.Análisis de Costos" sheetId="3" r:id="rId2"/>
    <sheet name="3.Ingresos" sheetId="6" r:id="rId3"/>
    <sheet name="4.Prestamo y Depreciación" sheetId="4" r:id="rId4"/>
    <sheet name="5.Estados Financier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5" l="1"/>
  <c r="G44" i="5"/>
  <c r="F44" i="5"/>
  <c r="E44" i="5"/>
  <c r="D44" i="5"/>
  <c r="C44" i="5"/>
  <c r="H43" i="5"/>
  <c r="G43" i="5"/>
  <c r="F43" i="5"/>
  <c r="E43" i="5"/>
  <c r="D43" i="5"/>
  <c r="H42" i="5"/>
  <c r="G42" i="5"/>
  <c r="F42" i="5"/>
  <c r="E42" i="5"/>
  <c r="D42" i="5"/>
  <c r="H40" i="5"/>
  <c r="G40" i="5"/>
  <c r="F40" i="5"/>
  <c r="E40" i="5"/>
  <c r="D40" i="5"/>
  <c r="H39" i="5"/>
  <c r="G39" i="5"/>
  <c r="F39" i="5"/>
  <c r="E39" i="5"/>
  <c r="D39" i="5"/>
  <c r="C39" i="5"/>
  <c r="H38" i="5"/>
  <c r="G38" i="5"/>
  <c r="F38" i="5"/>
  <c r="E38" i="5"/>
  <c r="D38" i="5"/>
  <c r="C38" i="5"/>
  <c r="H37" i="5"/>
  <c r="G37" i="5"/>
  <c r="F37" i="5"/>
  <c r="E37" i="5"/>
  <c r="D37" i="5"/>
  <c r="H35" i="5"/>
  <c r="G35" i="5"/>
  <c r="F35" i="5"/>
  <c r="E35" i="5"/>
  <c r="D35" i="5"/>
  <c r="H34" i="5"/>
  <c r="G34" i="5"/>
  <c r="F34" i="5"/>
  <c r="E34" i="5"/>
  <c r="D34" i="5"/>
  <c r="C34" i="5"/>
  <c r="H33" i="5"/>
  <c r="G33" i="5"/>
  <c r="F33" i="5"/>
  <c r="E33" i="5"/>
  <c r="D33" i="5"/>
  <c r="H30" i="5"/>
  <c r="G30" i="5"/>
  <c r="F30" i="5"/>
  <c r="E30" i="5"/>
  <c r="D30" i="5"/>
  <c r="H29" i="5"/>
  <c r="G29" i="5"/>
  <c r="F29" i="5"/>
  <c r="E29" i="5"/>
  <c r="D29" i="5"/>
  <c r="H28" i="5"/>
  <c r="G28" i="5"/>
  <c r="F28" i="5"/>
  <c r="E28" i="5"/>
  <c r="D28" i="5"/>
  <c r="C28" i="5"/>
  <c r="H24" i="5"/>
  <c r="G24" i="5"/>
  <c r="F24" i="5"/>
  <c r="E24" i="5"/>
  <c r="D24" i="5"/>
  <c r="H23" i="5"/>
  <c r="G23" i="5"/>
  <c r="F23" i="5"/>
  <c r="E23" i="5"/>
  <c r="D23" i="5"/>
  <c r="H22" i="5"/>
  <c r="G22" i="5"/>
  <c r="F22" i="5"/>
  <c r="E22" i="5"/>
  <c r="D22" i="5"/>
  <c r="H21" i="5"/>
  <c r="G21" i="5"/>
  <c r="F21" i="5"/>
  <c r="E21" i="5"/>
  <c r="D21" i="5"/>
  <c r="H17" i="5"/>
  <c r="G17" i="5"/>
  <c r="F17" i="5"/>
  <c r="E17" i="5"/>
  <c r="D17" i="5"/>
  <c r="H16" i="5"/>
  <c r="G16" i="5"/>
  <c r="F16" i="5"/>
  <c r="H15" i="5"/>
  <c r="G15" i="5"/>
  <c r="F15" i="5"/>
  <c r="E15" i="5"/>
  <c r="D15" i="5"/>
  <c r="H14" i="5"/>
  <c r="G14" i="5"/>
  <c r="F14" i="5"/>
  <c r="E14" i="5"/>
  <c r="D14" i="5"/>
  <c r="H12" i="5"/>
  <c r="G12" i="5"/>
  <c r="F12" i="5"/>
  <c r="E12" i="5"/>
  <c r="D12" i="5"/>
  <c r="H11" i="5"/>
  <c r="G11" i="5"/>
  <c r="F11" i="5"/>
  <c r="E11" i="5"/>
  <c r="H10" i="5"/>
  <c r="G10" i="5"/>
  <c r="F10" i="5"/>
  <c r="E10" i="5"/>
  <c r="D10" i="5"/>
  <c r="H9" i="5"/>
  <c r="G9" i="5"/>
  <c r="F9" i="5"/>
  <c r="E9" i="5"/>
  <c r="D9" i="5"/>
  <c r="H8" i="5"/>
  <c r="G8" i="5"/>
  <c r="F8" i="5"/>
  <c r="E8" i="5"/>
  <c r="D8" i="5"/>
  <c r="H7" i="5"/>
  <c r="G7" i="5"/>
  <c r="F7" i="5"/>
  <c r="E7" i="5"/>
  <c r="D7" i="5"/>
  <c r="H5" i="5"/>
  <c r="G5" i="5"/>
  <c r="F5" i="5"/>
  <c r="E5" i="5"/>
  <c r="D5" i="5"/>
  <c r="H4" i="5"/>
  <c r="G4" i="5"/>
  <c r="F4" i="5"/>
  <c r="E4" i="5"/>
  <c r="D4" i="5"/>
  <c r="D79" i="4"/>
  <c r="C79" i="4"/>
  <c r="D78" i="4"/>
  <c r="C78" i="4"/>
  <c r="D77" i="4"/>
  <c r="C77" i="4"/>
  <c r="D76" i="4"/>
  <c r="C76" i="4"/>
  <c r="D75" i="4"/>
  <c r="C75" i="4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F68" i="4"/>
  <c r="E68" i="4"/>
  <c r="D68" i="4"/>
  <c r="C68" i="4"/>
  <c r="B68" i="4"/>
  <c r="F67" i="4"/>
  <c r="E67" i="4"/>
  <c r="D67" i="4"/>
  <c r="C67" i="4"/>
  <c r="B67" i="4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F58" i="4"/>
  <c r="E58" i="4"/>
  <c r="D58" i="4"/>
  <c r="C58" i="4"/>
  <c r="B58" i="4"/>
  <c r="F57" i="4"/>
  <c r="E57" i="4"/>
  <c r="D57" i="4"/>
  <c r="C57" i="4"/>
  <c r="B57" i="4"/>
  <c r="F56" i="4"/>
  <c r="E56" i="4"/>
  <c r="D56" i="4"/>
  <c r="C56" i="4"/>
  <c r="B56" i="4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D37" i="4"/>
  <c r="C37" i="4"/>
  <c r="B37" i="4"/>
  <c r="F36" i="4"/>
  <c r="E36" i="4"/>
  <c r="D36" i="4"/>
  <c r="C36" i="4"/>
  <c r="B36" i="4"/>
  <c r="F35" i="4"/>
  <c r="E35" i="4"/>
  <c r="D35" i="4"/>
  <c r="C35" i="4"/>
  <c r="B35" i="4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F31" i="4"/>
  <c r="E31" i="4"/>
  <c r="D31" i="4"/>
  <c r="C31" i="4"/>
  <c r="B31" i="4"/>
  <c r="F30" i="4"/>
  <c r="E30" i="4"/>
  <c r="D30" i="4"/>
  <c r="C30" i="4"/>
  <c r="B30" i="4"/>
  <c r="F29" i="4"/>
  <c r="E29" i="4"/>
  <c r="D29" i="4"/>
  <c r="C29" i="4"/>
  <c r="B29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K12" i="4"/>
  <c r="I12" i="4"/>
  <c r="F12" i="4"/>
  <c r="E12" i="4"/>
  <c r="D12" i="4"/>
  <c r="C12" i="4"/>
  <c r="F11" i="4"/>
  <c r="K10" i="4"/>
  <c r="I10" i="4"/>
  <c r="L9" i="4"/>
  <c r="K9" i="4"/>
  <c r="L8" i="4"/>
  <c r="K8" i="4"/>
  <c r="K7" i="4"/>
  <c r="I7" i="4"/>
  <c r="F7" i="4"/>
  <c r="L6" i="4"/>
  <c r="K6" i="4"/>
  <c r="F6" i="4"/>
  <c r="L5" i="4"/>
  <c r="K5" i="4"/>
  <c r="L4" i="4"/>
  <c r="K4" i="4"/>
  <c r="F4" i="4"/>
  <c r="K22" i="6"/>
  <c r="I22" i="6"/>
  <c r="G22" i="6"/>
  <c r="E22" i="6"/>
  <c r="K21" i="6"/>
  <c r="I21" i="6"/>
  <c r="G21" i="6"/>
  <c r="E21" i="6"/>
  <c r="K20" i="6"/>
  <c r="I20" i="6"/>
  <c r="G20" i="6"/>
  <c r="E20" i="6"/>
  <c r="L19" i="6"/>
  <c r="K19" i="6"/>
  <c r="J19" i="6"/>
  <c r="I19" i="6"/>
  <c r="H19" i="6"/>
  <c r="G19" i="6"/>
  <c r="F19" i="6"/>
  <c r="E19" i="6"/>
  <c r="L18" i="6"/>
  <c r="K18" i="6"/>
  <c r="J18" i="6"/>
  <c r="I18" i="6"/>
  <c r="H18" i="6"/>
  <c r="G18" i="6"/>
  <c r="F18" i="6"/>
  <c r="E18" i="6"/>
  <c r="K17" i="6"/>
  <c r="I17" i="6"/>
  <c r="G17" i="6"/>
  <c r="E17" i="6"/>
  <c r="I11" i="6"/>
  <c r="G11" i="6"/>
  <c r="F11" i="6"/>
  <c r="E11" i="6"/>
  <c r="D11" i="6"/>
  <c r="C11" i="6"/>
  <c r="I10" i="6"/>
  <c r="G10" i="6"/>
  <c r="F10" i="6"/>
  <c r="E10" i="6"/>
  <c r="D10" i="6"/>
  <c r="C10" i="6"/>
  <c r="I9" i="6"/>
  <c r="G9" i="6"/>
  <c r="F9" i="6"/>
  <c r="E9" i="6"/>
  <c r="D9" i="6"/>
  <c r="C9" i="6"/>
  <c r="L8" i="6"/>
  <c r="I8" i="6"/>
  <c r="G8" i="6"/>
  <c r="F8" i="6"/>
  <c r="E8" i="6"/>
  <c r="D8" i="6"/>
  <c r="C8" i="6"/>
  <c r="L7" i="6"/>
  <c r="I7" i="6"/>
  <c r="G7" i="6"/>
  <c r="F7" i="6"/>
  <c r="E7" i="6"/>
  <c r="D7" i="6"/>
  <c r="C7" i="6"/>
  <c r="L6" i="6"/>
  <c r="I6" i="6"/>
  <c r="G6" i="6"/>
  <c r="F6" i="6"/>
  <c r="E6" i="6"/>
  <c r="D6" i="6"/>
  <c r="C6" i="6"/>
  <c r="L5" i="6"/>
  <c r="I5" i="6"/>
  <c r="G5" i="6"/>
  <c r="F5" i="6"/>
  <c r="E5" i="6"/>
  <c r="D5" i="6"/>
  <c r="C5" i="6"/>
  <c r="I21" i="3"/>
  <c r="G21" i="3"/>
  <c r="F21" i="3"/>
  <c r="E21" i="3"/>
  <c r="D21" i="3"/>
  <c r="C21" i="3"/>
  <c r="I19" i="3"/>
  <c r="G19" i="3"/>
  <c r="F19" i="3"/>
  <c r="E19" i="3"/>
  <c r="D19" i="3"/>
  <c r="C19" i="3"/>
  <c r="I18" i="3"/>
  <c r="G18" i="3"/>
  <c r="F18" i="3"/>
  <c r="E18" i="3"/>
  <c r="D18" i="3"/>
  <c r="C18" i="3"/>
  <c r="I17" i="3"/>
  <c r="G17" i="3"/>
  <c r="F17" i="3"/>
  <c r="E17" i="3"/>
  <c r="D17" i="3"/>
  <c r="I16" i="3"/>
  <c r="G16" i="3"/>
  <c r="F16" i="3"/>
  <c r="E16" i="3"/>
  <c r="D16" i="3"/>
  <c r="I15" i="3"/>
  <c r="G15" i="3"/>
  <c r="F15" i="3"/>
  <c r="E15" i="3"/>
  <c r="D15" i="3"/>
  <c r="C15" i="3"/>
  <c r="I11" i="3"/>
  <c r="G11" i="3"/>
  <c r="F11" i="3"/>
  <c r="E11" i="3"/>
  <c r="D11" i="3"/>
  <c r="C11" i="3"/>
  <c r="I10" i="3"/>
  <c r="G10" i="3"/>
  <c r="F10" i="3"/>
  <c r="E10" i="3"/>
  <c r="D10" i="3"/>
  <c r="C10" i="3"/>
  <c r="L9" i="3"/>
  <c r="I9" i="3"/>
  <c r="G9" i="3"/>
  <c r="F9" i="3"/>
  <c r="E9" i="3"/>
  <c r="D9" i="3"/>
  <c r="C9" i="3"/>
  <c r="L8" i="3"/>
  <c r="I8" i="3"/>
  <c r="G8" i="3"/>
  <c r="F8" i="3"/>
  <c r="E8" i="3"/>
  <c r="D8" i="3"/>
  <c r="C8" i="3"/>
  <c r="L7" i="3"/>
  <c r="I7" i="3"/>
  <c r="G7" i="3"/>
  <c r="F7" i="3"/>
  <c r="E7" i="3"/>
  <c r="D7" i="3"/>
  <c r="C7" i="3"/>
  <c r="L6" i="3"/>
  <c r="I6" i="3"/>
  <c r="G6" i="3"/>
  <c r="F6" i="3"/>
  <c r="E6" i="3"/>
  <c r="D6" i="3"/>
  <c r="C6" i="3"/>
  <c r="L5" i="3"/>
  <c r="I5" i="3"/>
  <c r="G5" i="3"/>
  <c r="F5" i="3"/>
  <c r="E5" i="3"/>
  <c r="D5" i="3"/>
  <c r="C5" i="3"/>
  <c r="C26" i="2"/>
  <c r="C23" i="2"/>
  <c r="C22" i="2"/>
  <c r="K7" i="2"/>
  <c r="J7" i="2"/>
  <c r="I7" i="2"/>
  <c r="H7" i="2"/>
  <c r="G7" i="2"/>
  <c r="F7" i="2"/>
  <c r="E7" i="2"/>
  <c r="D7" i="2"/>
  <c r="C7" i="2"/>
  <c r="K6" i="2"/>
  <c r="J6" i="2"/>
  <c r="I6" i="2"/>
  <c r="H6" i="2"/>
  <c r="G6" i="2"/>
  <c r="F6" i="2"/>
  <c r="E6" i="2"/>
  <c r="D6" i="2"/>
  <c r="K5" i="2"/>
  <c r="J5" i="2"/>
  <c r="I5" i="2"/>
  <c r="H5" i="2"/>
  <c r="G5" i="2"/>
  <c r="F5" i="2"/>
  <c r="E5" i="2"/>
  <c r="D5" i="2"/>
  <c r="K4" i="2"/>
  <c r="J4" i="2"/>
  <c r="I4" i="2"/>
  <c r="H4" i="2"/>
  <c r="G4" i="2"/>
  <c r="F4" i="2"/>
  <c r="E4" i="2"/>
  <c r="D4" i="2"/>
</calcChain>
</file>

<file path=xl/sharedStrings.xml><?xml version="1.0" encoding="utf-8"?>
<sst xmlns="http://schemas.openxmlformats.org/spreadsheetml/2006/main" count="194" uniqueCount="127">
  <si>
    <t>Salarios</t>
  </si>
  <si>
    <t>Cargo</t>
  </si>
  <si>
    <t>No</t>
  </si>
  <si>
    <t>Sueldos</t>
  </si>
  <si>
    <t>Total</t>
  </si>
  <si>
    <t>Call Center &amp; Support</t>
  </si>
  <si>
    <t>Año 1</t>
  </si>
  <si>
    <t>Año 2</t>
  </si>
  <si>
    <t>Año 3</t>
  </si>
  <si>
    <t>Año 4</t>
  </si>
  <si>
    <t>Costos Variables</t>
  </si>
  <si>
    <t>Son los costos que el empleador debe asumir por cada trabajador que contrata, a parte del salario que le entrega. Estas cargas prestacionales son:</t>
  </si>
  <si>
    <t>Empleado</t>
  </si>
  <si>
    <t>Empleador</t>
  </si>
  <si>
    <t>Valor</t>
  </si>
  <si>
    <t>Salud</t>
  </si>
  <si>
    <t>Pensión</t>
  </si>
  <si>
    <t>Auxilio de transporte</t>
  </si>
  <si>
    <t>Aplica solo hasta 2 SMMLV</t>
  </si>
  <si>
    <t>ARL (Nivel I)</t>
  </si>
  <si>
    <t>Parafiscales</t>
  </si>
  <si>
    <t>Prima</t>
  </si>
  <si>
    <t>Cesantías</t>
  </si>
  <si>
    <t>Intereses de cesantías</t>
  </si>
  <si>
    <t>Vacaciones</t>
  </si>
  <si>
    <t>Dotación</t>
  </si>
  <si>
    <t>No aplica</t>
  </si>
  <si>
    <t>Prestaciones</t>
  </si>
  <si>
    <t>Conceptos / Año</t>
  </si>
  <si>
    <t>Costos Fijos</t>
  </si>
  <si>
    <t>Arriendo</t>
  </si>
  <si>
    <t>Servicio de Agua</t>
  </si>
  <si>
    <t>Servicio de Luz</t>
  </si>
  <si>
    <t>Servicio de Internet + Telefonia</t>
  </si>
  <si>
    <t>Posicionamiento web</t>
  </si>
  <si>
    <t>Subtotal</t>
  </si>
  <si>
    <r>
      <t xml:space="preserve">Nota: </t>
    </r>
    <r>
      <rPr>
        <sz val="11"/>
        <color rgb="FF000000"/>
        <rFont val="Calibri"/>
        <family val="2"/>
        <scheme val="minor"/>
      </rPr>
      <t>Todos los valores están dados en USD con una TRM de $4.600 COP</t>
    </r>
  </si>
  <si>
    <t>Salarios de la empresa AnlyticSify, asumiendo un incremento anual del 3%</t>
  </si>
  <si>
    <t>El incremento de los precios anuales está basado en un IPC del 5.6%</t>
  </si>
  <si>
    <t>Uso de Google Cloud Computing</t>
  </si>
  <si>
    <t>Transportes</t>
  </si>
  <si>
    <t>Mantenimiento PC</t>
  </si>
  <si>
    <t>Comisiones ejecutivo comercial</t>
  </si>
  <si>
    <t>Costos Totales</t>
  </si>
  <si>
    <t>TABLA DE AMORTIZACIÓN</t>
  </si>
  <si>
    <t>Valor del préstamo u obligación financiera</t>
  </si>
  <si>
    <t>Cantidad de cuotas totales en las que se cubrirá la obligación</t>
  </si>
  <si>
    <t>Tasa mensual de interés que generará la obligación MV</t>
  </si>
  <si>
    <t>Tasa mensual de interés que generará la obligación EA</t>
  </si>
  <si>
    <t>Valor de la cuota mensual</t>
  </si>
  <si>
    <t>Para comprobar que esa es la cuota con la que se cubriría correctamente la obligación a lo largo de los meses en que fue pactada, se haría el siguiente cuadro:</t>
  </si>
  <si>
    <t>Número de la cuota</t>
  </si>
  <si>
    <t>Valor total de la cuota</t>
  </si>
  <si>
    <t>Valor que abona a intereses</t>
  </si>
  <si>
    <t>Valor que abona al capital</t>
  </si>
  <si>
    <t>Saldo de Capital después del abono</t>
  </si>
  <si>
    <t>ESTADO DE RESULTADOS</t>
  </si>
  <si>
    <t>Ventas</t>
  </si>
  <si>
    <t xml:space="preserve"> -Costo de Ventas</t>
  </si>
  <si>
    <t xml:space="preserve"> =Utilidad en ventas</t>
  </si>
  <si>
    <t xml:space="preserve"> - Egresos operacionales</t>
  </si>
  <si>
    <t xml:space="preserve"> =Utilidad operacional</t>
  </si>
  <si>
    <t xml:space="preserve"> +Otros ingresos</t>
  </si>
  <si>
    <t xml:space="preserve"> -Otros Egresos</t>
  </si>
  <si>
    <t xml:space="preserve"> =Utilidad Antes de impuestos </t>
  </si>
  <si>
    <t xml:space="preserve"> =Utilidad neta</t>
  </si>
  <si>
    <t>FLUJO DE CAJA</t>
  </si>
  <si>
    <t>Saldo Inicial</t>
  </si>
  <si>
    <t xml:space="preserve"> +Ingresos</t>
  </si>
  <si>
    <t xml:space="preserve"> -Salidas</t>
  </si>
  <si>
    <t xml:space="preserve"> =Saldo final</t>
  </si>
  <si>
    <t>BALANCE GENERAL</t>
  </si>
  <si>
    <t>ACTIVO</t>
  </si>
  <si>
    <t>Caja</t>
  </si>
  <si>
    <t>Bancos</t>
  </si>
  <si>
    <t>Oficina</t>
  </si>
  <si>
    <t>Muebles y enseres</t>
  </si>
  <si>
    <t>Maquinaria y equipo</t>
  </si>
  <si>
    <t>Equipo de computo</t>
  </si>
  <si>
    <t>Dep.acum activo</t>
  </si>
  <si>
    <t>Cargos diferidos preoperativos</t>
  </si>
  <si>
    <t>PASIVO</t>
  </si>
  <si>
    <t>Obligaciones financieras</t>
  </si>
  <si>
    <t>PATRIMONIO</t>
  </si>
  <si>
    <t>Impo por pagar</t>
  </si>
  <si>
    <t>Capital</t>
  </si>
  <si>
    <t>Utilidades</t>
  </si>
  <si>
    <t>% del Total</t>
  </si>
  <si>
    <t>Costo Mensual</t>
  </si>
  <si>
    <t>Sistema de recomendación</t>
  </si>
  <si>
    <t>Consultorias</t>
  </si>
  <si>
    <t>Desarrollador Web</t>
  </si>
  <si>
    <t>Creación Soluciones ML</t>
  </si>
  <si>
    <t>Desarrollo de sitios web</t>
  </si>
  <si>
    <t>Soporte</t>
  </si>
  <si>
    <t>Comisión por venta</t>
  </si>
  <si>
    <t>Data Scientist</t>
  </si>
  <si>
    <t>Ingresos x Mes</t>
  </si>
  <si>
    <t>% de Ingresos</t>
  </si>
  <si>
    <t>Unidades</t>
  </si>
  <si>
    <t>Valor Unitario</t>
  </si>
  <si>
    <t>Ingresos x Venta de Servicios</t>
  </si>
  <si>
    <t>Concepto</t>
  </si>
  <si>
    <t>Año</t>
  </si>
  <si>
    <r>
      <t xml:space="preserve">Nota: </t>
    </r>
    <r>
      <rPr>
        <sz val="11"/>
        <color rgb="FF000000"/>
        <rFont val="Cambria"/>
        <family val="1"/>
      </rPr>
      <t>Todos los valores están dados en USD con una TRM de $4.600 COP</t>
    </r>
  </si>
  <si>
    <r>
      <t>Aportes parafiscales</t>
    </r>
    <r>
      <rPr>
        <sz val="10"/>
        <color rgb="FF2A295C"/>
        <rFont val="Cambria"/>
        <family val="1"/>
      </rPr>
      <t>: Sena, ICBF y Cajas de Compensación Familiar.</t>
    </r>
  </si>
  <si>
    <r>
      <t>Prestaciones sociales:</t>
    </r>
    <r>
      <rPr>
        <sz val="10"/>
        <color rgb="FF2A295C"/>
        <rFont val="Cambria"/>
        <family val="1"/>
      </rPr>
      <t> prima de servicios, vacaciones, cesantías e intereses sobre las cesantías.</t>
    </r>
  </si>
  <si>
    <r>
      <t>Aportes al Sistema de Seguridad Social:</t>
    </r>
    <r>
      <rPr>
        <sz val="10"/>
        <color rgb="FF2A295C"/>
        <rFont val="Cambria"/>
        <family val="1"/>
      </rPr>
      <t> salud, pensión y ARL. </t>
    </r>
  </si>
  <si>
    <t>Año 5</t>
  </si>
  <si>
    <t xml:space="preserve">           Depreciación</t>
  </si>
  <si>
    <t xml:space="preserve">           Amortización</t>
  </si>
  <si>
    <t>Depreciación</t>
  </si>
  <si>
    <t>Propiedad Planta y equipo</t>
  </si>
  <si>
    <t>Computador Portátil Gamer Victus HP 16.1" Pulgadas d0505la - Intel Core i5 - RAM 16GB- Disco SSD 512 GB - Azul</t>
  </si>
  <si>
    <t>Computador Portátil Gamer MSI 15.6" Pulgadas Crosshair B12 | Ktronix</t>
  </si>
  <si>
    <t>Computador All in One HP 21.5" Pulgadas df1510la - Intel C | Ktronix</t>
  </si>
  <si>
    <t>% Dep.</t>
  </si>
  <si>
    <t>Celular SAMSUNG Galaxy A03s 64GB Azul | Ktronix</t>
  </si>
  <si>
    <t>Multifuncional EPSON Ecotank L3210 Hg - Negro | Ktronix</t>
  </si>
  <si>
    <t>Vida Util Años</t>
  </si>
  <si>
    <t xml:space="preserve"> -Impuesto de  renta 30%</t>
  </si>
  <si>
    <t>Año 0</t>
  </si>
  <si>
    <t>Cuota Año</t>
  </si>
  <si>
    <t>Monto</t>
  </si>
  <si>
    <t>Utilidad Neta Acumulada</t>
  </si>
  <si>
    <t>Derechos de Matricula + RUES</t>
  </si>
  <si>
    <t>Total 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</si>
</sst>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65" formatCode="_-* #,##0\ _€_-;\-* #,##0\ _€_-;_-* &quot;-&quot;??\ _€_-;_-@_-"/>
    <numFmt numFmtId="166" formatCode="_-&quot;$&quot;\ * #,##0.0_-;\-&quot;$&quot;\ * #,##0.0_-;_-&quot;$&quot;\ * &quot;-&quot;??_-;_-@_-"/>
    <numFmt numFmtId="167" formatCode="0.000%"/>
    <numFmt numFmtId="168" formatCode="0.0%"/>
    <numFmt numFmtId="169" formatCode="_-&quot;$&quot;\ * #,##0.0_-;\-&quot;$&quot;\ * #,##0.0_-;_-&quot;$&quot;\ * &quot;-&quot;?_-;_-@_-"/>
    <numFmt numFmtId="170" formatCode="_ &quot;$&quot;\ * #,##0.00_ ;_ &quot;$&quot;\ * \-#,##0.00_ ;_ &quot;$&quot;\ * &quot;-&quot;??_ ;_ @_ "/>
    <numFmt numFmtId="171" formatCode="_ &quot;$&quot;\ * #,##0_ ;_ &quot;$&quot;\ * \-#,##0_ ;_ &quot;$&quot;\ * &quot;-&quot;??_ ;_ @_ "/>
    <numFmt numFmtId="172" formatCode="&quot;$&quot;\ #,##0;[Red]&quot;$&quot;\ \-#,##0"/>
    <numFmt numFmtId="173" formatCode="&quot;$&quot;\ #,##0.0;[Red]&quot;$&quot;\ \-#,##0.0"/>
    <numFmt numFmtId="174" formatCode="_-&quot;$&quot;\ * #,##0_-;\-&quot;$&quot;\ * #,##0_-;_-&quot;$&quot;\ * &quot;-&quot;?_-;_-@_-"/>
    <numFmt numFmtId="175" formatCode="&quot;$&quot;\ #,##0.0;[Red]\-&quot;$&quot;\ #,##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rgb="FF000000"/>
      <name val="Cambria"/>
      <family val="1"/>
    </font>
    <font>
      <b/>
      <sz val="11"/>
      <color theme="1"/>
      <name val="Cambria"/>
      <family val="1"/>
    </font>
    <font>
      <sz val="11"/>
      <color rgb="FF000000"/>
      <name val="Cambria"/>
      <family val="1"/>
    </font>
    <font>
      <sz val="10"/>
      <color rgb="FF2A295C"/>
      <name val="Cambria"/>
      <family val="1"/>
    </font>
    <font>
      <b/>
      <sz val="10"/>
      <color rgb="FF2A295C"/>
      <name val="Cambria"/>
      <family val="1"/>
    </font>
    <font>
      <sz val="16"/>
      <color indexed="12"/>
      <name val="Cambria"/>
      <family val="1"/>
    </font>
    <font>
      <sz val="10"/>
      <name val="Cambria"/>
      <family val="1"/>
    </font>
    <font>
      <sz val="12"/>
      <name val="Cambria"/>
      <family val="1"/>
    </font>
    <font>
      <b/>
      <sz val="11"/>
      <name val="Cambria"/>
      <family val="1"/>
    </font>
    <font>
      <b/>
      <sz val="10"/>
      <color rgb="FF0000FF"/>
      <name val="Cambria"/>
      <family val="1"/>
    </font>
    <font>
      <b/>
      <sz val="11"/>
      <color indexed="12"/>
      <name val="Cambria"/>
      <family val="1"/>
    </font>
    <font>
      <sz val="9"/>
      <name val="Cambria"/>
      <family val="1"/>
    </font>
    <font>
      <b/>
      <sz val="10"/>
      <name val="Cambria"/>
      <family val="1"/>
    </font>
    <font>
      <b/>
      <sz val="11"/>
      <color rgb="FFFF0000"/>
      <name val="Cambria"/>
      <family val="1"/>
    </font>
    <font>
      <b/>
      <sz val="11"/>
      <color rgb="FF00B050"/>
      <name val="Cambria"/>
      <family val="1"/>
    </font>
    <font>
      <u/>
      <sz val="10"/>
      <color theme="10"/>
      <name val="Cambria"/>
      <family val="1"/>
    </font>
    <font>
      <u/>
      <sz val="10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b/>
      <sz val="10"/>
      <color rgb="FFFF0000"/>
      <name val="Cambria"/>
      <family val="1"/>
    </font>
    <font>
      <b/>
      <sz val="10"/>
      <color rgb="FF00B050"/>
      <name val="Cambria"/>
      <family val="1"/>
    </font>
    <font>
      <b/>
      <sz val="10"/>
      <color theme="1"/>
      <name val="Cambria"/>
      <family val="1"/>
    </font>
    <font>
      <sz val="10"/>
      <color rgb="FFFF0000"/>
      <name val="Cambria"/>
      <family val="1"/>
    </font>
    <font>
      <sz val="10"/>
      <color rgb="FF00B050"/>
      <name val="Cambria"/>
      <family val="1"/>
    </font>
    <font>
      <sz val="9"/>
      <color theme="1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170" fontId="7" fillId="0" borderId="0" applyFont="0" applyFill="0" applyBorder="0" applyAlignment="0" applyProtection="0"/>
  </cellStyleXfs>
  <cellXfs count="156">
    <xf numFmtId="0" fontId="0" fillId="0" borderId="0" xfId="0"/>
    <xf numFmtId="0" fontId="0" fillId="2" borderId="0" xfId="0" applyFill="1"/>
    <xf numFmtId="0" fontId="0" fillId="2" borderId="1" xfId="0" applyFill="1" applyBorder="1"/>
    <xf numFmtId="0" fontId="3" fillId="2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66" fontId="0" fillId="2" borderId="0" xfId="1" applyNumberFormat="1" applyFont="1" applyFill="1" applyBorder="1"/>
    <xf numFmtId="0" fontId="2" fillId="2" borderId="1" xfId="0" applyFont="1" applyFill="1" applyBorder="1"/>
    <xf numFmtId="166" fontId="2" fillId="2" borderId="1" xfId="1" applyNumberFormat="1" applyFont="1" applyFill="1" applyBorder="1"/>
    <xf numFmtId="166" fontId="0" fillId="2" borderId="0" xfId="1" applyNumberFormat="1" applyFont="1" applyFill="1"/>
    <xf numFmtId="168" fontId="0" fillId="2" borderId="0" xfId="3" applyNumberFormat="1" applyFont="1" applyFill="1"/>
    <xf numFmtId="169" fontId="0" fillId="2" borderId="0" xfId="0" applyNumberFormat="1" applyFill="1"/>
    <xf numFmtId="166" fontId="0" fillId="2" borderId="1" xfId="1" applyNumberFormat="1" applyFont="1" applyFill="1" applyBorder="1"/>
    <xf numFmtId="166" fontId="2" fillId="2" borderId="2" xfId="1" applyNumberFormat="1" applyFont="1" applyFill="1" applyBorder="1"/>
    <xf numFmtId="0" fontId="8" fillId="5" borderId="1" xfId="0" applyFont="1" applyFill="1" applyBorder="1" applyAlignment="1">
      <alignment horizontal="center"/>
    </xf>
    <xf numFmtId="169" fontId="0" fillId="2" borderId="1" xfId="0" applyNumberFormat="1" applyFill="1" applyBorder="1"/>
    <xf numFmtId="168" fontId="0" fillId="2" borderId="1" xfId="3" applyNumberFormat="1" applyFont="1" applyFill="1" applyBorder="1"/>
    <xf numFmtId="0" fontId="9" fillId="2" borderId="0" xfId="0" applyFont="1" applyFill="1"/>
    <xf numFmtId="0" fontId="9" fillId="0" borderId="0" xfId="0" applyFont="1"/>
    <xf numFmtId="0" fontId="9" fillId="2" borderId="1" xfId="0" applyFont="1" applyFill="1" applyBorder="1"/>
    <xf numFmtId="0" fontId="10" fillId="2" borderId="0" xfId="0" applyFont="1" applyFill="1" applyAlignment="1">
      <alignment horizontal="left" vertical="center"/>
    </xf>
    <xf numFmtId="165" fontId="11" fillId="2" borderId="0" xfId="2" applyNumberFormat="1" applyFont="1" applyFill="1" applyBorder="1" applyAlignment="1">
      <alignment horizontal="center" vertical="center"/>
    </xf>
    <xf numFmtId="164" fontId="11" fillId="2" borderId="0" xfId="1" applyNumberFormat="1" applyFont="1" applyFill="1" applyBorder="1" applyAlignment="1">
      <alignment horizontal="center"/>
    </xf>
    <xf numFmtId="164" fontId="11" fillId="2" borderId="0" xfId="2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9" fontId="14" fillId="2" borderId="0" xfId="0" applyNumberFormat="1" applyFont="1" applyFill="1" applyAlignment="1">
      <alignment horizontal="center" vertical="center" wrapText="1"/>
    </xf>
    <xf numFmtId="10" fontId="14" fillId="2" borderId="0" xfId="0" applyNumberFormat="1" applyFont="1" applyFill="1" applyAlignment="1">
      <alignment horizontal="center" vertical="center" wrapText="1"/>
    </xf>
    <xf numFmtId="0" fontId="9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5" borderId="2" xfId="0" applyFont="1" applyFill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9" fillId="9" borderId="2" xfId="0" applyFont="1" applyFill="1" applyBorder="1" applyAlignment="1">
      <alignment horizontal="right"/>
    </xf>
    <xf numFmtId="0" fontId="11" fillId="9" borderId="2" xfId="0" applyFont="1" applyFill="1" applyBorder="1"/>
    <xf numFmtId="166" fontId="9" fillId="2" borderId="0" xfId="1" applyNumberFormat="1" applyFont="1" applyFill="1" applyBorder="1"/>
    <xf numFmtId="168" fontId="9" fillId="2" borderId="0" xfId="3" applyNumberFormat="1" applyFont="1" applyFill="1"/>
    <xf numFmtId="174" fontId="9" fillId="2" borderId="0" xfId="0" applyNumberFormat="1" applyFont="1" applyFill="1"/>
    <xf numFmtId="169" fontId="9" fillId="2" borderId="0" xfId="0" applyNumberFormat="1" applyFont="1" applyFill="1"/>
    <xf numFmtId="169" fontId="9" fillId="2" borderId="1" xfId="0" applyNumberFormat="1" applyFont="1" applyFill="1" applyBorder="1"/>
    <xf numFmtId="0" fontId="9" fillId="2" borderId="3" xfId="0" applyFont="1" applyFill="1" applyBorder="1"/>
    <xf numFmtId="166" fontId="9" fillId="2" borderId="3" xfId="1" applyNumberFormat="1" applyFont="1" applyFill="1" applyBorder="1"/>
    <xf numFmtId="9" fontId="9" fillId="2" borderId="0" xfId="3" applyFont="1" applyFill="1"/>
    <xf numFmtId="0" fontId="11" fillId="2" borderId="1" xfId="0" applyFont="1" applyFill="1" applyBorder="1"/>
    <xf numFmtId="166" fontId="11" fillId="2" borderId="1" xfId="1" applyNumberFormat="1" applyFont="1" applyFill="1" applyBorder="1"/>
    <xf numFmtId="168" fontId="11" fillId="2" borderId="1" xfId="3" applyNumberFormat="1" applyFont="1" applyFill="1" applyBorder="1"/>
    <xf numFmtId="166" fontId="9" fillId="2" borderId="0" xfId="1" applyNumberFormat="1" applyFont="1" applyFill="1"/>
    <xf numFmtId="0" fontId="11" fillId="6" borderId="0" xfId="0" applyFont="1" applyFill="1"/>
    <xf numFmtId="169" fontId="11" fillId="6" borderId="0" xfId="0" applyNumberFormat="1" applyFont="1" applyFill="1"/>
    <xf numFmtId="0" fontId="9" fillId="2" borderId="6" xfId="0" applyFont="1" applyFill="1" applyBorder="1"/>
    <xf numFmtId="171" fontId="17" fillId="7" borderId="0" xfId="6" applyNumberFormat="1" applyFont="1" applyFill="1" applyBorder="1"/>
    <xf numFmtId="0" fontId="17" fillId="7" borderId="0" xfId="5" applyFont="1" applyFill="1"/>
    <xf numFmtId="167" fontId="18" fillId="2" borderId="0" xfId="5" applyNumberFormat="1" applyFont="1" applyFill="1" applyAlignment="1">
      <alignment horizontal="center"/>
    </xf>
    <xf numFmtId="10" fontId="18" fillId="2" borderId="0" xfId="5" applyNumberFormat="1" applyFont="1" applyFill="1" applyAlignment="1">
      <alignment horizontal="center"/>
    </xf>
    <xf numFmtId="173" fontId="20" fillId="0" borderId="6" xfId="5" applyNumberFormat="1" applyFont="1" applyBorder="1" applyAlignment="1">
      <alignment horizontal="center"/>
    </xf>
    <xf numFmtId="171" fontId="17" fillId="8" borderId="4" xfId="6" applyNumberFormat="1" applyFont="1" applyFill="1" applyBorder="1"/>
    <xf numFmtId="0" fontId="16" fillId="2" borderId="0" xfId="5" applyFont="1" applyFill="1" applyAlignment="1">
      <alignment horizontal="center"/>
    </xf>
    <xf numFmtId="172" fontId="16" fillId="2" borderId="0" xfId="5" applyNumberFormat="1" applyFont="1" applyFill="1"/>
    <xf numFmtId="171" fontId="9" fillId="2" borderId="0" xfId="6" applyNumberFormat="1" applyFont="1" applyFill="1" applyBorder="1"/>
    <xf numFmtId="0" fontId="10" fillId="2" borderId="2" xfId="0" applyFont="1" applyFill="1" applyBorder="1" applyAlignment="1">
      <alignment horizontal="left" vertical="center"/>
    </xf>
    <xf numFmtId="0" fontId="9" fillId="2" borderId="2" xfId="0" applyFont="1" applyFill="1" applyBorder="1"/>
    <xf numFmtId="9" fontId="9" fillId="2" borderId="0" xfId="0" applyNumberFormat="1" applyFont="1" applyFill="1"/>
    <xf numFmtId="0" fontId="11" fillId="2" borderId="0" xfId="0" applyFont="1" applyFill="1"/>
    <xf numFmtId="166" fontId="9" fillId="2" borderId="0" xfId="0" applyNumberFormat="1" applyFont="1" applyFill="1"/>
    <xf numFmtId="1" fontId="9" fillId="2" borderId="0" xfId="0" applyNumberFormat="1" applyFont="1" applyFill="1"/>
    <xf numFmtId="0" fontId="9" fillId="2" borderId="1" xfId="0" applyFont="1" applyFill="1" applyBorder="1" applyAlignment="1">
      <alignment vertical="center"/>
    </xf>
    <xf numFmtId="0" fontId="11" fillId="2" borderId="2" xfId="0" applyFont="1" applyFill="1" applyBorder="1"/>
    <xf numFmtId="169" fontId="9" fillId="2" borderId="2" xfId="0" applyNumberFormat="1" applyFont="1" applyFill="1" applyBorder="1"/>
    <xf numFmtId="166" fontId="9" fillId="2" borderId="1" xfId="1" applyNumberFormat="1" applyFont="1" applyFill="1" applyBorder="1"/>
    <xf numFmtId="9" fontId="9" fillId="2" borderId="1" xfId="3" applyFont="1" applyFill="1" applyBorder="1"/>
    <xf numFmtId="1" fontId="9" fillId="2" borderId="1" xfId="0" applyNumberFormat="1" applyFont="1" applyFill="1" applyBorder="1"/>
    <xf numFmtId="9" fontId="9" fillId="2" borderId="1" xfId="0" applyNumberFormat="1" applyFont="1" applyFill="1" applyBorder="1"/>
    <xf numFmtId="0" fontId="25" fillId="2" borderId="0" xfId="4" applyFont="1" applyFill="1"/>
    <xf numFmtId="0" fontId="25" fillId="2" borderId="0" xfId="4" applyFont="1" applyFill="1" applyAlignment="1">
      <alignment horizontal="left" vertical="center" wrapText="1"/>
    </xf>
    <xf numFmtId="0" fontId="25" fillId="2" borderId="1" xfId="4" applyFont="1" applyFill="1" applyBorder="1" applyAlignment="1">
      <alignment horizontal="left" vertical="center" wrapText="1"/>
    </xf>
    <xf numFmtId="0" fontId="25" fillId="2" borderId="0" xfId="4" applyFont="1" applyFill="1" applyAlignment="1">
      <alignment vertical="center"/>
    </xf>
    <xf numFmtId="0" fontId="26" fillId="2" borderId="1" xfId="4" applyFont="1" applyFill="1" applyBorder="1"/>
    <xf numFmtId="175" fontId="9" fillId="2" borderId="0" xfId="0" applyNumberFormat="1" applyFont="1" applyFill="1"/>
    <xf numFmtId="172" fontId="9" fillId="2" borderId="0" xfId="0" applyNumberFormat="1" applyFont="1" applyFill="1"/>
    <xf numFmtId="0" fontId="11" fillId="2" borderId="0" xfId="0" applyFont="1" applyFill="1" applyAlignment="1">
      <alignment horizontal="right"/>
    </xf>
    <xf numFmtId="0" fontId="27" fillId="5" borderId="1" xfId="0" applyFont="1" applyFill="1" applyBorder="1" applyAlignment="1">
      <alignment horizontal="center"/>
    </xf>
    <xf numFmtId="0" fontId="16" fillId="2" borderId="1" xfId="5" applyFont="1" applyFill="1" applyBorder="1" applyAlignment="1">
      <alignment horizontal="center"/>
    </xf>
    <xf numFmtId="172" fontId="16" fillId="2" borderId="1" xfId="5" applyNumberFormat="1" applyFont="1" applyFill="1" applyBorder="1"/>
    <xf numFmtId="171" fontId="9" fillId="2" borderId="1" xfId="6" applyNumberFormat="1" applyFont="1" applyFill="1" applyBorder="1"/>
    <xf numFmtId="0" fontId="9" fillId="2" borderId="7" xfId="0" applyFont="1" applyFill="1" applyBorder="1"/>
    <xf numFmtId="43" fontId="9" fillId="2" borderId="0" xfId="2" applyFont="1" applyFill="1"/>
    <xf numFmtId="0" fontId="11" fillId="2" borderId="0" xfId="0" applyFont="1" applyFill="1" applyAlignment="1">
      <alignment horizontal="center"/>
    </xf>
    <xf numFmtId="165" fontId="9" fillId="2" borderId="0" xfId="0" applyNumberFormat="1" applyFont="1" applyFill="1"/>
    <xf numFmtId="165" fontId="9" fillId="2" borderId="0" xfId="2" applyNumberFormat="1" applyFont="1" applyFill="1" applyBorder="1"/>
    <xf numFmtId="165" fontId="11" fillId="2" borderId="0" xfId="2" applyNumberFormat="1" applyFont="1" applyFill="1" applyBorder="1"/>
    <xf numFmtId="43" fontId="9" fillId="2" borderId="0" xfId="2" applyFont="1" applyFill="1" applyBorder="1"/>
    <xf numFmtId="166" fontId="23" fillId="2" borderId="1" xfId="1" applyNumberFormat="1" applyFont="1" applyFill="1" applyBorder="1"/>
    <xf numFmtId="166" fontId="24" fillId="2" borderId="1" xfId="1" applyNumberFormat="1" applyFont="1" applyFill="1" applyBorder="1"/>
    <xf numFmtId="166" fontId="24" fillId="2" borderId="2" xfId="1" applyNumberFormat="1" applyFont="1" applyFill="1" applyBorder="1"/>
    <xf numFmtId="165" fontId="9" fillId="2" borderId="2" xfId="2" applyNumberFormat="1" applyFont="1" applyFill="1" applyBorder="1"/>
    <xf numFmtId="165" fontId="11" fillId="2" borderId="1" xfId="2" applyNumberFormat="1" applyFont="1" applyFill="1" applyBorder="1"/>
    <xf numFmtId="0" fontId="11" fillId="2" borderId="7" xfId="0" applyFont="1" applyFill="1" applyBorder="1" applyAlignment="1">
      <alignment horizontal="center"/>
    </xf>
    <xf numFmtId="166" fontId="29" fillId="2" borderId="0" xfId="1" applyNumberFormat="1" applyFont="1" applyFill="1" applyBorder="1"/>
    <xf numFmtId="166" fontId="29" fillId="2" borderId="1" xfId="1" applyNumberFormat="1" applyFont="1" applyFill="1" applyBorder="1"/>
    <xf numFmtId="165" fontId="29" fillId="2" borderId="0" xfId="2" applyNumberFormat="1" applyFont="1" applyFill="1" applyBorder="1"/>
    <xf numFmtId="165" fontId="29" fillId="2" borderId="0" xfId="0" applyNumberFormat="1" applyFont="1" applyFill="1"/>
    <xf numFmtId="0" fontId="29" fillId="2" borderId="0" xfId="0" applyFont="1" applyFill="1"/>
    <xf numFmtId="165" fontId="32" fillId="2" borderId="0" xfId="2" applyNumberFormat="1" applyFont="1" applyFill="1" applyBorder="1"/>
    <xf numFmtId="165" fontId="32" fillId="2" borderId="0" xfId="0" applyNumberFormat="1" applyFont="1" applyFill="1"/>
    <xf numFmtId="165" fontId="29" fillId="2" borderId="1" xfId="2" applyNumberFormat="1" applyFont="1" applyFill="1" applyBorder="1"/>
    <xf numFmtId="166" fontId="33" fillId="2" borderId="0" xfId="1" applyNumberFormat="1" applyFont="1" applyFill="1" applyBorder="1"/>
    <xf numFmtId="166" fontId="34" fillId="2" borderId="0" xfId="1" applyNumberFormat="1" applyFont="1" applyFill="1" applyBorder="1"/>
    <xf numFmtId="165" fontId="24" fillId="2" borderId="1" xfId="2" applyNumberFormat="1" applyFont="1" applyFill="1" applyBorder="1"/>
    <xf numFmtId="165" fontId="31" fillId="2" borderId="1" xfId="0" applyNumberFormat="1" applyFont="1" applyFill="1" applyBorder="1"/>
    <xf numFmtId="165" fontId="30" fillId="2" borderId="1" xfId="0" applyNumberFormat="1" applyFont="1" applyFill="1" applyBorder="1"/>
    <xf numFmtId="165" fontId="23" fillId="2" borderId="1" xfId="2" applyNumberFormat="1" applyFont="1" applyFill="1" applyBorder="1"/>
    <xf numFmtId="165" fontId="9" fillId="2" borderId="2" xfId="2" applyNumberFormat="1" applyFont="1" applyFill="1" applyBorder="1" applyAlignment="1">
      <alignment horizontal="center" vertical="center"/>
    </xf>
    <xf numFmtId="165" fontId="11" fillId="2" borderId="0" xfId="0" applyNumberFormat="1" applyFont="1" applyFill="1" applyAlignment="1">
      <alignment horizontal="center"/>
    </xf>
    <xf numFmtId="165" fontId="11" fillId="2" borderId="1" xfId="0" applyNumberFormat="1" applyFont="1" applyFill="1" applyBorder="1"/>
    <xf numFmtId="0" fontId="29" fillId="2" borderId="0" xfId="0" applyFont="1" applyFill="1" applyAlignment="1">
      <alignment horizontal="left"/>
    </xf>
    <xf numFmtId="0" fontId="35" fillId="2" borderId="0" xfId="0" applyFont="1" applyFill="1" applyAlignment="1">
      <alignment horizontal="left"/>
    </xf>
    <xf numFmtId="0" fontId="36" fillId="3" borderId="2" xfId="0" applyFont="1" applyFill="1" applyBorder="1" applyAlignment="1">
      <alignment vertical="center"/>
    </xf>
    <xf numFmtId="0" fontId="36" fillId="3" borderId="2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/>
    </xf>
    <xf numFmtId="0" fontId="37" fillId="2" borderId="0" xfId="0" applyFont="1" applyFill="1" applyAlignment="1">
      <alignment horizontal="left" vertical="center"/>
    </xf>
    <xf numFmtId="0" fontId="29" fillId="2" borderId="0" xfId="0" applyFont="1" applyFill="1" applyAlignment="1">
      <alignment horizontal="center"/>
    </xf>
    <xf numFmtId="164" fontId="29" fillId="2" borderId="0" xfId="1" applyNumberFormat="1" applyFont="1" applyFill="1" applyBorder="1" applyAlignment="1">
      <alignment horizontal="center"/>
    </xf>
    <xf numFmtId="164" fontId="29" fillId="2" borderId="0" xfId="2" applyNumberFormat="1" applyFont="1" applyFill="1" applyBorder="1" applyAlignment="1">
      <alignment horizontal="center"/>
    </xf>
    <xf numFmtId="164" fontId="37" fillId="2" borderId="0" xfId="1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left" vertical="center"/>
    </xf>
    <xf numFmtId="0" fontId="29" fillId="2" borderId="1" xfId="0" applyFont="1" applyFill="1" applyBorder="1" applyAlignment="1">
      <alignment horizontal="center"/>
    </xf>
    <xf numFmtId="164" fontId="37" fillId="2" borderId="1" xfId="1" applyNumberFormat="1" applyFont="1" applyFill="1" applyBorder="1" applyAlignment="1">
      <alignment horizontal="center" vertical="center"/>
    </xf>
    <xf numFmtId="164" fontId="29" fillId="2" borderId="1" xfId="1" applyNumberFormat="1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 vertical="center"/>
    </xf>
    <xf numFmtId="165" fontId="32" fillId="2" borderId="2" xfId="2" applyNumberFormat="1" applyFont="1" applyFill="1" applyBorder="1" applyAlignment="1">
      <alignment horizontal="center" vertical="center"/>
    </xf>
    <xf numFmtId="164" fontId="32" fillId="2" borderId="2" xfId="1" applyNumberFormat="1" applyFont="1" applyFill="1" applyBorder="1" applyAlignment="1">
      <alignment horizontal="center"/>
    </xf>
    <xf numFmtId="164" fontId="32" fillId="2" borderId="2" xfId="2" applyNumberFormat="1" applyFont="1" applyFill="1" applyBorder="1" applyAlignment="1">
      <alignment horizontal="center"/>
    </xf>
    <xf numFmtId="0" fontId="32" fillId="0" borderId="2" xfId="0" applyFont="1" applyBorder="1"/>
    <xf numFmtId="0" fontId="32" fillId="2" borderId="2" xfId="0" applyFont="1" applyFill="1" applyBorder="1" applyAlignment="1">
      <alignment horizontal="left"/>
    </xf>
    <xf numFmtId="0" fontId="29" fillId="2" borderId="1" xfId="0" applyFont="1" applyFill="1" applyBorder="1" applyAlignment="1">
      <alignment horizontal="left"/>
    </xf>
    <xf numFmtId="168" fontId="29" fillId="2" borderId="0" xfId="3" applyNumberFormat="1" applyFont="1" applyFill="1" applyBorder="1" applyAlignment="1">
      <alignment horizontal="center"/>
    </xf>
    <xf numFmtId="168" fontId="29" fillId="2" borderId="1" xfId="3" applyNumberFormat="1" applyFont="1" applyFill="1" applyBorder="1" applyAlignment="1">
      <alignment horizontal="center"/>
    </xf>
    <xf numFmtId="10" fontId="32" fillId="2" borderId="2" xfId="3" applyNumberFormat="1" applyFont="1" applyFill="1" applyBorder="1" applyAlignment="1">
      <alignment horizontal="center"/>
    </xf>
    <xf numFmtId="168" fontId="32" fillId="2" borderId="2" xfId="3" applyNumberFormat="1" applyFont="1" applyFill="1" applyBorder="1" applyAlignment="1">
      <alignment horizontal="center"/>
    </xf>
    <xf numFmtId="168" fontId="11" fillId="2" borderId="0" xfId="0" applyNumberFormat="1" applyFont="1" applyFill="1"/>
    <xf numFmtId="0" fontId="13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1" fillId="5" borderId="2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19" fillId="2" borderId="6" xfId="5" applyFont="1" applyFill="1" applyBorder="1" applyAlignment="1">
      <alignment horizontal="center" vertical="center"/>
    </xf>
    <xf numFmtId="0" fontId="15" fillId="10" borderId="6" xfId="5" applyFont="1" applyFill="1" applyBorder="1" applyAlignment="1">
      <alignment horizontal="center" vertical="center"/>
    </xf>
    <xf numFmtId="0" fontId="16" fillId="2" borderId="0" xfId="5" applyFont="1" applyFill="1" applyAlignment="1">
      <alignment horizontal="left"/>
    </xf>
    <xf numFmtId="0" fontId="16" fillId="2" borderId="4" xfId="5" applyFont="1" applyFill="1" applyBorder="1" applyAlignment="1">
      <alignment horizontal="center"/>
    </xf>
    <xf numFmtId="0" fontId="21" fillId="2" borderId="6" xfId="5" applyFont="1" applyFill="1" applyBorder="1" applyAlignment="1">
      <alignment horizontal="left" vertical="top" wrapText="1"/>
    </xf>
    <xf numFmtId="0" fontId="22" fillId="10" borderId="5" xfId="5" applyFont="1" applyFill="1" applyBorder="1" applyAlignment="1">
      <alignment horizontal="center" wrapText="1"/>
    </xf>
    <xf numFmtId="0" fontId="22" fillId="10" borderId="6" xfId="5" applyFont="1" applyFill="1" applyBorder="1" applyAlignment="1">
      <alignment horizontal="center" wrapText="1"/>
    </xf>
    <xf numFmtId="0" fontId="28" fillId="9" borderId="2" xfId="0" applyFont="1" applyFill="1" applyBorder="1" applyAlignment="1">
      <alignment horizontal="center"/>
    </xf>
    <xf numFmtId="0" fontId="28" fillId="4" borderId="2" xfId="0" applyFont="1" applyFill="1" applyBorder="1" applyAlignment="1">
      <alignment horizontal="center"/>
    </xf>
    <xf numFmtId="0" fontId="28" fillId="4" borderId="1" xfId="0" applyFont="1" applyFill="1" applyBorder="1" applyAlignment="1">
      <alignment horizontal="center"/>
    </xf>
    <xf numFmtId="9" fontId="0" fillId="2" borderId="0" xfId="3" applyFont="1" applyFill="1"/>
  </cellXfs>
  <cellStyles count="7">
    <cellStyle name="Hipervínculo" xfId="4" builtinId="8"/>
    <cellStyle name="Millares" xfId="2" builtinId="3"/>
    <cellStyle name="Moneda" xfId="1" builtinId="4"/>
    <cellStyle name="Moneda 2" xfId="6" xr:uid="{9921E7B2-6730-4E6F-B510-4BA88AC5C678}"/>
    <cellStyle name="Normal" xfId="0" builtinId="0"/>
    <cellStyle name="Normal 2" xfId="5" xr:uid="{E70329B6-7A19-4375-A760-C0F4AEFE47FD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533400</xdr:colOff>
      <xdr:row>0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CBF2EA-0CFE-E0C4-5B8B-F2CA5EC72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840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205740</xdr:colOff>
      <xdr:row>0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3FE585-A0EA-4084-B970-CA48AA8B3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840" cy="752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403860</xdr:colOff>
      <xdr:row>0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207564-E196-48DC-B069-2214B40AE7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840" cy="752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15240</xdr:colOff>
      <xdr:row>0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AA2A33-6494-4A44-9D5E-69C7AB2D6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840" cy="752475"/>
        </a:xfrm>
        <a:prstGeom prst="rect">
          <a:avLst/>
        </a:prstGeom>
      </xdr:spPr>
    </xdr:pic>
    <xdr:clientData/>
  </xdr:twoCellAnchor>
  <xdr:twoCellAnchor>
    <xdr:from>
      <xdr:col>1</xdr:col>
      <xdr:colOff>182880</xdr:colOff>
      <xdr:row>2</xdr:row>
      <xdr:rowOff>0</xdr:rowOff>
    </xdr:from>
    <xdr:to>
      <xdr:col>2</xdr:col>
      <xdr:colOff>68580</xdr:colOff>
      <xdr:row>2</xdr:row>
      <xdr:rowOff>0</xdr:rowOff>
    </xdr:to>
    <xdr:pic>
      <xdr:nvPicPr>
        <xdr:cNvPr id="3" name="Picture 5" descr="actualiceselogo">
          <a:extLst>
            <a:ext uri="{FF2B5EF4-FFF2-40B4-BE49-F238E27FC236}">
              <a16:creationId xmlns:a16="http://schemas.microsoft.com/office/drawing/2014/main" id="{467BC16E-5BAD-45A4-ADE8-2D86FF411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" y="2453640"/>
          <a:ext cx="1066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365760</xdr:colOff>
      <xdr:row>0</xdr:row>
      <xdr:rowOff>752475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7A7D3A7-38D5-485E-9CBD-563AE50EF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529840" cy="752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tronix.com/computador-all-in-one-hp-215-pulgadas-df1510la-intel-core-i3-ram-8gb-disco-ssd-256-gb-negro/p/196548561278" TargetMode="External"/><Relationship Id="rId2" Type="http://schemas.openxmlformats.org/officeDocument/2006/relationships/hyperlink" Target="https://www.ktronix.com/computador-portatil-gamer-msi-156-pulgadas-crosshair-b12uez-intel-core-i7-ram-16gb-disco-sdd-1tb-negro/p/4719072965167" TargetMode="External"/><Relationship Id="rId1" Type="http://schemas.openxmlformats.org/officeDocument/2006/relationships/hyperlink" Target="https://www.ktronix.com/computador-portatil-gamer-victus-hp-161-pulgadas-d0505la-intel-core-i5-ram-16gb-disco-ssd-512-gb-azul/p/196337885127" TargetMode="External"/><Relationship Id="rId6" Type="http://schemas.openxmlformats.org/officeDocument/2006/relationships/drawing" Target="../drawings/drawing4.xml"/><Relationship Id="rId5" Type="http://schemas.openxmlformats.org/officeDocument/2006/relationships/hyperlink" Target="https://www.ktronix.com/multifuncional-epson-ecotank-l3210-hg-negro/p/010343958067" TargetMode="External"/><Relationship Id="rId4" Type="http://schemas.openxmlformats.org/officeDocument/2006/relationships/hyperlink" Target="https://www.ktronix.com/celular-samsung-galaxy-a03s-64gb-azul/p/880609270089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3EC48-512D-431D-BFC8-321B165D092A}">
  <dimension ref="A1:Z36"/>
  <sheetViews>
    <sheetView tabSelected="1" workbookViewId="0"/>
  </sheetViews>
  <sheetFormatPr baseColWidth="10" defaultRowHeight="13.8" x14ac:dyDescent="0.25"/>
  <cols>
    <col min="1" max="1" width="3" style="19" customWidth="1"/>
    <col min="2" max="2" width="19.6640625" style="19" customWidth="1"/>
    <col min="3" max="3" width="6.44140625" style="19" customWidth="1"/>
    <col min="4" max="4" width="10.33203125" style="19" bestFit="1" customWidth="1"/>
    <col min="5" max="5" width="12.109375" style="19" bestFit="1" customWidth="1"/>
    <col min="6" max="6" width="11.88671875" style="19" bestFit="1" customWidth="1"/>
    <col min="7" max="11" width="10.88671875" style="19" customWidth="1"/>
    <col min="12" max="16384" width="11.5546875" style="19"/>
  </cols>
  <sheetData>
    <row r="1" spans="1:26" ht="63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1.4" customHeight="1" thickBot="1" x14ac:dyDescent="0.3">
      <c r="A2" s="18"/>
      <c r="B2" s="20" t="s">
        <v>37</v>
      </c>
      <c r="C2" s="20"/>
      <c r="D2" s="20"/>
      <c r="E2" s="20"/>
      <c r="F2" s="20"/>
      <c r="G2" s="20"/>
      <c r="H2" s="20"/>
      <c r="I2" s="20"/>
      <c r="J2" s="20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" thickTop="1" thickBot="1" x14ac:dyDescent="0.3">
      <c r="A3" s="18"/>
      <c r="B3" s="116" t="s">
        <v>1</v>
      </c>
      <c r="C3" s="117" t="s">
        <v>2</v>
      </c>
      <c r="D3" s="117" t="s">
        <v>3</v>
      </c>
      <c r="E3" s="117" t="s">
        <v>27</v>
      </c>
      <c r="F3" s="117" t="s">
        <v>126</v>
      </c>
      <c r="G3" s="118" t="s">
        <v>6</v>
      </c>
      <c r="H3" s="118" t="s">
        <v>7</v>
      </c>
      <c r="I3" s="118" t="s">
        <v>8</v>
      </c>
      <c r="J3" s="118" t="s">
        <v>9</v>
      </c>
      <c r="K3" s="118" t="s">
        <v>108</v>
      </c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4.4" thickTop="1" x14ac:dyDescent="0.25">
      <c r="A4" s="18"/>
      <c r="B4" s="119" t="s">
        <v>96</v>
      </c>
      <c r="C4" s="120">
        <v>1</v>
      </c>
      <c r="D4" s="121">
        <f>1300*C4</f>
        <v>1300</v>
      </c>
      <c r="E4" s="121">
        <f>D4*$C$26</f>
        <v>674.13666666666677</v>
      </c>
      <c r="F4" s="121">
        <f>E4+D4*C4</f>
        <v>1974.1366666666668</v>
      </c>
      <c r="G4" s="121">
        <f>+F4*12</f>
        <v>23689.64</v>
      </c>
      <c r="H4" s="122">
        <f t="shared" ref="H4:J6" si="0">+G4*(1+0.3)</f>
        <v>30796.531999999999</v>
      </c>
      <c r="I4" s="122">
        <f t="shared" si="0"/>
        <v>40035.491600000001</v>
      </c>
      <c r="J4" s="122">
        <f t="shared" si="0"/>
        <v>52046.139080000001</v>
      </c>
      <c r="K4" s="122">
        <f>+J4*(1+0.3)</f>
        <v>67659.980804000006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18"/>
      <c r="B5" s="119" t="s">
        <v>91</v>
      </c>
      <c r="C5" s="120">
        <v>1</v>
      </c>
      <c r="D5" s="123">
        <f>800*C5</f>
        <v>800</v>
      </c>
      <c r="E5" s="121">
        <f>D5*$C$26</f>
        <v>414.85333333333341</v>
      </c>
      <c r="F5" s="121">
        <f>E5+D5*C5</f>
        <v>1214.8533333333335</v>
      </c>
      <c r="G5" s="121">
        <f>+F5*12</f>
        <v>14578.240000000002</v>
      </c>
      <c r="H5" s="122">
        <f t="shared" si="0"/>
        <v>18951.712000000003</v>
      </c>
      <c r="I5" s="122">
        <f t="shared" si="0"/>
        <v>24637.225600000005</v>
      </c>
      <c r="J5" s="122">
        <f t="shared" si="0"/>
        <v>32028.393280000008</v>
      </c>
      <c r="K5" s="122">
        <f>+J5*(1+0.3)</f>
        <v>41636.911264000009</v>
      </c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4" thickBot="1" x14ac:dyDescent="0.3">
      <c r="A6" s="18"/>
      <c r="B6" s="124" t="s">
        <v>5</v>
      </c>
      <c r="C6" s="125">
        <v>1</v>
      </c>
      <c r="D6" s="126">
        <f>450*C6</f>
        <v>450</v>
      </c>
      <c r="E6" s="121">
        <f>D6*$C$26</f>
        <v>233.35500000000002</v>
      </c>
      <c r="F6" s="127">
        <f>E6+D6*C6</f>
        <v>683.35500000000002</v>
      </c>
      <c r="G6" s="127">
        <f>+F6*12</f>
        <v>8200.26</v>
      </c>
      <c r="H6" s="122">
        <f t="shared" si="0"/>
        <v>10660.338</v>
      </c>
      <c r="I6" s="122">
        <f t="shared" si="0"/>
        <v>13858.439399999999</v>
      </c>
      <c r="J6" s="122">
        <f t="shared" si="0"/>
        <v>18015.971219999999</v>
      </c>
      <c r="K6" s="122">
        <f>+J6*(1+0.3)</f>
        <v>23420.762586000001</v>
      </c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thickTop="1" thickBot="1" x14ac:dyDescent="0.3">
      <c r="A7" s="18"/>
      <c r="B7" s="128" t="s">
        <v>4</v>
      </c>
      <c r="C7" s="129">
        <f t="shared" ref="C7:K7" si="1">SUM(C4:C6)</f>
        <v>3</v>
      </c>
      <c r="D7" s="130">
        <f t="shared" si="1"/>
        <v>2550</v>
      </c>
      <c r="E7" s="130">
        <f t="shared" si="1"/>
        <v>1322.3450000000003</v>
      </c>
      <c r="F7" s="130">
        <f t="shared" si="1"/>
        <v>3872.3450000000003</v>
      </c>
      <c r="G7" s="130">
        <f t="shared" si="1"/>
        <v>46468.140000000007</v>
      </c>
      <c r="H7" s="131">
        <f t="shared" si="1"/>
        <v>60408.582000000009</v>
      </c>
      <c r="I7" s="131">
        <f t="shared" si="1"/>
        <v>78531.156600000002</v>
      </c>
      <c r="J7" s="131">
        <f t="shared" si="1"/>
        <v>102090.50358000002</v>
      </c>
      <c r="K7" s="131">
        <f t="shared" si="1"/>
        <v>132717.65465400001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4" thickTop="1" x14ac:dyDescent="0.25">
      <c r="A8" s="18"/>
      <c r="B8" s="21" t="s">
        <v>104</v>
      </c>
      <c r="C8" s="22"/>
      <c r="D8" s="23"/>
      <c r="E8" s="23"/>
      <c r="F8" s="23"/>
      <c r="G8" s="23"/>
      <c r="H8" s="24"/>
      <c r="I8" s="24"/>
      <c r="J8" s="24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4" customHeight="1" x14ac:dyDescent="0.25">
      <c r="A10" s="18"/>
      <c r="B10" s="140" t="s">
        <v>11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s="18" customFormat="1" ht="15" customHeight="1" x14ac:dyDescent="0.25">
      <c r="B11" s="141" t="s">
        <v>105</v>
      </c>
      <c r="C11" s="141"/>
      <c r="D11" s="141"/>
      <c r="E11" s="141"/>
      <c r="F11" s="141"/>
      <c r="G11" s="141"/>
      <c r="H11" s="141"/>
      <c r="I11" s="25"/>
      <c r="J11" s="25"/>
    </row>
    <row r="12" spans="1:26" s="18" customFormat="1" ht="15" customHeight="1" x14ac:dyDescent="0.25">
      <c r="B12" s="141" t="s">
        <v>106</v>
      </c>
      <c r="C12" s="141"/>
      <c r="D12" s="141"/>
      <c r="E12" s="141"/>
      <c r="F12" s="141"/>
      <c r="G12" s="141"/>
      <c r="H12" s="141"/>
      <c r="I12" s="25"/>
      <c r="J12" s="25"/>
    </row>
    <row r="13" spans="1:26" s="18" customFormat="1" ht="15" customHeight="1" x14ac:dyDescent="0.25">
      <c r="B13" s="141" t="s">
        <v>107</v>
      </c>
      <c r="C13" s="141"/>
      <c r="D13" s="141"/>
      <c r="E13" s="141"/>
      <c r="F13" s="141"/>
      <c r="G13" s="141"/>
      <c r="H13" s="26"/>
      <c r="I13" s="27"/>
      <c r="J13" s="27"/>
    </row>
    <row r="14" spans="1:26" ht="14.4" thickBot="1" x14ac:dyDescent="0.3">
      <c r="A14" s="18"/>
      <c r="B14" s="20"/>
      <c r="C14" s="20"/>
      <c r="D14" s="20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5" thickTop="1" thickBot="1" x14ac:dyDescent="0.3">
      <c r="A15" s="18"/>
      <c r="B15" s="132" t="s">
        <v>102</v>
      </c>
      <c r="C15" s="133" t="s">
        <v>13</v>
      </c>
      <c r="D15" s="133" t="s">
        <v>12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4" thickTop="1" x14ac:dyDescent="0.25">
      <c r="A16" s="18"/>
      <c r="B16" s="114" t="s">
        <v>17</v>
      </c>
      <c r="C16" s="115" t="s">
        <v>18</v>
      </c>
      <c r="D16" s="2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/>
      <c r="B17" s="114" t="s">
        <v>25</v>
      </c>
      <c r="C17" s="114" t="s">
        <v>26</v>
      </c>
      <c r="D17" s="114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/>
      <c r="B18" s="114" t="s">
        <v>15</v>
      </c>
      <c r="C18" s="135">
        <v>8.5000000000000006E-2</v>
      </c>
      <c r="D18" s="135">
        <v>0.04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/>
      <c r="B19" s="114" t="s">
        <v>16</v>
      </c>
      <c r="C19" s="135">
        <v>0.12</v>
      </c>
      <c r="D19" s="135">
        <v>0.04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/>
      <c r="B20" s="114" t="s">
        <v>19</v>
      </c>
      <c r="C20" s="135">
        <v>5.1999999999999998E-3</v>
      </c>
      <c r="D20" s="135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/>
      <c r="B21" s="114" t="s">
        <v>20</v>
      </c>
      <c r="C21" s="135">
        <v>0.09</v>
      </c>
      <c r="D21" s="135"/>
      <c r="E21" s="18"/>
      <c r="F21" s="18"/>
      <c r="G21" s="18"/>
      <c r="H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/>
      <c r="B22" s="114" t="s">
        <v>21</v>
      </c>
      <c r="C22" s="135">
        <f>(100/12)%</f>
        <v>8.3333333333333343E-2</v>
      </c>
      <c r="D22" s="135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/>
      <c r="B23" s="114" t="s">
        <v>22</v>
      </c>
      <c r="C23" s="135">
        <f>(100/12)%</f>
        <v>8.3333333333333343E-2</v>
      </c>
      <c r="D23" s="135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5">
      <c r="A24" s="18"/>
      <c r="B24" s="114" t="s">
        <v>23</v>
      </c>
      <c r="C24" s="135">
        <v>0.01</v>
      </c>
      <c r="D24" s="135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4" thickBot="1" x14ac:dyDescent="0.3">
      <c r="A25" s="18"/>
      <c r="B25" s="134" t="s">
        <v>24</v>
      </c>
      <c r="C25" s="136">
        <v>4.1700000000000001E-2</v>
      </c>
      <c r="D25" s="136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5" thickTop="1" thickBot="1" x14ac:dyDescent="0.3">
      <c r="A26" s="18"/>
      <c r="B26" s="133" t="s">
        <v>4</v>
      </c>
      <c r="C26" s="138">
        <f>SUM(C18:C25)</f>
        <v>0.51856666666666673</v>
      </c>
      <c r="D26" s="13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4" thickTop="1" x14ac:dyDescent="0.25">
      <c r="A27" s="18"/>
      <c r="B27" s="29"/>
      <c r="C27" s="29"/>
      <c r="D27" s="2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</sheetData>
  <mergeCells count="4">
    <mergeCell ref="B10:L10"/>
    <mergeCell ref="B11:H11"/>
    <mergeCell ref="B12:H12"/>
    <mergeCell ref="B13:G13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AA0B1-2DA1-4B99-A854-B259C32E9B94}">
  <dimension ref="A1:AA50"/>
  <sheetViews>
    <sheetView workbookViewId="0"/>
  </sheetViews>
  <sheetFormatPr baseColWidth="10" defaultRowHeight="13.8" x14ac:dyDescent="0.25"/>
  <cols>
    <col min="1" max="1" width="2.77734375" style="19" customWidth="1"/>
    <col min="2" max="2" width="31.109375" style="19" bestFit="1" customWidth="1"/>
    <col min="3" max="5" width="12.21875" style="19" customWidth="1"/>
    <col min="6" max="6" width="13.33203125" style="19" bestFit="1" customWidth="1"/>
    <col min="7" max="7" width="13.33203125" style="19" customWidth="1"/>
    <col min="8" max="8" width="5.5546875" style="19" customWidth="1"/>
    <col min="9" max="9" width="11.5546875" style="19"/>
    <col min="10" max="10" width="5.33203125" style="19" customWidth="1"/>
    <col min="11" max="11" width="4.44140625" style="19" bestFit="1" customWidth="1"/>
    <col min="12" max="12" width="14.33203125" style="19" bestFit="1" customWidth="1"/>
    <col min="13" max="16384" width="11.5546875" style="19"/>
  </cols>
  <sheetData>
    <row r="1" spans="1:27" ht="63" customHeigh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 spans="1:27" ht="13.8" customHeight="1" thickBot="1" x14ac:dyDescent="0.3">
      <c r="A2" s="18"/>
      <c r="B2" s="20" t="s">
        <v>38</v>
      </c>
      <c r="C2" s="20"/>
      <c r="D2" s="20"/>
      <c r="E2" s="20"/>
      <c r="F2" s="20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 spans="1:27" ht="15.6" customHeight="1" thickTop="1" thickBot="1" x14ac:dyDescent="0.3">
      <c r="A3" s="18"/>
      <c r="B3" s="142" t="s">
        <v>29</v>
      </c>
      <c r="C3" s="142"/>
      <c r="D3" s="142"/>
      <c r="E3" s="142"/>
      <c r="F3" s="142"/>
      <c r="G3" s="142"/>
      <c r="H3" s="18"/>
      <c r="I3" s="20"/>
      <c r="J3" s="18"/>
      <c r="K3" s="20"/>
      <c r="L3" s="20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 spans="1:27" ht="15" thickTop="1" thickBot="1" x14ac:dyDescent="0.3">
      <c r="A4" s="18"/>
      <c r="B4" s="31" t="s">
        <v>28</v>
      </c>
      <c r="C4" s="32" t="s">
        <v>6</v>
      </c>
      <c r="D4" s="32" t="s">
        <v>7</v>
      </c>
      <c r="E4" s="32" t="s">
        <v>8</v>
      </c>
      <c r="F4" s="32" t="s">
        <v>9</v>
      </c>
      <c r="G4" s="32" t="s">
        <v>108</v>
      </c>
      <c r="I4" s="33" t="s">
        <v>87</v>
      </c>
      <c r="J4" s="18"/>
      <c r="K4" s="34" t="s">
        <v>103</v>
      </c>
      <c r="L4" s="34" t="s">
        <v>88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27" ht="14.4" thickTop="1" x14ac:dyDescent="0.25">
      <c r="A5" s="18"/>
      <c r="B5" s="18" t="s">
        <v>0</v>
      </c>
      <c r="C5" s="35">
        <f>'1.Salarios'!G7</f>
        <v>46468.140000000007</v>
      </c>
      <c r="D5" s="35">
        <f>'1.Salarios'!H7</f>
        <v>60408.582000000009</v>
      </c>
      <c r="E5" s="35">
        <f>'1.Salarios'!I7</f>
        <v>78531.156600000002</v>
      </c>
      <c r="F5" s="35">
        <f>'1.Salarios'!J7</f>
        <v>102090.50358000002</v>
      </c>
      <c r="G5" s="35">
        <f>'1.Salarios'!K7</f>
        <v>132717.65465400001</v>
      </c>
      <c r="H5" s="18"/>
      <c r="I5" s="36">
        <f t="shared" ref="I5:I10" si="0">C5/$C$21</f>
        <v>0.73197146850979011</v>
      </c>
      <c r="J5" s="18"/>
      <c r="K5" s="18">
        <v>1</v>
      </c>
      <c r="L5" s="37">
        <f>C21/12</f>
        <v>5290.295000000001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27" x14ac:dyDescent="0.25">
      <c r="A6" s="18"/>
      <c r="B6" s="18" t="s">
        <v>30</v>
      </c>
      <c r="C6" s="35">
        <f>370*12</f>
        <v>4440</v>
      </c>
      <c r="D6" s="35">
        <f t="shared" ref="D6:G10" si="1">C6*1.056</f>
        <v>4688.6400000000003</v>
      </c>
      <c r="E6" s="35">
        <f t="shared" si="1"/>
        <v>4951.2038400000001</v>
      </c>
      <c r="F6" s="35">
        <f t="shared" si="1"/>
        <v>5228.47125504</v>
      </c>
      <c r="G6" s="35">
        <f t="shared" si="1"/>
        <v>5521.2656453222398</v>
      </c>
      <c r="H6" s="18"/>
      <c r="I6" s="36">
        <f t="shared" si="0"/>
        <v>6.9939389013278078E-2</v>
      </c>
      <c r="J6" s="18"/>
      <c r="K6" s="18">
        <v>2</v>
      </c>
      <c r="L6" s="38">
        <f>D21/12</f>
        <v>6531.4037000000026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27" x14ac:dyDescent="0.25">
      <c r="A7" s="18"/>
      <c r="B7" s="18" t="s">
        <v>31</v>
      </c>
      <c r="C7" s="35">
        <f>15*12</f>
        <v>180</v>
      </c>
      <c r="D7" s="35">
        <f t="shared" si="1"/>
        <v>190.08</v>
      </c>
      <c r="E7" s="35">
        <f t="shared" si="1"/>
        <v>200.72448000000003</v>
      </c>
      <c r="F7" s="35">
        <f t="shared" si="1"/>
        <v>211.96505088000004</v>
      </c>
      <c r="G7" s="35">
        <f t="shared" si="1"/>
        <v>223.83509372928006</v>
      </c>
      <c r="H7" s="18"/>
      <c r="I7" s="36">
        <f t="shared" si="0"/>
        <v>2.8353806356734355E-3</v>
      </c>
      <c r="J7" s="18"/>
      <c r="K7" s="18">
        <v>3</v>
      </c>
      <c r="L7" s="38">
        <f>E21/12</f>
        <v>8125.4701412000004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27" x14ac:dyDescent="0.25">
      <c r="A8" s="18"/>
      <c r="B8" s="18" t="s">
        <v>32</v>
      </c>
      <c r="C8" s="35">
        <f>30*12</f>
        <v>360</v>
      </c>
      <c r="D8" s="35">
        <f t="shared" si="1"/>
        <v>380.16</v>
      </c>
      <c r="E8" s="35">
        <f t="shared" si="1"/>
        <v>401.44896000000006</v>
      </c>
      <c r="F8" s="35">
        <f t="shared" si="1"/>
        <v>423.93010176000007</v>
      </c>
      <c r="G8" s="35">
        <f t="shared" si="1"/>
        <v>447.67018745856012</v>
      </c>
      <c r="H8" s="18"/>
      <c r="I8" s="36">
        <f t="shared" si="0"/>
        <v>5.670761271346871E-3</v>
      </c>
      <c r="J8" s="18"/>
      <c r="K8" s="18">
        <v>4</v>
      </c>
      <c r="L8" s="38">
        <f>F21/12</f>
        <v>10177.296653307201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27" ht="14.4" thickBot="1" x14ac:dyDescent="0.3">
      <c r="A9" s="18"/>
      <c r="B9" s="18" t="s">
        <v>33</v>
      </c>
      <c r="C9" s="35">
        <f>35.15*12</f>
        <v>421.79999999999995</v>
      </c>
      <c r="D9" s="35">
        <f t="shared" si="1"/>
        <v>445.42079999999999</v>
      </c>
      <c r="E9" s="35">
        <f t="shared" si="1"/>
        <v>470.36436480000003</v>
      </c>
      <c r="F9" s="35">
        <f t="shared" si="1"/>
        <v>496.70476922880005</v>
      </c>
      <c r="G9" s="35">
        <f t="shared" si="1"/>
        <v>524.52023630561291</v>
      </c>
      <c r="H9" s="18"/>
      <c r="I9" s="36">
        <f t="shared" si="0"/>
        <v>6.6442419562614168E-3</v>
      </c>
      <c r="J9" s="18"/>
      <c r="K9" s="20">
        <v>5</v>
      </c>
      <c r="L9" s="39">
        <f>G21/12</f>
        <v>12823.065505352404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27" ht="14.4" thickTop="1" x14ac:dyDescent="0.25">
      <c r="A10" s="18"/>
      <c r="B10" s="40" t="s">
        <v>34</v>
      </c>
      <c r="C10" s="41">
        <f>17.8*12</f>
        <v>213.60000000000002</v>
      </c>
      <c r="D10" s="41">
        <f t="shared" si="1"/>
        <v>225.56160000000003</v>
      </c>
      <c r="E10" s="41">
        <f t="shared" si="1"/>
        <v>238.19304960000005</v>
      </c>
      <c r="F10" s="41">
        <f t="shared" si="1"/>
        <v>251.53186037760005</v>
      </c>
      <c r="G10" s="41">
        <f t="shared" si="1"/>
        <v>265.61764455874567</v>
      </c>
      <c r="H10" s="18"/>
      <c r="I10" s="42">
        <f t="shared" si="0"/>
        <v>3.3646516876658108E-3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27" ht="14.4" thickBot="1" x14ac:dyDescent="0.3">
      <c r="A11" s="18"/>
      <c r="B11" s="43" t="s">
        <v>35</v>
      </c>
      <c r="C11" s="44">
        <f>SUM(C5:C10)</f>
        <v>52083.540000000008</v>
      </c>
      <c r="D11" s="44">
        <f>SUM(D5:D10)</f>
        <v>66338.444400000022</v>
      </c>
      <c r="E11" s="44">
        <f>SUM(E5:E10)</f>
        <v>84793.091294400001</v>
      </c>
      <c r="F11" s="44">
        <f>SUM(F5:F10)</f>
        <v>108703.10661728641</v>
      </c>
      <c r="G11" s="44">
        <f>SUM(G5:G10)</f>
        <v>139700.56346137446</v>
      </c>
      <c r="H11" s="18"/>
      <c r="I11" s="45">
        <f>C11/C21</f>
        <v>0.8204258930740157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27" ht="15" thickTop="1" thickBot="1" x14ac:dyDescent="0.3">
      <c r="A12" s="18"/>
      <c r="B12" s="59"/>
      <c r="C12" s="60"/>
      <c r="D12" s="60"/>
      <c r="E12" s="60"/>
      <c r="F12" s="60"/>
      <c r="G12" s="60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27" ht="15.6" customHeight="1" thickTop="1" thickBot="1" x14ac:dyDescent="0.3">
      <c r="A13" s="18"/>
      <c r="B13" s="142" t="s">
        <v>10</v>
      </c>
      <c r="C13" s="142"/>
      <c r="D13" s="142"/>
      <c r="E13" s="142"/>
      <c r="F13" s="142"/>
      <c r="G13" s="142"/>
      <c r="H13" s="18"/>
      <c r="I13" s="20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27" ht="15" thickTop="1" thickBot="1" x14ac:dyDescent="0.3">
      <c r="A14" s="18"/>
      <c r="B14" s="31" t="s">
        <v>28</v>
      </c>
      <c r="C14" s="32" t="s">
        <v>6</v>
      </c>
      <c r="D14" s="32" t="s">
        <v>7</v>
      </c>
      <c r="E14" s="32" t="s">
        <v>8</v>
      </c>
      <c r="F14" s="32" t="s">
        <v>9</v>
      </c>
      <c r="G14" s="30" t="s">
        <v>108</v>
      </c>
      <c r="H14" s="18"/>
      <c r="I14" s="33" t="s">
        <v>87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27" ht="14.4" thickTop="1" x14ac:dyDescent="0.25">
      <c r="A15" s="18"/>
      <c r="B15" s="18" t="s">
        <v>39</v>
      </c>
      <c r="C15" s="46">
        <f>600*12</f>
        <v>7200</v>
      </c>
      <c r="D15" s="35">
        <f t="shared" ref="D15:G18" si="2">C15*1.056</f>
        <v>7603.2000000000007</v>
      </c>
      <c r="E15" s="35">
        <f t="shared" si="2"/>
        <v>8028.9792000000016</v>
      </c>
      <c r="F15" s="35">
        <f t="shared" si="2"/>
        <v>8478.6020352000014</v>
      </c>
      <c r="G15" s="35">
        <f t="shared" si="2"/>
        <v>8953.4037491712024</v>
      </c>
      <c r="H15" s="18"/>
      <c r="I15" s="36">
        <f>C15/$C$21</f>
        <v>0.11341522542693742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27" x14ac:dyDescent="0.25">
      <c r="A16" s="18"/>
      <c r="B16" s="18" t="s">
        <v>40</v>
      </c>
      <c r="C16" s="46">
        <v>100</v>
      </c>
      <c r="D16" s="35">
        <f t="shared" si="2"/>
        <v>105.60000000000001</v>
      </c>
      <c r="E16" s="35">
        <f t="shared" si="2"/>
        <v>111.51360000000001</v>
      </c>
      <c r="F16" s="35">
        <f t="shared" si="2"/>
        <v>117.75836160000001</v>
      </c>
      <c r="G16" s="35">
        <f t="shared" si="2"/>
        <v>124.35282984960003</v>
      </c>
      <c r="H16" s="18"/>
      <c r="I16" s="36">
        <f>C16/$C$21</f>
        <v>1.5752114642630197E-3</v>
      </c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x14ac:dyDescent="0.25">
      <c r="A17" s="18"/>
      <c r="B17" s="18" t="s">
        <v>41</v>
      </c>
      <c r="C17" s="46">
        <v>200</v>
      </c>
      <c r="D17" s="35">
        <f t="shared" si="2"/>
        <v>211.20000000000002</v>
      </c>
      <c r="E17" s="35">
        <f t="shared" si="2"/>
        <v>223.02720000000002</v>
      </c>
      <c r="F17" s="35">
        <f t="shared" si="2"/>
        <v>235.51672320000003</v>
      </c>
      <c r="G17" s="35">
        <f t="shared" si="2"/>
        <v>248.70565969920006</v>
      </c>
      <c r="H17" s="18"/>
      <c r="I17" s="36">
        <f>C17/$C$21</f>
        <v>3.1504229285260394E-3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x14ac:dyDescent="0.25">
      <c r="A18" s="18"/>
      <c r="B18" s="40" t="s">
        <v>42</v>
      </c>
      <c r="C18" s="41">
        <f>325*12</f>
        <v>3900</v>
      </c>
      <c r="D18" s="41">
        <f t="shared" si="2"/>
        <v>4118.4000000000005</v>
      </c>
      <c r="E18" s="41">
        <f t="shared" si="2"/>
        <v>4349.0304000000006</v>
      </c>
      <c r="F18" s="41">
        <f t="shared" si="2"/>
        <v>4592.5761024000012</v>
      </c>
      <c r="G18" s="41">
        <f t="shared" si="2"/>
        <v>4849.7603641344012</v>
      </c>
      <c r="H18" s="18"/>
      <c r="I18" s="36">
        <f>C18/$C$21</f>
        <v>6.143324710625777E-2</v>
      </c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4.4" thickBot="1" x14ac:dyDescent="0.3">
      <c r="A19" s="18"/>
      <c r="B19" s="43" t="s">
        <v>35</v>
      </c>
      <c r="C19" s="44">
        <f>SUM(C15:C18)</f>
        <v>11400</v>
      </c>
      <c r="D19" s="44">
        <f>SUM(D13:D18)</f>
        <v>12038.400000000001</v>
      </c>
      <c r="E19" s="44">
        <f>SUM(E13:E18)</f>
        <v>12712.550400000004</v>
      </c>
      <c r="F19" s="44">
        <f>SUM(F13:F18)</f>
        <v>13424.453222400003</v>
      </c>
      <c r="G19" s="44">
        <f>SUM(G13:G18)</f>
        <v>14176.222602854405</v>
      </c>
      <c r="I19" s="45">
        <f>C19/C21</f>
        <v>0.17957410692598424</v>
      </c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4.4" thickTop="1" x14ac:dyDescent="0.25">
      <c r="A20" s="18"/>
      <c r="B20" s="21" t="s">
        <v>104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x14ac:dyDescent="0.25">
      <c r="A21" s="18"/>
      <c r="B21" s="47" t="s">
        <v>43</v>
      </c>
      <c r="C21" s="48">
        <f>C11+C19</f>
        <v>63483.540000000008</v>
      </c>
      <c r="D21" s="48">
        <f>D11+D19</f>
        <v>78376.844400000031</v>
      </c>
      <c r="E21" s="48">
        <f>E11+E19</f>
        <v>97505.641694400008</v>
      </c>
      <c r="F21" s="48">
        <f>F11+F19</f>
        <v>122127.55983968641</v>
      </c>
      <c r="G21" s="48">
        <f>G11+G19</f>
        <v>153876.78606422886</v>
      </c>
      <c r="H21" s="18"/>
      <c r="I21" s="139">
        <f>I11+I19</f>
        <v>1</v>
      </c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</sheetData>
  <mergeCells count="2">
    <mergeCell ref="B13:G13"/>
    <mergeCell ref="B3:G3"/>
  </mergeCells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FCA7-9BD4-4FE3-9ADD-1DF3B9C10AFE}">
  <dimension ref="A1:Z41"/>
  <sheetViews>
    <sheetView workbookViewId="0">
      <selection activeCell="A16" sqref="A16"/>
    </sheetView>
  </sheetViews>
  <sheetFormatPr baseColWidth="10" defaultRowHeight="14.4" x14ac:dyDescent="0.3"/>
  <cols>
    <col min="1" max="1" width="3.6640625" customWidth="1"/>
    <col min="2" max="2" width="27.33203125" customWidth="1"/>
    <col min="3" max="6" width="11.88671875" customWidth="1"/>
    <col min="7" max="7" width="12.6640625" bestFit="1" customWidth="1"/>
    <col min="8" max="8" width="10.77734375" customWidth="1"/>
    <col min="9" max="9" width="12.6640625" bestFit="1" customWidth="1"/>
    <col min="10" max="10" width="8.88671875" bestFit="1" customWidth="1"/>
    <col min="11" max="11" width="13.33203125" bestFit="1" customWidth="1"/>
    <col min="12" max="12" width="10.88671875" customWidth="1"/>
  </cols>
  <sheetData>
    <row r="1" spans="1:26" ht="63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thickBot="1" x14ac:dyDescent="0.35">
      <c r="A2" s="1"/>
      <c r="B2" s="2" t="s">
        <v>38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6" thickTop="1" thickBot="1" x14ac:dyDescent="0.35">
      <c r="A3" s="1"/>
      <c r="B3" s="143" t="s">
        <v>101</v>
      </c>
      <c r="C3" s="143"/>
      <c r="D3" s="143"/>
      <c r="E3" s="143"/>
      <c r="F3" s="143"/>
      <c r="G3" s="143"/>
      <c r="H3" s="1"/>
      <c r="I3" s="2"/>
      <c r="J3" s="1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6" thickTop="1" thickBot="1" x14ac:dyDescent="0.35">
      <c r="A4" s="1"/>
      <c r="B4" s="5" t="s">
        <v>28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108</v>
      </c>
      <c r="H4" s="1"/>
      <c r="I4" s="15" t="s">
        <v>98</v>
      </c>
      <c r="J4" s="1"/>
      <c r="K4" s="6" t="s">
        <v>103</v>
      </c>
      <c r="L4" s="80" t="s">
        <v>97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thickTop="1" x14ac:dyDescent="0.3">
      <c r="A5" s="1"/>
      <c r="B5" s="1" t="s">
        <v>89</v>
      </c>
      <c r="C5" s="7">
        <f t="shared" ref="C5:C10" si="0">C17*D17</f>
        <v>10000</v>
      </c>
      <c r="D5" s="7">
        <f t="shared" ref="D5:D10" si="1">E17*F17</f>
        <v>21120</v>
      </c>
      <c r="E5" s="7">
        <f t="shared" ref="E5:E10" si="2">G17*H17</f>
        <v>44605.440000000002</v>
      </c>
      <c r="F5" s="7">
        <f>I17*J17</f>
        <v>70655.016960000008</v>
      </c>
      <c r="G5" s="7">
        <f>J17*K17</f>
        <v>74611.697909760012</v>
      </c>
      <c r="H5" s="1"/>
      <c r="I5" s="11">
        <f t="shared" ref="I5:I10" si="3">C5/$C$11</f>
        <v>0.2</v>
      </c>
      <c r="J5" s="1"/>
      <c r="K5" s="1">
        <v>1</v>
      </c>
      <c r="L5" s="12">
        <f>C11/12</f>
        <v>4166.666666666667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">
      <c r="A6" s="1"/>
      <c r="B6" s="1" t="s">
        <v>94</v>
      </c>
      <c r="C6" s="7">
        <f t="shared" si="0"/>
        <v>6000</v>
      </c>
      <c r="D6" s="7">
        <f t="shared" si="1"/>
        <v>12672</v>
      </c>
      <c r="E6" s="7">
        <f t="shared" si="2"/>
        <v>26763.263999999999</v>
      </c>
      <c r="F6" s="7">
        <f t="shared" ref="F6:G10" si="4">I18*J18</f>
        <v>42393.010176000003</v>
      </c>
      <c r="G6" s="7">
        <f t="shared" si="4"/>
        <v>44767.018745856003</v>
      </c>
      <c r="H6" s="1"/>
      <c r="I6" s="11">
        <f t="shared" si="3"/>
        <v>0.12</v>
      </c>
      <c r="J6" s="1"/>
      <c r="K6" s="1">
        <v>2</v>
      </c>
      <c r="L6" s="12">
        <f>D11/12</f>
        <v>7374.4000000000005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 s="1"/>
      <c r="B7" s="1" t="s">
        <v>95</v>
      </c>
      <c r="C7" s="7">
        <f t="shared" si="0"/>
        <v>7000</v>
      </c>
      <c r="D7" s="7">
        <f t="shared" si="1"/>
        <v>17740.8</v>
      </c>
      <c r="E7" s="7">
        <f t="shared" si="2"/>
        <v>39029.760000000002</v>
      </c>
      <c r="F7" s="7">
        <f t="shared" si="4"/>
        <v>64296.065433600008</v>
      </c>
      <c r="G7" s="7">
        <f t="shared" si="4"/>
        <v>67896.645097881614</v>
      </c>
      <c r="H7" s="1"/>
      <c r="I7" s="11">
        <f t="shared" si="3"/>
        <v>0.14000000000000001</v>
      </c>
      <c r="J7" s="1"/>
      <c r="K7" s="1">
        <v>3</v>
      </c>
      <c r="L7" s="12">
        <f>E11/12</f>
        <v>13102.848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thickBot="1" x14ac:dyDescent="0.35">
      <c r="A8" s="1"/>
      <c r="B8" s="1" t="s">
        <v>90</v>
      </c>
      <c r="C8" s="7">
        <f t="shared" si="0"/>
        <v>1000</v>
      </c>
      <c r="D8" s="7">
        <f t="shared" si="1"/>
        <v>4224</v>
      </c>
      <c r="E8" s="7">
        <f t="shared" si="2"/>
        <v>5018.1120000000001</v>
      </c>
      <c r="F8" s="7">
        <f t="shared" si="4"/>
        <v>5887.9180800000004</v>
      </c>
      <c r="G8" s="7">
        <f t="shared" si="4"/>
        <v>6217.641492480001</v>
      </c>
      <c r="H8" s="1"/>
      <c r="I8" s="11">
        <f t="shared" si="3"/>
        <v>0.02</v>
      </c>
      <c r="J8" s="1"/>
      <c r="K8" s="2">
        <v>4</v>
      </c>
      <c r="L8" s="16">
        <f>F11/12</f>
        <v>18949.283020800001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thickTop="1" x14ac:dyDescent="0.3">
      <c r="A9" s="1"/>
      <c r="B9" s="1" t="s">
        <v>92</v>
      </c>
      <c r="C9" s="7">
        <f t="shared" si="0"/>
        <v>20000</v>
      </c>
      <c r="D9" s="7">
        <f t="shared" si="1"/>
        <v>26400</v>
      </c>
      <c r="E9" s="7">
        <f t="shared" si="2"/>
        <v>33454.080000000002</v>
      </c>
      <c r="F9" s="7">
        <f t="shared" si="4"/>
        <v>35327.508480000004</v>
      </c>
      <c r="G9" s="7">
        <f t="shared" si="4"/>
        <v>37305.848954880006</v>
      </c>
      <c r="H9" s="1"/>
      <c r="I9" s="11">
        <f t="shared" si="3"/>
        <v>0.4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thickBot="1" x14ac:dyDescent="0.35">
      <c r="A10" s="1"/>
      <c r="B10" s="2" t="s">
        <v>93</v>
      </c>
      <c r="C10" s="13">
        <f t="shared" si="0"/>
        <v>6000</v>
      </c>
      <c r="D10" s="13">
        <f t="shared" si="1"/>
        <v>6336</v>
      </c>
      <c r="E10" s="13">
        <f t="shared" si="2"/>
        <v>8363.52</v>
      </c>
      <c r="F10" s="13">
        <f t="shared" si="4"/>
        <v>8831.877120000001</v>
      </c>
      <c r="G10" s="13">
        <f t="shared" si="4"/>
        <v>9326.4622387200016</v>
      </c>
      <c r="H10" s="1"/>
      <c r="I10" s="17">
        <f t="shared" si="3"/>
        <v>0.12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6" thickTop="1" thickBot="1" x14ac:dyDescent="0.35">
      <c r="A11" s="1"/>
      <c r="B11" s="8" t="s">
        <v>4</v>
      </c>
      <c r="C11" s="9">
        <f>SUM(C5:C10)</f>
        <v>50000</v>
      </c>
      <c r="D11" s="9">
        <f>SUM(D5:D10)</f>
        <v>88492.800000000003</v>
      </c>
      <c r="E11" s="9">
        <f>SUM(E5:E10)</f>
        <v>157234.17600000001</v>
      </c>
      <c r="F11" s="14">
        <f>SUM(F5:F10)</f>
        <v>227391.39624960002</v>
      </c>
      <c r="G11" s="14">
        <f>SUM(G5:G10)</f>
        <v>240125.31443957763</v>
      </c>
      <c r="I11" s="11">
        <f>SUM(I5:I10)</f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thickTop="1" x14ac:dyDescent="0.3">
      <c r="A12" s="1"/>
      <c r="B12" s="1"/>
      <c r="C12" s="12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thickBot="1" x14ac:dyDescent="0.35">
      <c r="A14" s="1"/>
      <c r="B14" s="2" t="s">
        <v>38</v>
      </c>
      <c r="C14" s="2"/>
      <c r="D14" s="2"/>
      <c r="E14" s="2"/>
      <c r="F14" s="2"/>
      <c r="G14" s="2"/>
      <c r="H14" s="2"/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thickTop="1" x14ac:dyDescent="0.3">
      <c r="A15" s="1"/>
      <c r="B15" s="4"/>
      <c r="C15" s="144" t="s">
        <v>6</v>
      </c>
      <c r="D15" s="144"/>
      <c r="E15" s="144" t="s">
        <v>7</v>
      </c>
      <c r="F15" s="144"/>
      <c r="G15" s="144" t="s">
        <v>8</v>
      </c>
      <c r="H15" s="144"/>
      <c r="I15" s="144" t="s">
        <v>9</v>
      </c>
      <c r="J15" s="144"/>
      <c r="K15" s="143" t="s">
        <v>108</v>
      </c>
      <c r="L15" s="143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thickBot="1" x14ac:dyDescent="0.35">
      <c r="A16" s="1"/>
      <c r="B16" s="6" t="s">
        <v>102</v>
      </c>
      <c r="C16" s="6" t="s">
        <v>100</v>
      </c>
      <c r="D16" s="6" t="s">
        <v>99</v>
      </c>
      <c r="E16" s="6" t="s">
        <v>100</v>
      </c>
      <c r="F16" s="6" t="s">
        <v>99</v>
      </c>
      <c r="G16" s="6" t="s">
        <v>100</v>
      </c>
      <c r="H16" s="6" t="s">
        <v>99</v>
      </c>
      <c r="I16" s="6" t="s">
        <v>100</v>
      </c>
      <c r="J16" s="6" t="s">
        <v>99</v>
      </c>
      <c r="K16" s="6" t="s">
        <v>100</v>
      </c>
      <c r="L16" s="6" t="s">
        <v>99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thickTop="1" x14ac:dyDescent="0.3">
      <c r="A17" s="1"/>
      <c r="B17" s="1" t="s">
        <v>89</v>
      </c>
      <c r="C17" s="10">
        <v>10000</v>
      </c>
      <c r="D17" s="1">
        <v>1</v>
      </c>
      <c r="E17" s="10">
        <f t="shared" ref="E17:E22" si="5">C17*1.056</f>
        <v>10560</v>
      </c>
      <c r="F17" s="1">
        <v>2</v>
      </c>
      <c r="G17" s="10">
        <f t="shared" ref="G17:G22" si="6">E17*1.056</f>
        <v>11151.36</v>
      </c>
      <c r="H17" s="1">
        <v>4</v>
      </c>
      <c r="I17" s="10">
        <f t="shared" ref="I17:I22" si="7">G17*1.056</f>
        <v>11775.836160000001</v>
      </c>
      <c r="J17" s="1">
        <v>6</v>
      </c>
      <c r="K17" s="10">
        <f t="shared" ref="K17:K22" si="8">I17*1.056</f>
        <v>12435.282984960002</v>
      </c>
      <c r="L17" s="1">
        <v>7</v>
      </c>
      <c r="M17" s="1"/>
      <c r="N17" s="15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">
      <c r="A18" s="1"/>
      <c r="B18" s="1" t="s">
        <v>94</v>
      </c>
      <c r="C18" s="10">
        <v>500</v>
      </c>
      <c r="D18" s="1">
        <v>12</v>
      </c>
      <c r="E18" s="10">
        <f t="shared" si="5"/>
        <v>528</v>
      </c>
      <c r="F18" s="1">
        <f>D18*F17</f>
        <v>24</v>
      </c>
      <c r="G18" s="10">
        <f t="shared" si="6"/>
        <v>557.56799999999998</v>
      </c>
      <c r="H18" s="1">
        <f>D18*H17</f>
        <v>48</v>
      </c>
      <c r="I18" s="10">
        <f t="shared" si="7"/>
        <v>588.79180800000006</v>
      </c>
      <c r="J18" s="1">
        <f>D18*J17</f>
        <v>72</v>
      </c>
      <c r="K18" s="10">
        <f t="shared" si="8"/>
        <v>621.76414924800008</v>
      </c>
      <c r="L18" s="1">
        <f>F18*L17</f>
        <v>168</v>
      </c>
      <c r="M18" s="1"/>
      <c r="N18" s="15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3">
      <c r="A19" s="1"/>
      <c r="B19" s="1" t="s">
        <v>95</v>
      </c>
      <c r="C19" s="10">
        <v>0.7</v>
      </c>
      <c r="D19" s="1">
        <v>10000</v>
      </c>
      <c r="E19" s="10">
        <f t="shared" si="5"/>
        <v>0.73919999999999997</v>
      </c>
      <c r="F19" s="1">
        <f>D19*F17*1.2</f>
        <v>24000</v>
      </c>
      <c r="G19" s="10">
        <f t="shared" si="6"/>
        <v>0.78059520000000004</v>
      </c>
      <c r="H19" s="1">
        <f>D19*H17*1.25</f>
        <v>50000</v>
      </c>
      <c r="I19" s="10">
        <f t="shared" si="7"/>
        <v>0.82430853120000014</v>
      </c>
      <c r="J19" s="1">
        <f>D19*J17*1.3</f>
        <v>78000</v>
      </c>
      <c r="K19" s="10">
        <f t="shared" si="8"/>
        <v>0.87046980894720016</v>
      </c>
      <c r="L19" s="1">
        <f>F19*L17*1.3</f>
        <v>218400</v>
      </c>
      <c r="M19" s="1"/>
      <c r="N19" s="15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">
      <c r="A20" s="1"/>
      <c r="B20" s="1" t="s">
        <v>90</v>
      </c>
      <c r="C20" s="10">
        <v>500</v>
      </c>
      <c r="D20" s="1">
        <v>2</v>
      </c>
      <c r="E20" s="10">
        <f t="shared" si="5"/>
        <v>528</v>
      </c>
      <c r="F20" s="1">
        <v>8</v>
      </c>
      <c r="G20" s="10">
        <f t="shared" si="6"/>
        <v>557.56799999999998</v>
      </c>
      <c r="H20" s="1">
        <v>9</v>
      </c>
      <c r="I20" s="10">
        <f t="shared" si="7"/>
        <v>588.79180800000006</v>
      </c>
      <c r="J20" s="1">
        <v>10</v>
      </c>
      <c r="K20" s="10">
        <f t="shared" si="8"/>
        <v>621.76414924800008</v>
      </c>
      <c r="L20" s="1">
        <v>10</v>
      </c>
      <c r="M20" s="1"/>
      <c r="N20" s="15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">
      <c r="A21" s="1"/>
      <c r="B21" s="1" t="s">
        <v>92</v>
      </c>
      <c r="C21" s="10">
        <v>5000</v>
      </c>
      <c r="D21" s="1">
        <v>4</v>
      </c>
      <c r="E21" s="10">
        <f t="shared" si="5"/>
        <v>5280</v>
      </c>
      <c r="F21" s="1">
        <v>5</v>
      </c>
      <c r="G21" s="10">
        <f t="shared" si="6"/>
        <v>5575.68</v>
      </c>
      <c r="H21" s="1">
        <v>6</v>
      </c>
      <c r="I21" s="10">
        <f t="shared" si="7"/>
        <v>5887.9180800000004</v>
      </c>
      <c r="J21" s="1">
        <v>6</v>
      </c>
      <c r="K21" s="10">
        <f t="shared" si="8"/>
        <v>6217.641492480001</v>
      </c>
      <c r="L21" s="1">
        <v>8</v>
      </c>
      <c r="M21" s="1"/>
      <c r="N21" s="155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thickBot="1" x14ac:dyDescent="0.35">
      <c r="A22" s="1"/>
      <c r="B22" s="2" t="s">
        <v>93</v>
      </c>
      <c r="C22" s="13">
        <v>1500</v>
      </c>
      <c r="D22" s="2">
        <v>4</v>
      </c>
      <c r="E22" s="13">
        <f t="shared" si="5"/>
        <v>1584</v>
      </c>
      <c r="F22" s="2">
        <v>4</v>
      </c>
      <c r="G22" s="13">
        <f t="shared" si="6"/>
        <v>1672.7040000000002</v>
      </c>
      <c r="H22" s="2">
        <v>5</v>
      </c>
      <c r="I22" s="13">
        <f t="shared" si="7"/>
        <v>1766.3754240000003</v>
      </c>
      <c r="J22" s="2">
        <v>5</v>
      </c>
      <c r="K22" s="13">
        <f t="shared" si="8"/>
        <v>1865.2924477440004</v>
      </c>
      <c r="L22" s="2">
        <v>6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thickTop="1" x14ac:dyDescent="0.3">
      <c r="A23" s="1"/>
      <c r="B23" s="3" t="s">
        <v>36</v>
      </c>
      <c r="C23" s="1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mergeCells count="6">
    <mergeCell ref="K15:L15"/>
    <mergeCell ref="B3:G3"/>
    <mergeCell ref="C15:D15"/>
    <mergeCell ref="E15:F15"/>
    <mergeCell ref="G15:H15"/>
    <mergeCell ref="I15:J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7D26-2B66-4FF1-B709-764FEF977484}">
  <dimension ref="A1:Z120"/>
  <sheetViews>
    <sheetView zoomScaleNormal="100" workbookViewId="0">
      <selection activeCell="H30" sqref="H30"/>
    </sheetView>
  </sheetViews>
  <sheetFormatPr baseColWidth="10" defaultRowHeight="13.8" x14ac:dyDescent="0.25"/>
  <cols>
    <col min="1" max="1" width="3" style="19" customWidth="1"/>
    <col min="2" max="2" width="10.5546875" style="19" bestFit="1" customWidth="1"/>
    <col min="3" max="3" width="10.88671875" style="19" customWidth="1"/>
    <col min="4" max="4" width="15.21875" style="19" bestFit="1" customWidth="1"/>
    <col min="5" max="5" width="14.77734375" style="19" customWidth="1"/>
    <col min="6" max="6" width="14.33203125" style="19" customWidth="1"/>
    <col min="7" max="7" width="5.6640625" style="19" customWidth="1"/>
    <col min="8" max="8" width="94.5546875" style="19" bestFit="1" customWidth="1"/>
    <col min="9" max="9" width="11.33203125" style="19" bestFit="1" customWidth="1"/>
    <col min="10" max="10" width="7.109375" style="19" bestFit="1" customWidth="1"/>
    <col min="11" max="11" width="13.33203125" style="19" bestFit="1" customWidth="1"/>
    <col min="12" max="12" width="14.109375" style="19" bestFit="1" customWidth="1"/>
    <col min="13" max="16384" width="11.5546875" style="19"/>
  </cols>
  <sheetData>
    <row r="1" spans="1:26" ht="63" customHeight="1" thickBot="1" x14ac:dyDescent="0.3">
      <c r="A1" s="18"/>
      <c r="B1" s="49"/>
      <c r="C1" s="49"/>
      <c r="D1" s="49"/>
      <c r="E1" s="49"/>
      <c r="F1" s="49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thickBot="1" x14ac:dyDescent="0.3">
      <c r="A2" s="18"/>
      <c r="B2" s="146" t="s">
        <v>44</v>
      </c>
      <c r="C2" s="146"/>
      <c r="D2" s="146"/>
      <c r="E2" s="146"/>
      <c r="F2" s="146"/>
      <c r="G2" s="18"/>
      <c r="H2" s="65"/>
      <c r="I2" s="20"/>
      <c r="J2" s="20"/>
      <c r="K2" s="20"/>
      <c r="L2" s="20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6.2" thickTop="1" thickBot="1" x14ac:dyDescent="0.3">
      <c r="A3" s="18"/>
      <c r="B3" s="147" t="s">
        <v>45</v>
      </c>
      <c r="C3" s="147"/>
      <c r="D3" s="147"/>
      <c r="E3" s="147"/>
      <c r="F3" s="50">
        <v>20000</v>
      </c>
      <c r="G3" s="18"/>
      <c r="H3" s="34" t="s">
        <v>112</v>
      </c>
      <c r="I3" s="34" t="s">
        <v>14</v>
      </c>
      <c r="J3" s="34" t="s">
        <v>116</v>
      </c>
      <c r="K3" s="34" t="s">
        <v>111</v>
      </c>
      <c r="L3" s="34" t="s">
        <v>119</v>
      </c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.6" thickTop="1" x14ac:dyDescent="0.25">
      <c r="A4" s="18"/>
      <c r="B4" s="147" t="s">
        <v>46</v>
      </c>
      <c r="C4" s="147"/>
      <c r="D4" s="147"/>
      <c r="E4" s="147"/>
      <c r="F4" s="51">
        <f>12*5</f>
        <v>60</v>
      </c>
      <c r="G4" s="18"/>
      <c r="H4" s="72" t="s">
        <v>114</v>
      </c>
      <c r="I4" s="46">
        <v>2150</v>
      </c>
      <c r="J4" s="61">
        <v>0.2</v>
      </c>
      <c r="K4" s="38">
        <f>J4*I4</f>
        <v>430</v>
      </c>
      <c r="L4" s="64">
        <f>100%/J4</f>
        <v>5</v>
      </c>
      <c r="M4" s="3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9.2" customHeight="1" x14ac:dyDescent="0.25">
      <c r="A5" s="18"/>
      <c r="B5" s="147" t="s">
        <v>47</v>
      </c>
      <c r="C5" s="147"/>
      <c r="D5" s="147"/>
      <c r="E5" s="147"/>
      <c r="F5" s="52">
        <v>1.15E-2</v>
      </c>
      <c r="G5" s="18"/>
      <c r="H5" s="73" t="s">
        <v>113</v>
      </c>
      <c r="I5" s="46">
        <v>870</v>
      </c>
      <c r="J5" s="61">
        <v>0.2</v>
      </c>
      <c r="K5" s="38">
        <f>J5*I5</f>
        <v>174</v>
      </c>
      <c r="L5" s="64">
        <f>100%/J5</f>
        <v>5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4" thickBot="1" x14ac:dyDescent="0.3">
      <c r="A6" s="18"/>
      <c r="B6" s="147" t="s">
        <v>48</v>
      </c>
      <c r="C6" s="147"/>
      <c r="D6" s="147"/>
      <c r="E6" s="147"/>
      <c r="F6" s="53">
        <f>(1+F5)^12-1</f>
        <v>0.14707191153891563</v>
      </c>
      <c r="G6" s="18"/>
      <c r="H6" s="74" t="s">
        <v>115</v>
      </c>
      <c r="I6" s="68">
        <v>420</v>
      </c>
      <c r="J6" s="71">
        <v>0.2</v>
      </c>
      <c r="K6" s="39">
        <f>J6*I6</f>
        <v>84</v>
      </c>
      <c r="L6" s="70">
        <f>100%/J6</f>
        <v>5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5" thickTop="1" thickBot="1" x14ac:dyDescent="0.3">
      <c r="A7" s="18"/>
      <c r="B7" s="145" t="s">
        <v>49</v>
      </c>
      <c r="C7" s="145"/>
      <c r="D7" s="145"/>
      <c r="E7" s="145"/>
      <c r="F7" s="54">
        <f>-PMT(F5,F4,F3,0,0)</f>
        <v>463.29387005994266</v>
      </c>
      <c r="G7" s="18"/>
      <c r="H7" s="62" t="s">
        <v>35</v>
      </c>
      <c r="I7" s="63">
        <f>SUM(I4:I6)</f>
        <v>3440</v>
      </c>
      <c r="J7" s="18"/>
      <c r="K7" s="38">
        <f>SUM(K4:K6)</f>
        <v>688</v>
      </c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27.6" customHeight="1" thickBot="1" x14ac:dyDescent="0.3">
      <c r="A8" s="18"/>
      <c r="B8" s="149" t="s">
        <v>50</v>
      </c>
      <c r="C8" s="149"/>
      <c r="D8" s="149"/>
      <c r="E8" s="149"/>
      <c r="F8" s="149"/>
      <c r="G8" s="18"/>
      <c r="H8" s="75" t="s">
        <v>117</v>
      </c>
      <c r="I8" s="63">
        <v>130</v>
      </c>
      <c r="J8" s="61">
        <v>0.3</v>
      </c>
      <c r="K8" s="38">
        <f>J8*I8</f>
        <v>39</v>
      </c>
      <c r="L8" s="64">
        <f>100%/J8</f>
        <v>3.3333333333333335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5" thickBot="1" x14ac:dyDescent="0.35">
      <c r="A9" s="18"/>
      <c r="B9" s="150" t="s">
        <v>51</v>
      </c>
      <c r="C9" s="150" t="s">
        <v>52</v>
      </c>
      <c r="D9" s="150" t="s">
        <v>53</v>
      </c>
      <c r="E9" s="150" t="s">
        <v>54</v>
      </c>
      <c r="F9" s="150" t="s">
        <v>55</v>
      </c>
      <c r="G9" s="18"/>
      <c r="H9" s="76" t="s">
        <v>118</v>
      </c>
      <c r="I9" s="68">
        <v>180</v>
      </c>
      <c r="J9" s="69">
        <v>0.1</v>
      </c>
      <c r="K9" s="68">
        <f>J9*I9</f>
        <v>18</v>
      </c>
      <c r="L9" s="70">
        <f>100%/J9</f>
        <v>10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5" thickTop="1" thickBot="1" x14ac:dyDescent="0.3">
      <c r="A10" s="18"/>
      <c r="B10" s="151"/>
      <c r="C10" s="151"/>
      <c r="D10" s="151"/>
      <c r="E10" s="151"/>
      <c r="F10" s="151"/>
      <c r="G10" s="18"/>
      <c r="H10" s="62" t="s">
        <v>35</v>
      </c>
      <c r="I10" s="63">
        <f>SUM(I8:I9)</f>
        <v>310</v>
      </c>
      <c r="J10" s="18"/>
      <c r="K10" s="38">
        <f>SUM(K8:K9)</f>
        <v>57</v>
      </c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5.6" thickBot="1" x14ac:dyDescent="0.3">
      <c r="A11" s="18"/>
      <c r="B11" s="148"/>
      <c r="C11" s="148"/>
      <c r="D11" s="148"/>
      <c r="E11" s="148"/>
      <c r="F11" s="55">
        <f>+F3</f>
        <v>20000</v>
      </c>
      <c r="G11" s="18"/>
      <c r="H11" s="20"/>
      <c r="I11" s="20"/>
      <c r="J11" s="20"/>
      <c r="K11" s="20"/>
      <c r="L11" s="20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5" thickTop="1" thickBot="1" x14ac:dyDescent="0.3">
      <c r="A12" s="18"/>
      <c r="B12" s="56">
        <v>1</v>
      </c>
      <c r="C12" s="57">
        <f>$F$7</f>
        <v>463.29387005994266</v>
      </c>
      <c r="D12" s="58">
        <f>F11*$F$5</f>
        <v>230</v>
      </c>
      <c r="E12" s="57">
        <f>+C12-D12</f>
        <v>233.29387005994266</v>
      </c>
      <c r="F12" s="57">
        <f>+F11-E12</f>
        <v>19766.706129940056</v>
      </c>
      <c r="G12" s="18"/>
      <c r="H12" s="66" t="s">
        <v>4</v>
      </c>
      <c r="I12" s="67">
        <f>I7+I10</f>
        <v>3750</v>
      </c>
      <c r="J12" s="60"/>
      <c r="K12" s="67">
        <f>K7+K10</f>
        <v>745</v>
      </c>
      <c r="L12" s="60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4" thickTop="1" x14ac:dyDescent="0.25">
      <c r="A13" s="18"/>
      <c r="B13" s="56">
        <f>+B12+1</f>
        <v>2</v>
      </c>
      <c r="C13" s="57">
        <f t="shared" ref="C13:C71" si="0">$F$7</f>
        <v>463.29387005994266</v>
      </c>
      <c r="D13" s="58">
        <f t="shared" ref="D13:D47" si="1">F12*$F$5</f>
        <v>227.31712049431064</v>
      </c>
      <c r="E13" s="57">
        <f t="shared" ref="E13:E47" si="2">+C13-D13</f>
        <v>235.97674956563202</v>
      </c>
      <c r="F13" s="57">
        <f>+F12-E13</f>
        <v>19530.729380374425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/>
      <c r="B14" s="56">
        <f t="shared" ref="B14:B71" si="3">+B13+1</f>
        <v>3</v>
      </c>
      <c r="C14" s="57">
        <f t="shared" si="0"/>
        <v>463.29387005994266</v>
      </c>
      <c r="D14" s="58">
        <f t="shared" si="1"/>
        <v>224.60338787430589</v>
      </c>
      <c r="E14" s="57">
        <f t="shared" si="2"/>
        <v>238.69048218563677</v>
      </c>
      <c r="F14" s="57">
        <f t="shared" ref="F14:F47" si="4">+F13-E14</f>
        <v>19292.038898188788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8"/>
      <c r="B15" s="56">
        <f t="shared" si="3"/>
        <v>4</v>
      </c>
      <c r="C15" s="57">
        <f t="shared" si="0"/>
        <v>463.29387005994266</v>
      </c>
      <c r="D15" s="58">
        <f t="shared" si="1"/>
        <v>221.85844732917107</v>
      </c>
      <c r="E15" s="57">
        <f t="shared" si="2"/>
        <v>241.43542273077159</v>
      </c>
      <c r="F15" s="57">
        <f t="shared" si="4"/>
        <v>19050.603475458018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x14ac:dyDescent="0.25">
      <c r="A16" s="18"/>
      <c r="B16" s="56">
        <f t="shared" si="3"/>
        <v>5</v>
      </c>
      <c r="C16" s="57">
        <f t="shared" si="0"/>
        <v>463.29387005994266</v>
      </c>
      <c r="D16" s="58">
        <f t="shared" si="1"/>
        <v>219.0819399677672</v>
      </c>
      <c r="E16" s="57">
        <f t="shared" si="2"/>
        <v>244.21193009217546</v>
      </c>
      <c r="F16" s="57">
        <f t="shared" si="4"/>
        <v>18806.391545365841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/>
      <c r="B17" s="56">
        <f t="shared" si="3"/>
        <v>6</v>
      </c>
      <c r="C17" s="57">
        <f t="shared" si="0"/>
        <v>463.29387005994266</v>
      </c>
      <c r="D17" s="58">
        <f t="shared" si="1"/>
        <v>216.27350277170717</v>
      </c>
      <c r="E17" s="57">
        <f t="shared" si="2"/>
        <v>247.02036728823549</v>
      </c>
      <c r="F17" s="57">
        <f t="shared" si="4"/>
        <v>18559.371178077607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/>
      <c r="B18" s="56">
        <f t="shared" si="3"/>
        <v>7</v>
      </c>
      <c r="C18" s="57">
        <f t="shared" si="0"/>
        <v>463.29387005994266</v>
      </c>
      <c r="D18" s="58">
        <f>F17*$F$5</f>
        <v>213.43276854789246</v>
      </c>
      <c r="E18" s="57">
        <f t="shared" si="2"/>
        <v>249.8611015120502</v>
      </c>
      <c r="F18" s="57">
        <f t="shared" si="4"/>
        <v>18309.510076565555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/>
      <c r="B19" s="56">
        <f t="shared" si="3"/>
        <v>8</v>
      </c>
      <c r="C19" s="57">
        <f t="shared" si="0"/>
        <v>463.29387005994266</v>
      </c>
      <c r="D19" s="58">
        <f t="shared" si="1"/>
        <v>210.55936588050389</v>
      </c>
      <c r="E19" s="57">
        <f t="shared" si="2"/>
        <v>252.73450417943877</v>
      </c>
      <c r="F19" s="57">
        <f t="shared" si="4"/>
        <v>18056.775572386116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/>
      <c r="B20" s="56">
        <f t="shared" si="3"/>
        <v>9</v>
      </c>
      <c r="C20" s="57">
        <f t="shared" si="0"/>
        <v>463.29387005994266</v>
      </c>
      <c r="D20" s="58">
        <f t="shared" si="1"/>
        <v>207.65291908244032</v>
      </c>
      <c r="E20" s="57">
        <f t="shared" si="2"/>
        <v>255.64095097750234</v>
      </c>
      <c r="F20" s="57">
        <f t="shared" si="4"/>
        <v>17801.134621408612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/>
      <c r="B21" s="56">
        <f t="shared" si="3"/>
        <v>10</v>
      </c>
      <c r="C21" s="57">
        <f t="shared" si="0"/>
        <v>463.29387005994266</v>
      </c>
      <c r="D21" s="58">
        <f t="shared" si="1"/>
        <v>204.71304814619904</v>
      </c>
      <c r="E21" s="57">
        <f t="shared" si="2"/>
        <v>258.58082191374365</v>
      </c>
      <c r="F21" s="57">
        <f t="shared" si="4"/>
        <v>17542.553799494868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/>
      <c r="B22" s="56">
        <f t="shared" si="3"/>
        <v>11</v>
      </c>
      <c r="C22" s="57">
        <f t="shared" si="0"/>
        <v>463.29387005994266</v>
      </c>
      <c r="D22" s="58">
        <f t="shared" si="1"/>
        <v>201.73936869419097</v>
      </c>
      <c r="E22" s="57">
        <f t="shared" si="2"/>
        <v>261.55450136575166</v>
      </c>
      <c r="F22" s="57">
        <f t="shared" si="4"/>
        <v>17280.999298129118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/>
      <c r="B23" s="56">
        <f t="shared" si="3"/>
        <v>12</v>
      </c>
      <c r="C23" s="57">
        <f t="shared" si="0"/>
        <v>463.29387005994266</v>
      </c>
      <c r="D23" s="58">
        <f t="shared" si="1"/>
        <v>198.73149192848484</v>
      </c>
      <c r="E23" s="57">
        <f t="shared" si="2"/>
        <v>264.56237813145782</v>
      </c>
      <c r="F23" s="57">
        <f t="shared" si="4"/>
        <v>17016.436919997661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x14ac:dyDescent="0.25">
      <c r="A24" s="18"/>
      <c r="B24" s="56">
        <f t="shared" si="3"/>
        <v>13</v>
      </c>
      <c r="C24" s="57">
        <f t="shared" si="0"/>
        <v>463.29387005994266</v>
      </c>
      <c r="D24" s="58">
        <f t="shared" si="1"/>
        <v>195.68902457997311</v>
      </c>
      <c r="E24" s="57">
        <f t="shared" si="2"/>
        <v>267.60484547996953</v>
      </c>
      <c r="F24" s="57">
        <f t="shared" si="4"/>
        <v>16748.83207451769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x14ac:dyDescent="0.25">
      <c r="A25" s="18"/>
      <c r="B25" s="56">
        <f t="shared" si="3"/>
        <v>14</v>
      </c>
      <c r="C25" s="57">
        <f t="shared" si="0"/>
        <v>463.29387005994266</v>
      </c>
      <c r="D25" s="58">
        <f t="shared" si="1"/>
        <v>192.61156885695343</v>
      </c>
      <c r="E25" s="57">
        <f t="shared" si="2"/>
        <v>270.68230120298927</v>
      </c>
      <c r="F25" s="57">
        <f t="shared" si="4"/>
        <v>16478.149773314701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/>
      <c r="B26" s="56">
        <f t="shared" si="3"/>
        <v>15</v>
      </c>
      <c r="C26" s="57">
        <f t="shared" si="0"/>
        <v>463.29387005994266</v>
      </c>
      <c r="D26" s="58">
        <f t="shared" si="1"/>
        <v>189.49872239311907</v>
      </c>
      <c r="E26" s="57">
        <f t="shared" si="2"/>
        <v>273.7951476668236</v>
      </c>
      <c r="F26" s="57">
        <f t="shared" si="4"/>
        <v>16204.354625647877</v>
      </c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/>
      <c r="B27" s="56">
        <f t="shared" si="3"/>
        <v>16</v>
      </c>
      <c r="C27" s="57">
        <f t="shared" si="0"/>
        <v>463.29387005994266</v>
      </c>
      <c r="D27" s="58">
        <f t="shared" si="1"/>
        <v>186.35007819495058</v>
      </c>
      <c r="E27" s="57">
        <f t="shared" si="2"/>
        <v>276.94379186499208</v>
      </c>
      <c r="F27" s="57">
        <f t="shared" si="4"/>
        <v>15927.410833782884</v>
      </c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/>
      <c r="B28" s="56">
        <f t="shared" si="3"/>
        <v>17</v>
      </c>
      <c r="C28" s="57">
        <f t="shared" si="0"/>
        <v>463.29387005994266</v>
      </c>
      <c r="D28" s="58">
        <f t="shared" si="1"/>
        <v>183.16522458850315</v>
      </c>
      <c r="E28" s="57">
        <f t="shared" si="2"/>
        <v>280.12864547143954</v>
      </c>
      <c r="F28" s="57">
        <f t="shared" si="4"/>
        <v>15647.282188311445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/>
      <c r="B29" s="56">
        <f t="shared" si="3"/>
        <v>18</v>
      </c>
      <c r="C29" s="57">
        <f t="shared" si="0"/>
        <v>463.29387005994266</v>
      </c>
      <c r="D29" s="58">
        <f t="shared" si="1"/>
        <v>179.94374516558162</v>
      </c>
      <c r="E29" s="57">
        <f t="shared" si="2"/>
        <v>283.35012489436104</v>
      </c>
      <c r="F29" s="57">
        <f t="shared" si="4"/>
        <v>15363.932063417084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/>
      <c r="B30" s="56">
        <f t="shared" si="3"/>
        <v>19</v>
      </c>
      <c r="C30" s="57">
        <f t="shared" si="0"/>
        <v>463.29387005994266</v>
      </c>
      <c r="D30" s="58">
        <f t="shared" si="1"/>
        <v>176.68521872929645</v>
      </c>
      <c r="E30" s="57">
        <f t="shared" si="2"/>
        <v>286.60865133064624</v>
      </c>
      <c r="F30" s="57">
        <f t="shared" si="4"/>
        <v>15077.323412086438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/>
      <c r="B31" s="56">
        <f t="shared" si="3"/>
        <v>20</v>
      </c>
      <c r="C31" s="57">
        <f t="shared" si="0"/>
        <v>463.29387005994266</v>
      </c>
      <c r="D31" s="58">
        <f t="shared" si="1"/>
        <v>173.38921923899403</v>
      </c>
      <c r="E31" s="57">
        <f t="shared" si="2"/>
        <v>289.90465082094863</v>
      </c>
      <c r="F31" s="57">
        <f t="shared" si="4"/>
        <v>14787.41876126549</v>
      </c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/>
      <c r="B32" s="56">
        <f t="shared" si="3"/>
        <v>21</v>
      </c>
      <c r="C32" s="57">
        <f t="shared" si="0"/>
        <v>463.29387005994266</v>
      </c>
      <c r="D32" s="58">
        <f t="shared" si="1"/>
        <v>170.05531575455313</v>
      </c>
      <c r="E32" s="57">
        <f t="shared" si="2"/>
        <v>293.23855430538953</v>
      </c>
      <c r="F32" s="57">
        <f t="shared" si="4"/>
        <v>14494.1802069601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/>
      <c r="B33" s="56">
        <f t="shared" si="3"/>
        <v>22</v>
      </c>
      <c r="C33" s="57">
        <f t="shared" si="0"/>
        <v>463.29387005994266</v>
      </c>
      <c r="D33" s="58">
        <f t="shared" si="1"/>
        <v>166.68307238004115</v>
      </c>
      <c r="E33" s="57">
        <f t="shared" si="2"/>
        <v>296.61079767990151</v>
      </c>
      <c r="F33" s="57">
        <f t="shared" si="4"/>
        <v>14197.569409280199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/>
      <c r="B34" s="56">
        <f t="shared" si="3"/>
        <v>23</v>
      </c>
      <c r="C34" s="57">
        <f t="shared" si="0"/>
        <v>463.29387005994266</v>
      </c>
      <c r="D34" s="58">
        <f t="shared" si="1"/>
        <v>163.27204820672227</v>
      </c>
      <c r="E34" s="57">
        <f t="shared" si="2"/>
        <v>300.02182185322039</v>
      </c>
      <c r="F34" s="57">
        <f t="shared" si="4"/>
        <v>13897.547587426978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/>
      <c r="B35" s="56">
        <f t="shared" si="3"/>
        <v>24</v>
      </c>
      <c r="C35" s="57">
        <f t="shared" si="0"/>
        <v>463.29387005994266</v>
      </c>
      <c r="D35" s="58">
        <f t="shared" si="1"/>
        <v>159.82179725541025</v>
      </c>
      <c r="E35" s="57">
        <f t="shared" si="2"/>
        <v>303.47207280453244</v>
      </c>
      <c r="F35" s="57">
        <f t="shared" si="4"/>
        <v>13594.075514622446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/>
      <c r="B36" s="56">
        <f t="shared" si="3"/>
        <v>25</v>
      </c>
      <c r="C36" s="57">
        <f t="shared" si="0"/>
        <v>463.29387005994266</v>
      </c>
      <c r="D36" s="58">
        <f t="shared" si="1"/>
        <v>156.33186841815811</v>
      </c>
      <c r="E36" s="57">
        <f t="shared" si="2"/>
        <v>306.96200164178458</v>
      </c>
      <c r="F36" s="57">
        <f t="shared" si="4"/>
        <v>13287.113512980661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5">
      <c r="A37" s="18"/>
      <c r="B37" s="56">
        <f t="shared" si="3"/>
        <v>26</v>
      </c>
      <c r="C37" s="57">
        <f t="shared" si="0"/>
        <v>463.29387005994266</v>
      </c>
      <c r="D37" s="58">
        <f t="shared" si="1"/>
        <v>152.80180539927758</v>
      </c>
      <c r="E37" s="57">
        <f t="shared" si="2"/>
        <v>310.49206466066505</v>
      </c>
      <c r="F37" s="57">
        <f t="shared" si="4"/>
        <v>12976.621448319996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5">
      <c r="A38" s="18"/>
      <c r="B38" s="56">
        <f t="shared" si="3"/>
        <v>27</v>
      </c>
      <c r="C38" s="57">
        <f t="shared" si="0"/>
        <v>463.29387005994266</v>
      </c>
      <c r="D38" s="58">
        <f t="shared" si="1"/>
        <v>149.23114665567996</v>
      </c>
      <c r="E38" s="57">
        <f t="shared" si="2"/>
        <v>314.06272340426267</v>
      </c>
      <c r="F38" s="57">
        <f t="shared" si="4"/>
        <v>12662.558724915734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/>
      <c r="B39" s="56">
        <f t="shared" si="3"/>
        <v>28</v>
      </c>
      <c r="C39" s="57">
        <f t="shared" si="0"/>
        <v>463.29387005994266</v>
      </c>
      <c r="D39" s="58">
        <f t="shared" si="1"/>
        <v>145.61942533653095</v>
      </c>
      <c r="E39" s="57">
        <f t="shared" si="2"/>
        <v>317.67444472341174</v>
      </c>
      <c r="F39" s="57">
        <f t="shared" si="4"/>
        <v>12344.884280192322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/>
      <c r="B40" s="56">
        <f t="shared" si="3"/>
        <v>29</v>
      </c>
      <c r="C40" s="57">
        <f t="shared" si="0"/>
        <v>463.29387005994266</v>
      </c>
      <c r="D40" s="58">
        <f t="shared" si="1"/>
        <v>141.9661692222117</v>
      </c>
      <c r="E40" s="57">
        <f t="shared" si="2"/>
        <v>321.32770083773096</v>
      </c>
      <c r="F40" s="57">
        <f t="shared" si="4"/>
        <v>12023.55657935459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/>
      <c r="B41" s="56">
        <f t="shared" si="3"/>
        <v>30</v>
      </c>
      <c r="C41" s="57">
        <f t="shared" si="0"/>
        <v>463.29387005994266</v>
      </c>
      <c r="D41" s="58">
        <f t="shared" si="1"/>
        <v>138.27090066257779</v>
      </c>
      <c r="E41" s="57">
        <f t="shared" si="2"/>
        <v>325.02296939736488</v>
      </c>
      <c r="F41" s="57">
        <f t="shared" si="4"/>
        <v>11698.533609957225</v>
      </c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/>
      <c r="B42" s="56">
        <f t="shared" si="3"/>
        <v>31</v>
      </c>
      <c r="C42" s="57">
        <f t="shared" si="0"/>
        <v>463.29387005994266</v>
      </c>
      <c r="D42" s="58">
        <f t="shared" si="1"/>
        <v>134.53313651450807</v>
      </c>
      <c r="E42" s="57">
        <f t="shared" si="2"/>
        <v>328.76073354543462</v>
      </c>
      <c r="F42" s="57">
        <f t="shared" si="4"/>
        <v>11369.772876411791</v>
      </c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/>
      <c r="B43" s="56">
        <f t="shared" si="3"/>
        <v>32</v>
      </c>
      <c r="C43" s="57">
        <f t="shared" si="0"/>
        <v>463.29387005994266</v>
      </c>
      <c r="D43" s="58">
        <f t="shared" si="1"/>
        <v>130.75238807873561</v>
      </c>
      <c r="E43" s="57">
        <f t="shared" si="2"/>
        <v>332.54148198120708</v>
      </c>
      <c r="F43" s="57">
        <f t="shared" si="4"/>
        <v>11037.231394430584</v>
      </c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/>
      <c r="B44" s="56">
        <f t="shared" si="3"/>
        <v>33</v>
      </c>
      <c r="C44" s="57">
        <f t="shared" si="0"/>
        <v>463.29387005994266</v>
      </c>
      <c r="D44" s="58">
        <f t="shared" si="1"/>
        <v>126.92816103595172</v>
      </c>
      <c r="E44" s="57">
        <f t="shared" si="2"/>
        <v>336.36570902399092</v>
      </c>
      <c r="F44" s="57">
        <f t="shared" si="4"/>
        <v>10700.865685406594</v>
      </c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/>
      <c r="B45" s="56">
        <f t="shared" si="3"/>
        <v>34</v>
      </c>
      <c r="C45" s="57">
        <f t="shared" si="0"/>
        <v>463.29387005994266</v>
      </c>
      <c r="D45" s="58">
        <f t="shared" si="1"/>
        <v>123.05995538217583</v>
      </c>
      <c r="E45" s="57">
        <f t="shared" si="2"/>
        <v>340.23391467776685</v>
      </c>
      <c r="F45" s="57">
        <f t="shared" si="4"/>
        <v>10360.631770728827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/>
      <c r="B46" s="56">
        <f t="shared" si="3"/>
        <v>35</v>
      </c>
      <c r="C46" s="57">
        <f t="shared" si="0"/>
        <v>463.29387005994266</v>
      </c>
      <c r="D46" s="58">
        <f t="shared" si="1"/>
        <v>119.14726536338151</v>
      </c>
      <c r="E46" s="57">
        <f t="shared" si="2"/>
        <v>344.14660469656116</v>
      </c>
      <c r="F46" s="57">
        <f t="shared" si="4"/>
        <v>10016.485166032266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/>
      <c r="B47" s="56">
        <f t="shared" si="3"/>
        <v>36</v>
      </c>
      <c r="C47" s="57">
        <f>$F$7</f>
        <v>463.29387005994266</v>
      </c>
      <c r="D47" s="58">
        <f t="shared" si="1"/>
        <v>115.18957940937105</v>
      </c>
      <c r="E47" s="57">
        <f t="shared" si="2"/>
        <v>348.10429065057161</v>
      </c>
      <c r="F47" s="57">
        <f t="shared" si="4"/>
        <v>9668.3808753816938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/>
      <c r="B48" s="56">
        <f t="shared" si="3"/>
        <v>37</v>
      </c>
      <c r="C48" s="57">
        <f t="shared" si="0"/>
        <v>463.29387005994266</v>
      </c>
      <c r="D48" s="58">
        <f>F47*$F$5</f>
        <v>111.18638006688948</v>
      </c>
      <c r="E48" s="57">
        <f>+C48-D48</f>
        <v>352.10748999305315</v>
      </c>
      <c r="F48" s="57">
        <f>+F47-E48</f>
        <v>9316.2733853886402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/>
      <c r="B49" s="56">
        <f t="shared" si="3"/>
        <v>38</v>
      </c>
      <c r="C49" s="57">
        <f t="shared" si="0"/>
        <v>463.29387005994266</v>
      </c>
      <c r="D49" s="58">
        <f>F48*$F$5</f>
        <v>107.13714393196936</v>
      </c>
      <c r="E49" s="57">
        <f>+C49-D49</f>
        <v>356.15672612797329</v>
      </c>
      <c r="F49" s="57">
        <f>+F48-E49</f>
        <v>8960.1166592606678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5">
      <c r="A50" s="18"/>
      <c r="B50" s="56">
        <f t="shared" si="3"/>
        <v>39</v>
      </c>
      <c r="C50" s="57">
        <f t="shared" si="0"/>
        <v>463.29387005994266</v>
      </c>
      <c r="D50" s="58">
        <f>F49*$F$5</f>
        <v>103.04134158149768</v>
      </c>
      <c r="E50" s="57">
        <f>+C50-D50</f>
        <v>360.25252847844502</v>
      </c>
      <c r="F50" s="57">
        <f>+F49-E50</f>
        <v>8599.8641307822236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18"/>
      <c r="B51" s="56">
        <f t="shared" si="3"/>
        <v>40</v>
      </c>
      <c r="C51" s="57">
        <f t="shared" si="0"/>
        <v>463.29387005994266</v>
      </c>
      <c r="D51" s="58">
        <f>F50*$F$5</f>
        <v>98.898437503995567</v>
      </c>
      <c r="E51" s="57">
        <f>+C51-D51</f>
        <v>364.39543255594708</v>
      </c>
      <c r="F51" s="57">
        <f>+F50-E51</f>
        <v>8235.4686982262756</v>
      </c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/>
      <c r="B52" s="56">
        <f t="shared" si="3"/>
        <v>41</v>
      </c>
      <c r="C52" s="57">
        <f t="shared" si="0"/>
        <v>463.29387005994266</v>
      </c>
      <c r="D52" s="58">
        <f t="shared" ref="D52:D68" si="5">F51*$F$5</f>
        <v>94.707890029602169</v>
      </c>
      <c r="E52" s="57">
        <f t="shared" ref="E52:E68" si="6">+C52-D52</f>
        <v>368.58598003034047</v>
      </c>
      <c r="F52" s="57">
        <f t="shared" ref="F52:F68" si="7">+F51-E52</f>
        <v>7866.882718195935</v>
      </c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/>
      <c r="B53" s="56">
        <f t="shared" si="3"/>
        <v>42</v>
      </c>
      <c r="C53" s="57">
        <f t="shared" si="0"/>
        <v>463.29387005994266</v>
      </c>
      <c r="D53" s="58">
        <f t="shared" si="5"/>
        <v>90.469151259253252</v>
      </c>
      <c r="E53" s="57">
        <f t="shared" si="6"/>
        <v>372.82471880068942</v>
      </c>
      <c r="F53" s="57">
        <f t="shared" si="7"/>
        <v>7494.0579993952451</v>
      </c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56">
        <f t="shared" si="3"/>
        <v>43</v>
      </c>
      <c r="C54" s="57">
        <f t="shared" si="0"/>
        <v>463.29387005994266</v>
      </c>
      <c r="D54" s="58">
        <f t="shared" si="5"/>
        <v>86.181666993045312</v>
      </c>
      <c r="E54" s="57">
        <f t="shared" si="6"/>
        <v>377.11220306689734</v>
      </c>
      <c r="F54" s="57">
        <f t="shared" si="7"/>
        <v>7116.9457963283476</v>
      </c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56">
        <f t="shared" si="3"/>
        <v>44</v>
      </c>
      <c r="C55" s="57">
        <f t="shared" si="0"/>
        <v>463.29387005994266</v>
      </c>
      <c r="D55" s="58">
        <f t="shared" si="5"/>
        <v>81.844876657775998</v>
      </c>
      <c r="E55" s="57">
        <f t="shared" si="6"/>
        <v>381.44899340216665</v>
      </c>
      <c r="F55" s="57">
        <f t="shared" si="7"/>
        <v>6735.4968029261809</v>
      </c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56">
        <f t="shared" si="3"/>
        <v>45</v>
      </c>
      <c r="C56" s="57">
        <f t="shared" si="0"/>
        <v>463.29387005994266</v>
      </c>
      <c r="D56" s="58">
        <f t="shared" si="5"/>
        <v>77.45821323365108</v>
      </c>
      <c r="E56" s="57">
        <f t="shared" si="6"/>
        <v>385.8356568262916</v>
      </c>
      <c r="F56" s="57">
        <f t="shared" si="7"/>
        <v>6349.6611460998893</v>
      </c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56">
        <f t="shared" si="3"/>
        <v>46</v>
      </c>
      <c r="C57" s="57">
        <f t="shared" si="0"/>
        <v>463.29387005994266</v>
      </c>
      <c r="D57" s="58">
        <f t="shared" si="5"/>
        <v>73.021103180148728</v>
      </c>
      <c r="E57" s="57">
        <f t="shared" si="6"/>
        <v>390.27276687979395</v>
      </c>
      <c r="F57" s="57">
        <f t="shared" si="7"/>
        <v>5959.388379220095</v>
      </c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/>
      <c r="B58" s="56">
        <f t="shared" si="3"/>
        <v>47</v>
      </c>
      <c r="C58" s="57">
        <f t="shared" si="0"/>
        <v>463.29387005994266</v>
      </c>
      <c r="D58" s="58">
        <f t="shared" si="5"/>
        <v>68.532966361031086</v>
      </c>
      <c r="E58" s="57">
        <f t="shared" si="6"/>
        <v>394.76090369891159</v>
      </c>
      <c r="F58" s="57">
        <f t="shared" si="7"/>
        <v>5564.6274755211834</v>
      </c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/>
      <c r="B59" s="56">
        <f t="shared" si="3"/>
        <v>48</v>
      </c>
      <c r="C59" s="57">
        <f t="shared" si="0"/>
        <v>463.29387005994266</v>
      </c>
      <c r="D59" s="58">
        <f t="shared" si="5"/>
        <v>63.993215968493608</v>
      </c>
      <c r="E59" s="57">
        <f t="shared" si="6"/>
        <v>399.30065409144908</v>
      </c>
      <c r="F59" s="57">
        <f t="shared" si="7"/>
        <v>5165.3268214297341</v>
      </c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/>
      <c r="B60" s="56">
        <f t="shared" si="3"/>
        <v>49</v>
      </c>
      <c r="C60" s="57">
        <f t="shared" si="0"/>
        <v>463.29387005994266</v>
      </c>
      <c r="D60" s="58">
        <f t="shared" si="5"/>
        <v>59.401258446441943</v>
      </c>
      <c r="E60" s="57">
        <f t="shared" si="6"/>
        <v>403.89261161350072</v>
      </c>
      <c r="F60" s="57">
        <f t="shared" si="7"/>
        <v>4761.4342098162333</v>
      </c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/>
      <c r="B61" s="56">
        <f t="shared" si="3"/>
        <v>50</v>
      </c>
      <c r="C61" s="57">
        <f t="shared" si="0"/>
        <v>463.29387005994266</v>
      </c>
      <c r="D61" s="58">
        <f t="shared" si="5"/>
        <v>54.756493412886684</v>
      </c>
      <c r="E61" s="57">
        <f t="shared" si="6"/>
        <v>408.53737664705596</v>
      </c>
      <c r="F61" s="57">
        <f t="shared" si="7"/>
        <v>4352.8968331691776</v>
      </c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/>
      <c r="B62" s="56">
        <f t="shared" si="3"/>
        <v>51</v>
      </c>
      <c r="C62" s="57">
        <f t="shared" si="0"/>
        <v>463.29387005994266</v>
      </c>
      <c r="D62" s="58">
        <f t="shared" si="5"/>
        <v>50.058313581445539</v>
      </c>
      <c r="E62" s="57">
        <f t="shared" si="6"/>
        <v>413.23555647849713</v>
      </c>
      <c r="F62" s="57">
        <f t="shared" si="7"/>
        <v>3939.6612766906806</v>
      </c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/>
      <c r="B63" s="56">
        <f t="shared" si="3"/>
        <v>52</v>
      </c>
      <c r="C63" s="57">
        <f t="shared" si="0"/>
        <v>463.29387005994266</v>
      </c>
      <c r="D63" s="58">
        <f t="shared" si="5"/>
        <v>45.306104681942827</v>
      </c>
      <c r="E63" s="57">
        <f t="shared" si="6"/>
        <v>417.98776537799984</v>
      </c>
      <c r="F63" s="57">
        <f t="shared" si="7"/>
        <v>3521.6735113126806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/>
      <c r="B64" s="56">
        <f t="shared" si="3"/>
        <v>53</v>
      </c>
      <c r="C64" s="57">
        <f t="shared" si="0"/>
        <v>463.29387005994266</v>
      </c>
      <c r="D64" s="58">
        <f t="shared" si="5"/>
        <v>40.499245380095829</v>
      </c>
      <c r="E64" s="57">
        <f t="shared" si="6"/>
        <v>422.79462467984683</v>
      </c>
      <c r="F64" s="57">
        <f t="shared" si="7"/>
        <v>3098.8788866328337</v>
      </c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/>
      <c r="B65" s="56">
        <f t="shared" si="3"/>
        <v>54</v>
      </c>
      <c r="C65" s="57">
        <f t="shared" si="0"/>
        <v>463.29387005994266</v>
      </c>
      <c r="D65" s="58">
        <f t="shared" si="5"/>
        <v>35.637107196277583</v>
      </c>
      <c r="E65" s="57">
        <f t="shared" si="6"/>
        <v>427.65676286366511</v>
      </c>
      <c r="F65" s="57">
        <f t="shared" si="7"/>
        <v>2671.2221237691683</v>
      </c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/>
      <c r="B66" s="56">
        <f t="shared" si="3"/>
        <v>55</v>
      </c>
      <c r="C66" s="57">
        <f t="shared" si="0"/>
        <v>463.29387005994266</v>
      </c>
      <c r="D66" s="58">
        <f t="shared" si="5"/>
        <v>30.719054423345437</v>
      </c>
      <c r="E66" s="57">
        <f t="shared" si="6"/>
        <v>432.57481563659724</v>
      </c>
      <c r="F66" s="57">
        <f t="shared" si="7"/>
        <v>2238.6473081325712</v>
      </c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/>
      <c r="B67" s="56">
        <f t="shared" si="3"/>
        <v>56</v>
      </c>
      <c r="C67" s="57">
        <f t="shared" si="0"/>
        <v>463.29387005994266</v>
      </c>
      <c r="D67" s="58">
        <f t="shared" si="5"/>
        <v>25.744444043524567</v>
      </c>
      <c r="E67" s="57">
        <f t="shared" si="6"/>
        <v>437.54942601641812</v>
      </c>
      <c r="F67" s="57">
        <f t="shared" si="7"/>
        <v>1801.097882116153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/>
      <c r="B68" s="56">
        <f t="shared" si="3"/>
        <v>57</v>
      </c>
      <c r="C68" s="57">
        <f t="shared" si="0"/>
        <v>463.29387005994266</v>
      </c>
      <c r="D68" s="58">
        <f t="shared" si="5"/>
        <v>20.712625644335759</v>
      </c>
      <c r="E68" s="57">
        <f t="shared" si="6"/>
        <v>442.58124441560688</v>
      </c>
      <c r="F68" s="57">
        <f t="shared" si="7"/>
        <v>1358.5166377005462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/>
      <c r="B69" s="56">
        <f t="shared" si="3"/>
        <v>58</v>
      </c>
      <c r="C69" s="57">
        <f t="shared" si="0"/>
        <v>463.29387005994266</v>
      </c>
      <c r="D69" s="58">
        <f>F68*$F$5</f>
        <v>15.62294133355628</v>
      </c>
      <c r="E69" s="57">
        <f>+C69-D69</f>
        <v>447.67092872638636</v>
      </c>
      <c r="F69" s="57">
        <f>+F68-E69</f>
        <v>910.84570897415983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/>
      <c r="B70" s="56">
        <f t="shared" si="3"/>
        <v>59</v>
      </c>
      <c r="C70" s="57">
        <f t="shared" si="0"/>
        <v>463.29387005994266</v>
      </c>
      <c r="D70" s="58">
        <f>F69*$F$5</f>
        <v>10.474725653202839</v>
      </c>
      <c r="E70" s="57">
        <f>+C70-D70</f>
        <v>452.81914440673984</v>
      </c>
      <c r="F70" s="57">
        <f>+F69-E70</f>
        <v>458.02656456742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4" thickBot="1" x14ac:dyDescent="0.3">
      <c r="A71" s="18"/>
      <c r="B71" s="81">
        <f t="shared" si="3"/>
        <v>60</v>
      </c>
      <c r="C71" s="82">
        <f t="shared" si="0"/>
        <v>463.29387005994266</v>
      </c>
      <c r="D71" s="83">
        <f>F70*$F$5</f>
        <v>5.2673054925253302</v>
      </c>
      <c r="E71" s="82">
        <f>+C71-D71</f>
        <v>458.02656456741732</v>
      </c>
      <c r="F71" s="82">
        <f>+F70-E71</f>
        <v>2.6716406864579767E-12</v>
      </c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4" thickTop="1" x14ac:dyDescent="0.25">
      <c r="A72" s="18"/>
      <c r="B72" s="21" t="s">
        <v>104</v>
      </c>
      <c r="C72" s="18"/>
      <c r="D72" s="18"/>
      <c r="E72" s="18"/>
      <c r="F72" s="84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/>
      <c r="B74" s="62" t="s">
        <v>122</v>
      </c>
      <c r="C74" s="79" t="s">
        <v>14</v>
      </c>
      <c r="D74" s="79" t="s">
        <v>123</v>
      </c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/>
      <c r="B75" s="18">
        <v>1</v>
      </c>
      <c r="C75" s="77">
        <f>$F$7*12</f>
        <v>5559.5264407193117</v>
      </c>
      <c r="D75" s="78">
        <f>F23</f>
        <v>17016.436919997661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/>
      <c r="B76" s="18">
        <v>2</v>
      </c>
      <c r="C76" s="77">
        <f>$F$7*12</f>
        <v>5559.5264407193117</v>
      </c>
      <c r="D76" s="78">
        <f>F35</f>
        <v>13594.075514622446</v>
      </c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/>
      <c r="B77" s="18">
        <v>3</v>
      </c>
      <c r="C77" s="77">
        <f>$F$7*12</f>
        <v>5559.5264407193117</v>
      </c>
      <c r="D77" s="78">
        <f>F47</f>
        <v>9668.3808753816938</v>
      </c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/>
      <c r="B78" s="18">
        <v>4</v>
      </c>
      <c r="C78" s="77">
        <f>$F$7*12</f>
        <v>5559.5264407193117</v>
      </c>
      <c r="D78" s="78">
        <f>F58</f>
        <v>5564.6274755211834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/>
      <c r="B79" s="18">
        <v>5</v>
      </c>
      <c r="C79" s="77">
        <f>$F$7*12</f>
        <v>5559.5264407193117</v>
      </c>
      <c r="D79" s="78">
        <f>F71</f>
        <v>2.6716406864579767E-12</v>
      </c>
      <c r="E79" s="18"/>
      <c r="F79" s="18"/>
      <c r="G79" s="18"/>
      <c r="H79" s="18"/>
      <c r="I79" s="18"/>
    </row>
    <row r="80" spans="1:26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</sheetData>
  <mergeCells count="13">
    <mergeCell ref="B11:E11"/>
    <mergeCell ref="B8:F8"/>
    <mergeCell ref="B9:B10"/>
    <mergeCell ref="C9:C10"/>
    <mergeCell ref="D9:D10"/>
    <mergeCell ref="E9:E10"/>
    <mergeCell ref="F9:F10"/>
    <mergeCell ref="B7:E7"/>
    <mergeCell ref="B2:F2"/>
    <mergeCell ref="B3:E3"/>
    <mergeCell ref="B4:E4"/>
    <mergeCell ref="B5:E5"/>
    <mergeCell ref="B6:E6"/>
  </mergeCells>
  <hyperlinks>
    <hyperlink ref="H5" r:id="rId1" display="https://www.ktronix.com/computador-portatil-gamer-victus-hp-161-pulgadas-d0505la-intel-core-i5-ram-16gb-disco-ssd-512-gb-azul/p/196337885127" xr:uid="{E42A1A6D-BDE6-4EBD-BE27-81BD0350550E}"/>
    <hyperlink ref="H4" r:id="rId2" display="https://www.ktronix.com/computador-portatil-gamer-msi-156-pulgadas-crosshair-b12uez-intel-core-i7-ram-16gb-disco-sdd-1tb-negro/p/4719072965167" xr:uid="{6E86F371-FC33-47D1-B370-FEAB7F77DFF8}"/>
    <hyperlink ref="H6" r:id="rId3" display="https://www.ktronix.com/computador-all-in-one-hp-215-pulgadas-df1510la-intel-core-i3-ram-8gb-disco-ssd-256-gb-negro/p/196548561278" xr:uid="{349591F2-D3BF-4C03-AEF2-0B37406FBD1A}"/>
    <hyperlink ref="H8" r:id="rId4" display="https://www.ktronix.com/celular-samsung-galaxy-a03s-64gb-azul/p/8806092700895" xr:uid="{C3EB6A6D-F6F3-49DC-A399-7E45C90F61B7}"/>
    <hyperlink ref="H9" r:id="rId5" display="https://www.ktronix.com/multifuncional-epson-ecotank-l3210-hg-negro/p/010343958067" xr:uid="{53C59375-984E-4861-92A6-127930F9F964}"/>
  </hyperlinks>
  <pageMargins left="0.7" right="0.7" top="0.75" bottom="0.75" header="0.3" footer="0.3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A522-0E44-4777-9D2C-F8676FA0358B}">
  <dimension ref="A1:Z60"/>
  <sheetViews>
    <sheetView workbookViewId="0"/>
  </sheetViews>
  <sheetFormatPr baseColWidth="10" defaultRowHeight="13.8" x14ac:dyDescent="0.25"/>
  <cols>
    <col min="1" max="1" width="2.6640625" style="19" customWidth="1"/>
    <col min="2" max="2" width="28.88671875" style="19" customWidth="1"/>
    <col min="3" max="8" width="12" style="19" customWidth="1"/>
    <col min="9" max="9" width="11.5546875" style="19"/>
    <col min="10" max="10" width="12.6640625" style="19" bestFit="1" customWidth="1"/>
    <col min="11" max="16384" width="11.5546875" style="19"/>
  </cols>
  <sheetData>
    <row r="1" spans="1:26" ht="63" customHeight="1" thickBot="1" x14ac:dyDescent="0.3">
      <c r="A1" s="18"/>
      <c r="B1" s="20"/>
      <c r="C1" s="20"/>
      <c r="D1" s="20"/>
      <c r="E1" s="20"/>
      <c r="F1" s="20"/>
      <c r="G1" s="20"/>
      <c r="H1" s="20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6.2" thickTop="1" thickBot="1" x14ac:dyDescent="0.3">
      <c r="A2" s="18"/>
      <c r="B2" s="154" t="s">
        <v>56</v>
      </c>
      <c r="C2" s="154"/>
      <c r="D2" s="154"/>
      <c r="E2" s="154"/>
      <c r="F2" s="154"/>
      <c r="G2" s="154"/>
      <c r="H2" s="154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4.4" thickTop="1" x14ac:dyDescent="0.25">
      <c r="A3" s="18"/>
      <c r="B3" s="86"/>
      <c r="C3" s="86" t="s">
        <v>121</v>
      </c>
      <c r="D3" s="86" t="s">
        <v>6</v>
      </c>
      <c r="E3" s="86" t="s">
        <v>7</v>
      </c>
      <c r="F3" s="86" t="s">
        <v>8</v>
      </c>
      <c r="G3" s="86" t="s">
        <v>9</v>
      </c>
      <c r="H3" s="86" t="s">
        <v>108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x14ac:dyDescent="0.25">
      <c r="A4" s="18"/>
      <c r="B4" s="18" t="s">
        <v>57</v>
      </c>
      <c r="C4" s="18"/>
      <c r="D4" s="97">
        <f>'3.Ingresos'!C11</f>
        <v>50000</v>
      </c>
      <c r="E4" s="97">
        <f>'3.Ingresos'!D11</f>
        <v>88492.800000000003</v>
      </c>
      <c r="F4" s="97">
        <f>'3.Ingresos'!E11</f>
        <v>157234.17600000001</v>
      </c>
      <c r="G4" s="97">
        <f>'3.Ingresos'!F11</f>
        <v>227391.39624960002</v>
      </c>
      <c r="H4" s="97">
        <f>'3.Ingresos'!G11</f>
        <v>240125.31443957763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x14ac:dyDescent="0.25">
      <c r="A5" s="18"/>
      <c r="B5" s="18" t="s">
        <v>58</v>
      </c>
      <c r="C5" s="18"/>
      <c r="D5" s="97">
        <f>'2.Análisis de Costos'!C21</f>
        <v>63483.540000000008</v>
      </c>
      <c r="E5" s="97">
        <f>'2.Análisis de Costos'!D21</f>
        <v>78376.844400000031</v>
      </c>
      <c r="F5" s="97">
        <f>'2.Análisis de Costos'!E21</f>
        <v>97505.641694400008</v>
      </c>
      <c r="G5" s="97">
        <f>'2.Análisis de Costos'!F21</f>
        <v>122127.55983968641</v>
      </c>
      <c r="H5" s="97">
        <f>'2.Análisis de Costos'!G21</f>
        <v>153876.78606422886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x14ac:dyDescent="0.25">
      <c r="A6" s="18"/>
      <c r="B6" s="18"/>
      <c r="C6" s="18"/>
      <c r="D6" s="97"/>
      <c r="E6" s="97"/>
      <c r="F6" s="97"/>
      <c r="G6" s="97"/>
      <c r="H6" s="97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x14ac:dyDescent="0.25">
      <c r="A7" s="18"/>
      <c r="B7" s="62" t="s">
        <v>59</v>
      </c>
      <c r="C7" s="18"/>
      <c r="D7" s="105">
        <f>D4-D5</f>
        <v>-13483.540000000008</v>
      </c>
      <c r="E7" s="106">
        <f>E4-E5</f>
        <v>10115.955599999972</v>
      </c>
      <c r="F7" s="106">
        <f>F4-F5</f>
        <v>59728.534305599998</v>
      </c>
      <c r="G7" s="106">
        <f>G4-G5</f>
        <v>105263.83640991361</v>
      </c>
      <c r="H7" s="106">
        <f>H4-H5</f>
        <v>86248.528375348775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x14ac:dyDescent="0.25">
      <c r="A8" s="18"/>
      <c r="B8" s="18" t="s">
        <v>60</v>
      </c>
      <c r="C8" s="18"/>
      <c r="D8" s="97">
        <f>SUM(D9:D11)</f>
        <v>32828.540000000008</v>
      </c>
      <c r="E8" s="97">
        <f>D8*(1+0.04)</f>
        <v>34141.681600000011</v>
      </c>
      <c r="F8" s="97">
        <f>E8*(1+0.04)</f>
        <v>35507.348864000014</v>
      </c>
      <c r="G8" s="97">
        <f>F8*(1+0.04)</f>
        <v>36927.642818560016</v>
      </c>
      <c r="H8" s="97">
        <f>G8*(1+0.04)</f>
        <v>38404.748531302415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x14ac:dyDescent="0.25">
      <c r="A9" s="18"/>
      <c r="B9" s="18"/>
      <c r="C9" s="18"/>
      <c r="D9" s="97">
        <f>'2.Análisis de Costos'!C11-20000</f>
        <v>32083.540000000008</v>
      </c>
      <c r="E9" s="97">
        <f>E8-E10</f>
        <v>33396.681600000011</v>
      </c>
      <c r="F9" s="97">
        <f>F8-F10</f>
        <v>34762.348864000014</v>
      </c>
      <c r="G9" s="97">
        <f>G8-G10</f>
        <v>36182.642818560016</v>
      </c>
      <c r="H9" s="97">
        <f>H8-H10</f>
        <v>37659.748531302415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x14ac:dyDescent="0.25">
      <c r="A10" s="18"/>
      <c r="B10" s="18" t="s">
        <v>109</v>
      </c>
      <c r="C10" s="18"/>
      <c r="D10" s="97">
        <f>'4.Prestamo y Depreciación'!K12</f>
        <v>745</v>
      </c>
      <c r="E10" s="97">
        <f t="shared" ref="E10:H11" si="0">+D10</f>
        <v>745</v>
      </c>
      <c r="F10" s="97">
        <f t="shared" si="0"/>
        <v>745</v>
      </c>
      <c r="G10" s="97">
        <f t="shared" si="0"/>
        <v>745</v>
      </c>
      <c r="H10" s="97">
        <f t="shared" si="0"/>
        <v>745</v>
      </c>
      <c r="I10" s="18"/>
      <c r="J10" s="85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x14ac:dyDescent="0.25">
      <c r="A11" s="18"/>
      <c r="B11" s="18" t="s">
        <v>110</v>
      </c>
      <c r="C11" s="18"/>
      <c r="D11" s="97">
        <v>0</v>
      </c>
      <c r="E11" s="97">
        <f t="shared" si="0"/>
        <v>0</v>
      </c>
      <c r="F11" s="97">
        <f t="shared" si="0"/>
        <v>0</v>
      </c>
      <c r="G11" s="97">
        <f t="shared" si="0"/>
        <v>0</v>
      </c>
      <c r="H11" s="97">
        <f t="shared" si="0"/>
        <v>0</v>
      </c>
      <c r="I11" s="86"/>
      <c r="J11" s="8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x14ac:dyDescent="0.25">
      <c r="A12" s="18"/>
      <c r="B12" s="62" t="s">
        <v>61</v>
      </c>
      <c r="C12" s="18"/>
      <c r="D12" s="105">
        <f>D7-D8</f>
        <v>-46312.080000000016</v>
      </c>
      <c r="E12" s="105">
        <f>E7-E8</f>
        <v>-24025.726000000039</v>
      </c>
      <c r="F12" s="106">
        <f>F7-F8</f>
        <v>24221.185441599984</v>
      </c>
      <c r="G12" s="106">
        <f>G7-G8</f>
        <v>68336.1935913536</v>
      </c>
      <c r="H12" s="106">
        <f>H7-H8</f>
        <v>47843.779844046359</v>
      </c>
      <c r="I12" s="8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x14ac:dyDescent="0.25">
      <c r="A13" s="18"/>
      <c r="B13" s="18" t="s">
        <v>62</v>
      </c>
      <c r="C13" s="18"/>
      <c r="D13" s="97">
        <v>0</v>
      </c>
      <c r="E13" s="97">
        <v>0</v>
      </c>
      <c r="F13" s="97">
        <v>0</v>
      </c>
      <c r="G13" s="97">
        <v>0</v>
      </c>
      <c r="H13" s="97">
        <v>0</v>
      </c>
      <c r="I13" s="8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x14ac:dyDescent="0.25">
      <c r="A14" s="18"/>
      <c r="B14" s="18" t="s">
        <v>63</v>
      </c>
      <c r="C14" s="18"/>
      <c r="D14" s="97">
        <f>+L4</f>
        <v>0</v>
      </c>
      <c r="E14" s="97">
        <f>+L5</f>
        <v>0</v>
      </c>
      <c r="F14" s="97">
        <f>+L6</f>
        <v>0</v>
      </c>
      <c r="G14" s="97">
        <f>+L7</f>
        <v>0</v>
      </c>
      <c r="H14" s="97">
        <f>+L8</f>
        <v>0</v>
      </c>
      <c r="I14" s="8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x14ac:dyDescent="0.25">
      <c r="A15" s="18"/>
      <c r="B15" s="62" t="s">
        <v>64</v>
      </c>
      <c r="C15" s="18"/>
      <c r="D15" s="105">
        <f>D12+D13-D14</f>
        <v>-46312.080000000016</v>
      </c>
      <c r="E15" s="105">
        <f>E12+E13-E14</f>
        <v>-24025.726000000039</v>
      </c>
      <c r="F15" s="106">
        <f>F12+F13-F14</f>
        <v>24221.185441599984</v>
      </c>
      <c r="G15" s="106">
        <f>G12+G13-G14</f>
        <v>68336.1935913536</v>
      </c>
      <c r="H15" s="106">
        <f>H12+H13-H14</f>
        <v>47843.779844046359</v>
      </c>
      <c r="I15" s="8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4" thickBot="1" x14ac:dyDescent="0.3">
      <c r="A16" s="18"/>
      <c r="B16" s="20" t="s">
        <v>120</v>
      </c>
      <c r="C16" s="69">
        <v>0.3</v>
      </c>
      <c r="D16" s="98">
        <v>0</v>
      </c>
      <c r="E16" s="98">
        <v>0</v>
      </c>
      <c r="F16" s="98">
        <f>F15*$C$16</f>
        <v>7266.3556324799947</v>
      </c>
      <c r="G16" s="98">
        <f>G15*$C$16</f>
        <v>20500.858077406079</v>
      </c>
      <c r="H16" s="98">
        <f>H15*$C$16</f>
        <v>14353.133953213908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5" thickTop="1" thickBot="1" x14ac:dyDescent="0.3">
      <c r="A17" s="18"/>
      <c r="B17" s="43" t="s">
        <v>65</v>
      </c>
      <c r="C17" s="20"/>
      <c r="D17" s="91">
        <f>D15-D16</f>
        <v>-46312.080000000016</v>
      </c>
      <c r="E17" s="91">
        <f>E15-E16</f>
        <v>-24025.726000000039</v>
      </c>
      <c r="F17" s="92">
        <f>F15-F16</f>
        <v>16954.82980911999</v>
      </c>
      <c r="G17" s="92">
        <f>G15-G16</f>
        <v>47835.335513947517</v>
      </c>
      <c r="H17" s="93">
        <f>H15-H16</f>
        <v>33490.645890832449</v>
      </c>
      <c r="I17" s="8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27" customHeight="1" thickTop="1" thickBot="1" x14ac:dyDescent="0.3">
      <c r="A18" s="18"/>
      <c r="B18" s="60"/>
      <c r="C18" s="94"/>
      <c r="D18" s="111"/>
      <c r="E18" s="111"/>
      <c r="F18" s="111"/>
      <c r="G18" s="111"/>
      <c r="H18" s="111"/>
      <c r="I18" s="8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6.2" thickTop="1" thickBot="1" x14ac:dyDescent="0.3">
      <c r="A19" s="18"/>
      <c r="B19" s="153" t="s">
        <v>66</v>
      </c>
      <c r="C19" s="153"/>
      <c r="D19" s="153"/>
      <c r="E19" s="153"/>
      <c r="F19" s="153"/>
      <c r="G19" s="153"/>
      <c r="H19" s="153"/>
      <c r="I19" s="8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4" thickTop="1" x14ac:dyDescent="0.25">
      <c r="A20" s="18"/>
      <c r="B20" s="86"/>
      <c r="C20" s="86" t="s">
        <v>121</v>
      </c>
      <c r="D20" s="86" t="s">
        <v>6</v>
      </c>
      <c r="E20" s="86" t="s">
        <v>7</v>
      </c>
      <c r="F20" s="86" t="s">
        <v>8</v>
      </c>
      <c r="G20" s="86" t="s">
        <v>9</v>
      </c>
      <c r="H20" s="86" t="s">
        <v>108</v>
      </c>
      <c r="I20" s="89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/>
      <c r="B21" s="18" t="s">
        <v>67</v>
      </c>
      <c r="C21" s="18"/>
      <c r="D21" s="99">
        <f>+C29</f>
        <v>500</v>
      </c>
      <c r="E21" s="100">
        <f>+D24</f>
        <v>-45067.080000000016</v>
      </c>
      <c r="F21" s="100">
        <f>+E24</f>
        <v>-68347.806000000055</v>
      </c>
      <c r="G21" s="100">
        <f>+F24</f>
        <v>-43381.620558400071</v>
      </c>
      <c r="H21" s="100">
        <f>+G24</f>
        <v>18433.217400473513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/>
      <c r="B22" s="18" t="s">
        <v>68</v>
      </c>
      <c r="C22" s="18"/>
      <c r="D22" s="99">
        <f>+D4</f>
        <v>50000</v>
      </c>
      <c r="E22" s="99">
        <f>+E4</f>
        <v>88492.800000000003</v>
      </c>
      <c r="F22" s="99">
        <f>+F4</f>
        <v>157234.17600000001</v>
      </c>
      <c r="G22" s="99">
        <f>+G4</f>
        <v>227391.39624960002</v>
      </c>
      <c r="H22" s="99">
        <f>+H4</f>
        <v>240125.31443957763</v>
      </c>
      <c r="I22" s="90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/>
      <c r="B23" s="18" t="s">
        <v>69</v>
      </c>
      <c r="C23" s="18"/>
      <c r="D23" s="99">
        <f>+D5+D9+K4</f>
        <v>95567.080000000016</v>
      </c>
      <c r="E23" s="99">
        <f>+E5+E9+K5+D16</f>
        <v>111773.52600000004</v>
      </c>
      <c r="F23" s="99">
        <f>+F5+F9+K6+E16</f>
        <v>132267.99055840002</v>
      </c>
      <c r="G23" s="99">
        <f>+G5+G9+K7+F16</f>
        <v>165576.55829072642</v>
      </c>
      <c r="H23" s="99">
        <f>+H5+H9+K8+G16</f>
        <v>212037.39267293733</v>
      </c>
      <c r="I23" s="8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4" thickBot="1" x14ac:dyDescent="0.3">
      <c r="A24" s="18"/>
      <c r="B24" s="43" t="s">
        <v>70</v>
      </c>
      <c r="C24" s="20"/>
      <c r="D24" s="110">
        <f>D21+D22-D23</f>
        <v>-45067.080000000016</v>
      </c>
      <c r="E24" s="110">
        <f>E21+E22-E23</f>
        <v>-68347.806000000055</v>
      </c>
      <c r="F24" s="110">
        <f>F21+F22-F23</f>
        <v>-43381.620558400071</v>
      </c>
      <c r="G24" s="107">
        <f>G21+G22-G23</f>
        <v>18433.217400473513</v>
      </c>
      <c r="H24" s="107">
        <f>H21+H22-H23</f>
        <v>46521.139167113812</v>
      </c>
      <c r="I24" s="8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27" customHeight="1" thickTop="1" thickBot="1" x14ac:dyDescent="0.3">
      <c r="A25" s="18"/>
      <c r="B25" s="60"/>
      <c r="C25" s="94"/>
      <c r="D25" s="94"/>
      <c r="E25" s="94"/>
      <c r="F25" s="94"/>
      <c r="G25" s="94"/>
      <c r="H25" s="94"/>
      <c r="I25" s="8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6.2" thickTop="1" thickBot="1" x14ac:dyDescent="0.3">
      <c r="A26" s="18"/>
      <c r="B26" s="152" t="s">
        <v>71</v>
      </c>
      <c r="C26" s="152"/>
      <c r="D26" s="152"/>
      <c r="E26" s="152"/>
      <c r="F26" s="152"/>
      <c r="G26" s="152"/>
      <c r="H26" s="152"/>
      <c r="I26" s="89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4" thickTop="1" x14ac:dyDescent="0.25">
      <c r="A27" s="18"/>
      <c r="B27" s="86"/>
      <c r="C27" s="86" t="s">
        <v>121</v>
      </c>
      <c r="D27" s="86" t="s">
        <v>6</v>
      </c>
      <c r="E27" s="96" t="s">
        <v>7</v>
      </c>
      <c r="F27" s="86" t="s">
        <v>8</v>
      </c>
      <c r="G27" s="86" t="s">
        <v>9</v>
      </c>
      <c r="H27" s="86" t="s">
        <v>108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/>
      <c r="B28" s="86" t="s">
        <v>72</v>
      </c>
      <c r="C28" s="112">
        <f t="shared" ref="C28:H28" si="1">C37+C39</f>
        <v>2509.9</v>
      </c>
      <c r="D28" s="112">
        <f t="shared" si="1"/>
        <v>-26795.643080002355</v>
      </c>
      <c r="E28" s="112">
        <f t="shared" si="1"/>
        <v>-7931.6504853775932</v>
      </c>
      <c r="F28" s="112">
        <f t="shared" si="1"/>
        <v>36389.566316981676</v>
      </c>
      <c r="G28" s="112">
        <f t="shared" si="1"/>
        <v>76400.821066874778</v>
      </c>
      <c r="H28" s="112">
        <f t="shared" si="1"/>
        <v>50343.779844046359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/>
      <c r="B29" s="18" t="s">
        <v>73</v>
      </c>
      <c r="C29" s="99">
        <v>500</v>
      </c>
      <c r="D29" s="100">
        <f>D24</f>
        <v>-45067.080000000016</v>
      </c>
      <c r="E29" s="100">
        <f>E24</f>
        <v>-68347.806000000055</v>
      </c>
      <c r="F29" s="100">
        <f>F24</f>
        <v>-43381.620558400071</v>
      </c>
      <c r="G29" s="100">
        <f>G24</f>
        <v>18433.217400473513</v>
      </c>
      <c r="H29" s="100">
        <f>H24</f>
        <v>46521.139167113812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/>
      <c r="B30" s="18" t="s">
        <v>74</v>
      </c>
      <c r="C30" s="99">
        <v>2000</v>
      </c>
      <c r="D30" s="99">
        <f>+C30</f>
        <v>2000</v>
      </c>
      <c r="E30" s="99">
        <f>+D30</f>
        <v>2000</v>
      </c>
      <c r="F30" s="99">
        <f>+E30</f>
        <v>2000</v>
      </c>
      <c r="G30" s="99">
        <f>+F30</f>
        <v>2000</v>
      </c>
      <c r="H30" s="99">
        <f>+G30</f>
        <v>2000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/>
      <c r="B31" s="18" t="s">
        <v>75</v>
      </c>
      <c r="C31" s="99"/>
      <c r="D31" s="101"/>
      <c r="E31" s="101"/>
      <c r="F31" s="101"/>
      <c r="G31" s="101"/>
      <c r="H31" s="101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/>
      <c r="B32" s="18" t="s">
        <v>76</v>
      </c>
      <c r="C32" s="99">
        <v>0</v>
      </c>
      <c r="D32" s="99">
        <v>0</v>
      </c>
      <c r="E32" s="99">
        <v>0</v>
      </c>
      <c r="F32" s="99">
        <v>0</v>
      </c>
      <c r="G32" s="99">
        <v>0</v>
      </c>
      <c r="H32" s="99">
        <v>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/>
      <c r="B33" s="18" t="s">
        <v>77</v>
      </c>
      <c r="C33" s="99">
        <v>0</v>
      </c>
      <c r="D33" s="99">
        <f>+C33</f>
        <v>0</v>
      </c>
      <c r="E33" s="99">
        <f>+D33</f>
        <v>0</v>
      </c>
      <c r="F33" s="99">
        <f>+E33</f>
        <v>0</v>
      </c>
      <c r="G33" s="99">
        <f>+F33</f>
        <v>0</v>
      </c>
      <c r="H33" s="99">
        <f>+G33</f>
        <v>0</v>
      </c>
      <c r="I33" s="18"/>
      <c r="J33" s="87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/>
      <c r="B34" s="18" t="s">
        <v>78</v>
      </c>
      <c r="C34" s="99">
        <f>'4.Prestamo y Depreciación'!I12</f>
        <v>3750</v>
      </c>
      <c r="D34" s="99">
        <f>C34</f>
        <v>3750</v>
      </c>
      <c r="E34" s="99">
        <f>D34</f>
        <v>3750</v>
      </c>
      <c r="F34" s="99">
        <f>E34</f>
        <v>3750</v>
      </c>
      <c r="G34" s="99">
        <f>F34</f>
        <v>3750</v>
      </c>
      <c r="H34" s="99">
        <f>G34</f>
        <v>3750</v>
      </c>
      <c r="I34" s="18"/>
      <c r="J34" s="87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/>
      <c r="B35" s="18" t="s">
        <v>79</v>
      </c>
      <c r="C35" s="99">
        <v>0</v>
      </c>
      <c r="D35" s="100">
        <f>'4.Prestamo y Depreciación'!K12</f>
        <v>745</v>
      </c>
      <c r="E35" s="100">
        <f>D35+D35</f>
        <v>1490</v>
      </c>
      <c r="F35" s="100">
        <f>E35+D35</f>
        <v>2235</v>
      </c>
      <c r="G35" s="100">
        <f>F35+D35</f>
        <v>2980</v>
      </c>
      <c r="H35" s="100">
        <f>G35+D35</f>
        <v>3725</v>
      </c>
      <c r="I35" s="18"/>
      <c r="J35" s="87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/>
      <c r="B36" s="18" t="s">
        <v>80</v>
      </c>
      <c r="C36" s="99">
        <v>0</v>
      </c>
      <c r="D36" s="99">
        <v>0</v>
      </c>
      <c r="E36" s="99">
        <v>0</v>
      </c>
      <c r="F36" s="99">
        <v>0</v>
      </c>
      <c r="G36" s="99">
        <v>0</v>
      </c>
      <c r="H36" s="99">
        <v>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x14ac:dyDescent="0.25">
      <c r="A37" s="18"/>
      <c r="B37" s="86" t="s">
        <v>81</v>
      </c>
      <c r="C37" s="102"/>
      <c r="D37" s="103">
        <f>SUM(D38)</f>
        <v>17016.436919997661</v>
      </c>
      <c r="E37" s="103">
        <f>SUM(E38)</f>
        <v>13594.075514622446</v>
      </c>
      <c r="F37" s="103">
        <f>SUM(F38)</f>
        <v>9668.3808753816938</v>
      </c>
      <c r="G37" s="103">
        <f>SUM(G38)</f>
        <v>5564.6274755211834</v>
      </c>
      <c r="H37" s="103">
        <f>SUM(H38)</f>
        <v>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x14ac:dyDescent="0.25">
      <c r="A38" s="18"/>
      <c r="B38" s="18" t="s">
        <v>82</v>
      </c>
      <c r="C38" s="99">
        <f>+K2</f>
        <v>0</v>
      </c>
      <c r="D38" s="100">
        <f>'4.Prestamo y Depreciación'!D75</f>
        <v>17016.436919997661</v>
      </c>
      <c r="E38" s="100">
        <f>'4.Prestamo y Depreciación'!D76</f>
        <v>13594.075514622446</v>
      </c>
      <c r="F38" s="100">
        <f>'4.Prestamo y Depreciación'!D77</f>
        <v>9668.3808753816938</v>
      </c>
      <c r="G38" s="100">
        <f>'4.Prestamo y Depreciación'!D78</f>
        <v>5564.6274755211834</v>
      </c>
      <c r="H38" s="100">
        <f>N8</f>
        <v>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/>
      <c r="B39" s="86" t="s">
        <v>83</v>
      </c>
      <c r="C39" s="102">
        <f t="shared" ref="C39:H39" si="2">SUM(C40:C43)</f>
        <v>2509.9</v>
      </c>
      <c r="D39" s="102">
        <f t="shared" si="2"/>
        <v>-43812.080000000016</v>
      </c>
      <c r="E39" s="102">
        <f t="shared" si="2"/>
        <v>-21525.726000000039</v>
      </c>
      <c r="F39" s="102">
        <f t="shared" si="2"/>
        <v>26721.185441599984</v>
      </c>
      <c r="G39" s="102">
        <f t="shared" si="2"/>
        <v>70836.1935913536</v>
      </c>
      <c r="H39" s="102">
        <f t="shared" si="2"/>
        <v>50343.779844046359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/>
      <c r="B40" s="18" t="s">
        <v>84</v>
      </c>
      <c r="C40" s="99"/>
      <c r="D40" s="100">
        <f>D16</f>
        <v>0</v>
      </c>
      <c r="E40" s="100">
        <f>E16</f>
        <v>0</v>
      </c>
      <c r="F40" s="100">
        <f>F16</f>
        <v>7266.3556324799947</v>
      </c>
      <c r="G40" s="100">
        <f>G16</f>
        <v>20500.858077406079</v>
      </c>
      <c r="H40" s="100">
        <f>H16</f>
        <v>14353.133953213908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/>
      <c r="B41" s="18" t="s">
        <v>125</v>
      </c>
      <c r="C41" s="99">
        <v>9.9</v>
      </c>
      <c r="D41" s="100"/>
      <c r="E41" s="100"/>
      <c r="F41" s="100"/>
      <c r="G41" s="100"/>
      <c r="H41" s="10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/>
      <c r="B42" s="18" t="s">
        <v>85</v>
      </c>
      <c r="C42" s="99">
        <v>2500</v>
      </c>
      <c r="D42" s="99">
        <f>+C42</f>
        <v>2500</v>
      </c>
      <c r="E42" s="99">
        <f>+D42</f>
        <v>2500</v>
      </c>
      <c r="F42" s="99">
        <f>+E42</f>
        <v>2500</v>
      </c>
      <c r="G42" s="99">
        <f>+F42</f>
        <v>2500</v>
      </c>
      <c r="H42" s="99">
        <f>+G42</f>
        <v>2500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4" thickBot="1" x14ac:dyDescent="0.3">
      <c r="A43" s="18"/>
      <c r="B43" s="20" t="s">
        <v>86</v>
      </c>
      <c r="C43" s="104">
        <v>0</v>
      </c>
      <c r="D43" s="109">
        <f>D17</f>
        <v>-46312.080000000016</v>
      </c>
      <c r="E43" s="109">
        <f>E17</f>
        <v>-24025.726000000039</v>
      </c>
      <c r="F43" s="108">
        <f>F17</f>
        <v>16954.82980911999</v>
      </c>
      <c r="G43" s="108">
        <f>G17</f>
        <v>47835.335513947517</v>
      </c>
      <c r="H43" s="108">
        <f>H17</f>
        <v>33490.645890832449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5" thickTop="1" thickBot="1" x14ac:dyDescent="0.3">
      <c r="A44" s="18"/>
      <c r="B44" s="113" t="s">
        <v>124</v>
      </c>
      <c r="C44" s="95">
        <f>C43</f>
        <v>0</v>
      </c>
      <c r="D44" s="95">
        <f>D43+C44</f>
        <v>-46312.080000000016</v>
      </c>
      <c r="E44" s="95">
        <f>E43+D44</f>
        <v>-70337.806000000055</v>
      </c>
      <c r="F44" s="95">
        <f>F43+E44</f>
        <v>-53382.976190880065</v>
      </c>
      <c r="G44" s="95">
        <f>G43+F44</f>
        <v>-5547.6406769325476</v>
      </c>
      <c r="H44" s="95">
        <f>H43+G44</f>
        <v>27943.005213899902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4" thickTop="1" x14ac:dyDescent="0.25">
      <c r="A45" s="18"/>
      <c r="B45" s="18"/>
      <c r="C45" s="87"/>
      <c r="D45" s="87"/>
      <c r="E45" s="87"/>
      <c r="F45" s="87"/>
      <c r="G45" s="87"/>
      <c r="H45" s="87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</sheetData>
  <mergeCells count="3">
    <mergeCell ref="B26:H26"/>
    <mergeCell ref="B19:H19"/>
    <mergeCell ref="B2:H2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1.Salarios</vt:lpstr>
      <vt:lpstr>2.Análisis de Costos</vt:lpstr>
      <vt:lpstr>3.Ingresos</vt:lpstr>
      <vt:lpstr>4.Prestamo y Depreciación</vt:lpstr>
      <vt:lpstr>5.Estados Financieros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Eduardo Diaz Bonilla</dc:creator>
  <cp:lastModifiedBy>Rafael Eduardo Diaz Bonilla</cp:lastModifiedBy>
  <dcterms:created xsi:type="dcterms:W3CDTF">2022-09-30T21:37:01Z</dcterms:created>
  <dcterms:modified xsi:type="dcterms:W3CDTF">2022-10-03T11:29:26Z</dcterms:modified>
</cp:coreProperties>
</file>