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BER99" sheetId="1" r:id="rId4"/>
    <sheet state="visible" name="FINANCEIRO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8 dias trabalhando poucas horas
	-Rafael Muller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8">
      <text>
        <t xml:space="preserve">$201,20 - seguro carro
$24,32 - ingressos maringa x marcilio dias (pai ajudou com $100)
$50 - mercado atacadão pai
$124 - 3 ingressos maringa x cap (gui e gafeol pagaram por pix)
$12 - lanche thi
$181,03 - Hogwarts Legacy
$12 - mercado gui
$181 - ração gatos (frango)
$14 - pizza thi
	-Rafael Muller</t>
      </text>
    </comment>
    <comment authorId="0" ref="L7">
      <text>
        <t xml:space="preserve">$330,42 - ipva 2/5
$1.180 -
	-Rafael Muller</t>
      </text>
    </comment>
    <comment authorId="0" ref="L8">
      <text>
        <t xml:space="preserve">-$330,42 - carro ipva 3/5
-$1.000 - caixinha Nu férias (peças computador)
-$626 - tesouro ipca 2024 (peças computador)
-$152 - carro troca do óleo Águia 16/03
+$1.600 - Bob Esponja ($200 está em Lucros Outros, $400 está em Nubank Férias 2024, $1.000 está em Nubank Carro)
	-Rafael Muller</t>
      </text>
    </comment>
    <comment authorId="0" ref="AA8">
      <text>
        <t xml:space="preserve">$ 3.000 - Reempréstimo até 08/04
	-Rafael Muller</t>
      </text>
    </comment>
    <comment authorId="0" ref="C8">
      <text>
        <t xml:space="preserve">$150 - reempréstimo $3.000 pai
$1.245 - aluguel Apucarana
$100 - sofá Ademilson 8/10
$200 - Bob Esponja (os $1.400 restantes estão em Despesas Investimentos)
$...- pix Gui
$...- pix Thi, Edianes, pai...
	-Rafael Muller</t>
      </text>
    </comment>
    <comment authorId="0" ref="W7">
      <text>
        <t xml:space="preserve">FEV/2022 - Retirada de todos os valores de Fiis para aporte automatizado pela Rico
	-Rafael Muller</t>
      </text>
    </comment>
    <comment authorId="0" ref="V7">
      <text>
        <t xml:space="preserve">FEV/2022 - Retirada dos valores dos TD IPCA 2026, 2035 e 2045 e reaplicação de quase todo o valor no TD NTNB 2060
	-Rafael Muller</t>
      </text>
    </comment>
    <comment authorId="0" ref="D8">
      <text>
        <t xml:space="preserve">$224,37 - seguro incêndio (pago 1x ao ano)
	-Rafael Muller</t>
      </text>
    </comment>
    <comment authorId="0" ref="AA7">
      <text>
        <t xml:space="preserve">$3.000 - reempréstimo até 08/03
	-Rafael Muller</t>
      </text>
    </comment>
    <comment authorId="0" ref="AA6">
      <text>
        <t xml:space="preserve">$3.000 - reempréstimo até 08/02
	-Rafael Muller</t>
      </text>
    </comment>
    <comment authorId="0" ref="O6">
      <text>
        <t xml:space="preserve">Todo o valor será coberto pela Caixinha Nubank Férias :)
	-Rafael Muller</t>
      </text>
    </comment>
    <comment authorId="0" ref="K6">
      <text>
        <t xml:space="preserve">$ 181,35 - ração gatos (carne)
	-Rafael Muller</t>
      </text>
    </comment>
    <comment authorId="0" ref="L6">
      <text>
        <t xml:space="preserve">Caixinha Nubank Carro
$ 90,94 - Guia de Licenciamento
$ 330,42 - IPVA
Caixinha Nubank Férias
$ 660,00
	-Rafael Muller</t>
      </text>
    </comment>
    <comment authorId="0" ref="C6">
      <text>
        <t xml:space="preserve">$1245 - aluguel Apucarana
$100 - Ademilson sofá 6/10
$150 - juros empréstimo pai 
$200 - pai
$255 - no fim do mês, colocar todos os pix do Gui, incluindo valor Copel
$161,30 - no fim do mês, colocar todos os pix do Thi, Edianes, pai...
	-Rafael Muller</t>
      </text>
    </comment>
    <comment authorId="0" ref="J6">
      <text>
        <t xml:space="preserve">$200 - vacinação gatos
	-Rafael Muller</t>
      </text>
    </comment>
    <comment authorId="0" ref="V1">
      <text>
        <t xml:space="preserve">Valores divulgados no início do mês seguinte
	-Rafael Muller</t>
      </text>
    </comment>
    <comment authorId="0" ref="L5">
      <text>
        <t xml:space="preserve">$104,13 - multa 
$350 - pneus semi-novos (Caixinha Nubank Carro (-$100 Gui))
	-Rafael Muller</t>
      </text>
    </comment>
    <comment authorId="0" ref="AA5">
      <text>
        <t xml:space="preserve">$2000 - devolvidos dia 08/12
	-Rafael Muller
$2000 - reemprestados dia 14/12
	-Rafael Muller</t>
      </text>
    </comment>
    <comment authorId="0" ref="C5">
      <text>
        <t xml:space="preserve">$1246 - aluguel Apucarana
$100 - Ademilson sofá 5/10
$150 - juros empréstimo pai $3000
$50 - juros empréstimo pai $2000
$100 - pai
$302,70 - no fim do mês, colocar todos os pix do Gui, incluindo valor Copel
$121,70 - no fim do mês, colocar todos os pix do Thi, Edianes...
	-Rafael Muller</t>
      </text>
    </comment>
    <comment authorId="0" ref="L4">
      <text>
        <t xml:space="preserve">$180 - carro - troca óleo (+$40 gui)
	-Rafael Muller</t>
      </text>
    </comment>
    <comment authorId="0" ref="K4">
      <text>
        <t xml:space="preserve">$900 - Xiaomi Redmi Note 11
$18,45 - conector 2 em 2 cabo RJ45
$226,51 - Pokemon Scarlet
	-Rafael Muller</t>
      </text>
    </comment>
    <comment authorId="0" ref="T1">
      <text>
        <t xml:space="preserve">Tesouro Direto SELIC 2024 e 2025
Fiis
	-Rafael Muller</t>
      </text>
    </comment>
    <comment authorId="0" ref="S1">
      <text>
        <t xml:space="preserve">50% Tesouro Direto IPCA 2035
50% Tesouro Direto IPCA 2045
	-Rafael Muller</t>
      </text>
    </comment>
    <comment authorId="0" ref="R1">
      <text>
        <t xml:space="preserve">Tesouro Direto SELIC &gt; Caixinha Nubank
	-Rafael Muller</t>
      </text>
    </comment>
    <comment authorId="0" ref="Q1">
      <text>
        <t xml:space="preserve">Caixinha Nubank
	-Rafael Muller</t>
      </text>
    </comment>
    <comment authorId="0" ref="C4">
      <text>
        <t xml:space="preserve">$1245 - aluguel Apucarana
$100 - Ademilson sofá 4/10
$250 - juros empréstimo pai $5000
$316 - no fim do mês, colocar todos os pix do Gui
$206 - no fim do mês, colocar todos os pix do Thi, Edianes...
$35,60 - nota fiscal PR
$1200 - karambit csgo
	-Rafael Muller</t>
      </text>
    </comment>
    <comment authorId="0" ref="AA4">
      <text>
        <t xml:space="preserve">$5000 - empréstimo pai até dia 10.12 - juros de $250
	-Rafael Muller</t>
      </text>
    </comment>
    <comment authorId="0" ref="AA3">
      <text>
        <t xml:space="preserve">$3000 - empréstimo pai até 01.11 - juros de $100 - DEVOLVIDO
$5000 - empréstimo pai até 08.11 - juros de $250 - RE-EMPRESTADO
	-Rafael Muller</t>
      </text>
    </comment>
    <comment authorId="0" ref="J2">
      <text>
        <t xml:space="preserve">Gastos de mercado, ifood, pessoais...
	-Rafael Muller</t>
      </text>
    </comment>
    <comment authorId="0" ref="L3">
      <text>
        <t xml:space="preserve">$740 - Carro - multas
$300 - Carro - pneus
	-Rafael Muller</t>
      </text>
    </comment>
    <comment authorId="0" ref="C3">
      <text>
        <t xml:space="preserve">$1245 - aluguel apucarana
$250 - juros empréstimo $5.000 pai
$100 - juros empréstimo $3.000 pai
$416,30 - guilherme (luz, mercado, ifood, carro...)
$100 - ademilson sofá 3/10
	-Rafael Muller</t>
      </text>
    </comment>
  </commentList>
</comments>
</file>

<file path=xl/sharedStrings.xml><?xml version="1.0" encoding="utf-8"?>
<sst xmlns="http://schemas.openxmlformats.org/spreadsheetml/2006/main" count="55" uniqueCount="47">
  <si>
    <t>mês</t>
  </si>
  <si>
    <t>dias</t>
  </si>
  <si>
    <t>uber</t>
  </si>
  <si>
    <t>extra</t>
  </si>
  <si>
    <t>gastos</t>
  </si>
  <si>
    <t>pix</t>
  </si>
  <si>
    <t>média/dia</t>
  </si>
  <si>
    <t>total</t>
  </si>
  <si>
    <t>Uber online</t>
  </si>
  <si>
    <t>99 online</t>
  </si>
  <si>
    <t>Dinheiro</t>
  </si>
  <si>
    <t xml:space="preserve">Total </t>
  </si>
  <si>
    <t>-</t>
  </si>
  <si>
    <t xml:space="preserve">Mês
</t>
  </si>
  <si>
    <t>Lucros</t>
  </si>
  <si>
    <t>Despesas</t>
  </si>
  <si>
    <t>Total Lucros</t>
  </si>
  <si>
    <t>Total Despesas</t>
  </si>
  <si>
    <t>Total Final</t>
  </si>
  <si>
    <t>20% Carro</t>
  </si>
  <si>
    <t>15% Férias</t>
  </si>
  <si>
    <t>15% Aposent.</t>
  </si>
  <si>
    <t>50% Geral...</t>
  </si>
  <si>
    <t>Tesouro Direto</t>
  </si>
  <si>
    <t>Fiis</t>
  </si>
  <si>
    <t>Total Investido</t>
  </si>
  <si>
    <t>+ Dividendos</t>
  </si>
  <si>
    <t>Empréstimo pai</t>
  </si>
  <si>
    <t>Uber/99</t>
  </si>
  <si>
    <t>Outros</t>
  </si>
  <si>
    <t>Aluguel</t>
  </si>
  <si>
    <t>Condomínio</t>
  </si>
  <si>
    <t>Luz</t>
  </si>
  <si>
    <t>Gás</t>
  </si>
  <si>
    <t>Internet</t>
  </si>
  <si>
    <t>Plano Saúde</t>
  </si>
  <si>
    <t>CCrédito</t>
  </si>
  <si>
    <t>CDébito</t>
  </si>
  <si>
    <t>Investimentos</t>
  </si>
  <si>
    <t>10 / 22</t>
  </si>
  <si>
    <t>OK</t>
  </si>
  <si>
    <t>11 / 22</t>
  </si>
  <si>
    <t>12 / 22</t>
  </si>
  <si>
    <t>1 / 23</t>
  </si>
  <si>
    <t>2 / 23</t>
  </si>
  <si>
    <t>3 / 23</t>
  </si>
  <si>
    <t>4 / 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</si>
</sst>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/&quot;yyyy"/>
    <numFmt numFmtId="165" formatCode="[$R$ -416]#,##0.00"/>
  </numFmts>
  <fonts count="21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b/>
      <color rgb="FF434343"/>
      <name val="Arial"/>
      <scheme val="minor"/>
    </font>
    <font>
      <color rgb="FF1155CC"/>
      <name val="Arial"/>
      <scheme val="minor"/>
    </font>
    <font>
      <color rgb="FFCC0000"/>
      <name val="Arial"/>
      <scheme val="minor"/>
    </font>
    <font>
      <color rgb="FF9900FF"/>
      <name val="Arial"/>
      <scheme val="minor"/>
    </font>
    <font>
      <i/>
      <color theme="1"/>
      <name val="Arial"/>
      <scheme val="minor"/>
    </font>
    <font>
      <b/>
      <color rgb="FF34A853"/>
      <name val="Arial"/>
      <scheme val="minor"/>
    </font>
    <font>
      <b/>
      <color theme="7"/>
      <name val="Arial"/>
      <scheme val="minor"/>
    </font>
    <font>
      <color rgb="FF000000"/>
      <name val="Arial"/>
      <scheme val="minor"/>
    </font>
    <font>
      <b/>
      <u/>
      <color theme="1"/>
      <name val="Arial"/>
      <scheme val="minor"/>
    </font>
    <font/>
    <font>
      <b/>
      <u/>
      <color theme="1"/>
      <name val="Arial"/>
      <scheme val="minor"/>
    </font>
    <font>
      <b/>
      <u/>
      <color rgb="FF000000"/>
      <name val="Arial"/>
      <scheme val="minor"/>
    </font>
    <font>
      <b/>
      <u/>
      <color theme="1"/>
      <name val="Arial"/>
      <scheme val="minor"/>
    </font>
    <font>
      <color theme="7"/>
      <name val="Arial"/>
      <scheme val="minor"/>
    </font>
    <font>
      <color rgb="FFFF0000"/>
      <name val="Arial"/>
      <scheme val="minor"/>
    </font>
    <font>
      <color theme="5"/>
      <name val="Arial"/>
      <scheme val="minor"/>
    </font>
    <font>
      <color rgb="FF00FF00"/>
      <name val="Arial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1" fillId="6" fontId="1" numFmtId="0" xfId="0" applyAlignment="1" applyBorder="1" applyFont="1">
      <alignment horizontal="center" readingOrder="0"/>
    </xf>
    <xf borderId="2" fillId="6" fontId="1" numFmtId="0" xfId="0" applyAlignment="1" applyBorder="1" applyFont="1">
      <alignment horizontal="center" readingOrder="0"/>
    </xf>
    <xf borderId="3" fillId="6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5" numFmtId="165" xfId="0" applyAlignment="1" applyFont="1" applyNumberFormat="1">
      <alignment horizontal="left" readingOrder="0"/>
    </xf>
    <xf borderId="0" fillId="0" fontId="6" numFmtId="165" xfId="0" applyAlignment="1" applyFont="1" applyNumberFormat="1">
      <alignment horizontal="left" readingOrder="0"/>
    </xf>
    <xf borderId="0" fillId="0" fontId="7" numFmtId="165" xfId="0" applyAlignment="1" applyFont="1" applyNumberFormat="1">
      <alignment horizontal="left" readingOrder="0"/>
    </xf>
    <xf borderId="0" fillId="0" fontId="8" numFmtId="165" xfId="0" applyAlignment="1" applyFont="1" applyNumberFormat="1">
      <alignment horizontal="left" readingOrder="0"/>
    </xf>
    <xf borderId="0" fillId="0" fontId="9" numFmtId="165" xfId="0" applyAlignment="1" applyFont="1" applyNumberFormat="1">
      <alignment horizontal="left" readingOrder="0"/>
    </xf>
    <xf borderId="4" fillId="8" fontId="3" numFmtId="165" xfId="0" applyAlignment="1" applyBorder="1" applyFill="1" applyFont="1" applyNumberFormat="1">
      <alignment horizontal="center" readingOrder="0"/>
    </xf>
    <xf borderId="0" fillId="8" fontId="3" numFmtId="165" xfId="0" applyAlignment="1" applyFont="1" applyNumberFormat="1">
      <alignment horizontal="center" readingOrder="0"/>
    </xf>
    <xf borderId="5" fillId="8" fontId="10" numFmtId="165" xfId="0" applyAlignment="1" applyBorder="1" applyFont="1" applyNumberFormat="1">
      <alignment horizontal="center"/>
    </xf>
    <xf borderId="0" fillId="0" fontId="8" numFmtId="165" xfId="0" applyAlignment="1" applyFont="1" applyNumberFormat="1">
      <alignment horizontal="left"/>
    </xf>
    <xf borderId="0" fillId="0" fontId="10" numFmtId="165" xfId="0" applyAlignment="1" applyFont="1" applyNumberFormat="1">
      <alignment horizontal="left"/>
    </xf>
    <xf borderId="4" fillId="8" fontId="11" numFmtId="165" xfId="0" applyAlignment="1" applyBorder="1" applyFont="1" applyNumberFormat="1">
      <alignment horizontal="center" readingOrder="0"/>
    </xf>
    <xf borderId="0" fillId="8" fontId="11" numFmtId="165" xfId="0" applyAlignment="1" applyFont="1" applyNumberFormat="1">
      <alignment horizontal="center" readingOrder="0"/>
    </xf>
    <xf borderId="6" fillId="0" fontId="3" numFmtId="0" xfId="0" applyAlignment="1" applyBorder="1" applyFont="1">
      <alignment horizontal="center" readingOrder="0"/>
    </xf>
    <xf borderId="6" fillId="0" fontId="5" numFmtId="165" xfId="0" applyAlignment="1" applyBorder="1" applyFont="1" applyNumberFormat="1">
      <alignment horizontal="left" readingOrder="0"/>
    </xf>
    <xf borderId="6" fillId="0" fontId="6" numFmtId="165" xfId="0" applyAlignment="1" applyBorder="1" applyFont="1" applyNumberFormat="1">
      <alignment horizontal="left" readingOrder="0"/>
    </xf>
    <xf borderId="6" fillId="0" fontId="7" numFmtId="165" xfId="0" applyAlignment="1" applyBorder="1" applyFont="1" applyNumberFormat="1">
      <alignment horizontal="left" readingOrder="0"/>
    </xf>
    <xf borderId="6" fillId="0" fontId="8" numFmtId="165" xfId="0" applyAlignment="1" applyBorder="1" applyFont="1" applyNumberFormat="1">
      <alignment horizontal="left"/>
    </xf>
    <xf borderId="6" fillId="0" fontId="10" numFmtId="165" xfId="0" applyAlignment="1" applyBorder="1" applyFont="1" applyNumberFormat="1">
      <alignment horizontal="left"/>
    </xf>
    <xf borderId="2" fillId="0" fontId="4" numFmtId="164" xfId="0" applyAlignment="1" applyBorder="1" applyFont="1" applyNumberFormat="1">
      <alignment horizontal="center" readingOrder="0"/>
    </xf>
    <xf borderId="1" fillId="8" fontId="3" numFmtId="165" xfId="0" applyAlignment="1" applyBorder="1" applyFont="1" applyNumberFormat="1">
      <alignment horizontal="center" readingOrder="0"/>
    </xf>
    <xf borderId="2" fillId="8" fontId="3" numFmtId="165" xfId="0" applyAlignment="1" applyBorder="1" applyFont="1" applyNumberFormat="1">
      <alignment horizontal="center" readingOrder="0"/>
    </xf>
    <xf borderId="2" fillId="8" fontId="11" numFmtId="165" xfId="0" applyAlignment="1" applyBorder="1" applyFont="1" applyNumberFormat="1">
      <alignment horizontal="center" readingOrder="0"/>
    </xf>
    <xf borderId="3" fillId="8" fontId="10" numFmtId="165" xfId="0" applyAlignment="1" applyBorder="1" applyFont="1" applyNumberFormat="1">
      <alignment horizontal="center"/>
    </xf>
    <xf borderId="5" fillId="8" fontId="9" numFmtId="165" xfId="0" applyAlignment="1" applyBorder="1" applyFont="1" applyNumberFormat="1">
      <alignment horizontal="center" readingOrder="0"/>
    </xf>
    <xf borderId="5" fillId="9" fontId="2" numFmtId="0" xfId="0" applyAlignment="1" applyBorder="1" applyFill="1" applyFont="1">
      <alignment horizontal="center" readingOrder="0" vertical="center"/>
    </xf>
    <xf borderId="0" fillId="3" fontId="12" numFmtId="0" xfId="0" applyAlignment="1" applyFont="1">
      <alignment horizontal="center" readingOrder="0"/>
    </xf>
    <xf borderId="5" fillId="0" fontId="13" numFmtId="0" xfId="0" applyBorder="1" applyFont="1"/>
    <xf borderId="0" fillId="4" fontId="14" numFmtId="0" xfId="0" applyAlignment="1" applyFont="1">
      <alignment horizontal="center" readingOrder="0"/>
    </xf>
    <xf borderId="4" fillId="3" fontId="1" numFmtId="0" xfId="0" applyAlignment="1" applyBorder="1" applyFont="1">
      <alignment horizontal="center" readingOrder="0" vertical="center"/>
    </xf>
    <xf borderId="0" fillId="4" fontId="1" numFmtId="0" xfId="0" applyAlignment="1" applyFont="1">
      <alignment horizontal="center" readingOrder="0" vertical="center"/>
    </xf>
    <xf borderId="5" fillId="10" fontId="15" numFmtId="0" xfId="0" applyAlignment="1" applyBorder="1" applyFill="1" applyFont="1">
      <alignment horizontal="center" readingOrder="0" vertical="center"/>
    </xf>
    <xf borderId="1" fillId="5" fontId="1" numFmtId="0" xfId="0" applyAlignment="1" applyBorder="1" applyFont="1">
      <alignment horizontal="center" readingOrder="0" vertical="center"/>
    </xf>
    <xf borderId="2" fillId="5" fontId="1" numFmtId="0" xfId="0" applyAlignment="1" applyBorder="1" applyFont="1">
      <alignment horizontal="center" readingOrder="0" vertical="center"/>
    </xf>
    <xf borderId="3" fillId="5" fontId="1" numFmtId="0" xfId="0" applyAlignment="1" applyBorder="1" applyFont="1">
      <alignment horizontal="center" readingOrder="0" vertical="center"/>
    </xf>
    <xf borderId="1" fillId="11" fontId="1" numFmtId="0" xfId="0" applyAlignment="1" applyBorder="1" applyFill="1" applyFont="1">
      <alignment horizontal="center" readingOrder="0" vertical="center"/>
    </xf>
    <xf borderId="2" fillId="11" fontId="1" numFmtId="0" xfId="0" applyAlignment="1" applyBorder="1" applyFont="1">
      <alignment horizontal="center" readingOrder="0" vertical="center"/>
    </xf>
    <xf borderId="2" fillId="12" fontId="16" numFmtId="0" xfId="0" applyAlignment="1" applyBorder="1" applyFill="1" applyFont="1">
      <alignment horizontal="center" readingOrder="0" vertical="center"/>
    </xf>
    <xf quotePrefix="1" borderId="3" fillId="13" fontId="1" numFmtId="0" xfId="0" applyAlignment="1" applyBorder="1" applyFill="1" applyFont="1">
      <alignment horizontal="center" readingOrder="0" vertical="center"/>
    </xf>
    <xf borderId="7" fillId="14" fontId="2" numFmtId="0" xfId="0" applyAlignment="1" applyBorder="1" applyFill="1" applyFont="1">
      <alignment horizontal="center" readingOrder="0" vertical="center"/>
    </xf>
    <xf borderId="8" fillId="0" fontId="13" numFmtId="0" xfId="0" applyBorder="1" applyFont="1"/>
    <xf borderId="6" fillId="15" fontId="1" numFmtId="0" xfId="0" applyAlignment="1" applyBorder="1" applyFill="1" applyFont="1">
      <alignment horizontal="center" readingOrder="0"/>
    </xf>
    <xf borderId="8" fillId="15" fontId="1" numFmtId="0" xfId="0" applyAlignment="1" applyBorder="1" applyFont="1">
      <alignment horizontal="center" readingOrder="0"/>
    </xf>
    <xf borderId="6" fillId="16" fontId="1" numFmtId="0" xfId="0" applyAlignment="1" applyBorder="1" applyFill="1" applyFont="1">
      <alignment horizontal="center" readingOrder="0"/>
    </xf>
    <xf borderId="9" fillId="0" fontId="13" numFmtId="0" xfId="0" applyBorder="1" applyFont="1"/>
    <xf borderId="6" fillId="0" fontId="13" numFmtId="0" xfId="0" applyBorder="1" applyFont="1"/>
    <xf borderId="10" fillId="0" fontId="13" numFmtId="0" xfId="0" applyBorder="1" applyFont="1"/>
    <xf borderId="5" fillId="6" fontId="1" numFmtId="0" xfId="0" applyAlignment="1" applyBorder="1" applyFon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5" fillId="0" fontId="3" numFmtId="165" xfId="0" applyAlignment="1" applyBorder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8" numFmtId="165" xfId="0" applyAlignment="1" applyFont="1" applyNumberFormat="1">
      <alignment horizontal="center"/>
    </xf>
    <xf borderId="4" fillId="0" fontId="3" numFmtId="165" xfId="0" applyAlignment="1" applyBorder="1" applyFont="1" applyNumberFormat="1">
      <alignment horizontal="center"/>
    </xf>
    <xf borderId="5" fillId="0" fontId="1" numFmtId="165" xfId="0" applyAlignment="1" applyBorder="1" applyFont="1" applyNumberFormat="1">
      <alignment horizontal="center"/>
    </xf>
    <xf borderId="4" fillId="0" fontId="11" numFmtId="165" xfId="0" applyAlignment="1" applyBorder="1" applyFont="1" applyNumberFormat="1">
      <alignment horizontal="center"/>
    </xf>
    <xf borderId="0" fillId="0" fontId="11" numFmtId="165" xfId="0" applyAlignment="1" applyFont="1" applyNumberFormat="1">
      <alignment horizontal="center"/>
    </xf>
    <xf borderId="5" fillId="0" fontId="11" numFmtId="165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5" fillId="0" fontId="8" numFmtId="165" xfId="0" applyAlignment="1" applyBorder="1" applyFont="1" applyNumberFormat="1">
      <alignment horizontal="center"/>
    </xf>
    <xf borderId="7" fillId="0" fontId="3" numFmtId="165" xfId="0" applyAlignment="1" applyBorder="1" applyFont="1" applyNumberFormat="1">
      <alignment horizontal="center"/>
    </xf>
    <xf borderId="11" fillId="0" fontId="17" numFmtId="0" xfId="0" applyAlignment="1" applyBorder="1" applyFont="1">
      <alignment horizontal="center" readingOrder="0"/>
    </xf>
    <xf borderId="5" fillId="0" fontId="3" numFmtId="165" xfId="0" applyAlignment="1" applyBorder="1" applyFont="1" applyNumberFormat="1">
      <alignment horizontal="center" readingOrder="0"/>
    </xf>
    <xf borderId="0" fillId="0" fontId="8" numFmtId="165" xfId="0" applyAlignment="1" applyFont="1" applyNumberFormat="1">
      <alignment horizontal="center" readingOrder="0"/>
    </xf>
    <xf borderId="12" fillId="0" fontId="3" numFmtId="165" xfId="0" applyAlignment="1" applyBorder="1" applyFont="1" applyNumberFormat="1">
      <alignment horizontal="center" readingOrder="0"/>
    </xf>
    <xf borderId="0" fillId="0" fontId="11" numFmtId="165" xfId="0" applyAlignment="1" applyFont="1" applyNumberFormat="1">
      <alignment horizontal="center" readingOrder="0"/>
    </xf>
    <xf borderId="6" fillId="0" fontId="3" numFmtId="165" xfId="0" applyAlignment="1" applyBorder="1" applyFont="1" applyNumberFormat="1">
      <alignment horizontal="center"/>
    </xf>
    <xf borderId="4" fillId="0" fontId="3" numFmtId="165" xfId="0" applyAlignment="1" applyBorder="1" applyFont="1" applyNumberFormat="1">
      <alignment horizontal="center" readingOrder="0"/>
    </xf>
    <xf borderId="5" fillId="0" fontId="8" numFmtId="165" xfId="0" applyAlignment="1" applyBorder="1" applyFont="1" applyNumberFormat="1">
      <alignment horizontal="center" readingOrder="0"/>
    </xf>
    <xf borderId="10" fillId="0" fontId="3" numFmtId="165" xfId="0" applyAlignment="1" applyBorder="1" applyFont="1" applyNumberFormat="1">
      <alignment horizontal="center" readingOrder="0"/>
    </xf>
    <xf borderId="2" fillId="0" fontId="3" numFmtId="165" xfId="0" applyAlignment="1" applyBorder="1" applyFont="1" applyNumberFormat="1">
      <alignment horizontal="center" readingOrder="0"/>
    </xf>
    <xf borderId="2" fillId="0" fontId="3" numFmtId="165" xfId="0" applyAlignment="1" applyBorder="1" applyFont="1" applyNumberFormat="1">
      <alignment horizontal="center"/>
    </xf>
    <xf borderId="1" fillId="0" fontId="3" numFmtId="165" xfId="0" applyAlignment="1" applyBorder="1" applyFont="1" applyNumberFormat="1">
      <alignment horizontal="center" readingOrder="0"/>
    </xf>
    <xf borderId="2" fillId="0" fontId="11" numFmtId="165" xfId="0" applyAlignment="1" applyBorder="1" applyFont="1" applyNumberFormat="1">
      <alignment horizontal="center" readingOrder="0"/>
    </xf>
    <xf borderId="2" fillId="0" fontId="8" numFmtId="165" xfId="0" applyAlignment="1" applyBorder="1" applyFont="1" applyNumberFormat="1">
      <alignment horizontal="center" readingOrder="0"/>
    </xf>
    <xf borderId="1" fillId="0" fontId="3" numFmtId="165" xfId="0" applyAlignment="1" applyBorder="1" applyFont="1" applyNumberFormat="1">
      <alignment horizontal="center"/>
    </xf>
    <xf borderId="3" fillId="0" fontId="1" numFmtId="165" xfId="0" applyAlignment="1" applyBorder="1" applyFont="1" applyNumberFormat="1">
      <alignment horizontal="center"/>
    </xf>
    <xf borderId="12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" fillId="17" fontId="3" numFmtId="165" xfId="0" applyAlignment="1" applyBorder="1" applyFill="1" applyFont="1" applyNumberFormat="1">
      <alignment horizontal="center" readingOrder="0"/>
    </xf>
    <xf borderId="2" fillId="17" fontId="3" numFmtId="165" xfId="0" applyAlignment="1" applyBorder="1" applyFont="1" applyNumberFormat="1">
      <alignment horizontal="center" readingOrder="0"/>
    </xf>
    <xf borderId="2" fillId="17" fontId="1" numFmtId="165" xfId="0" applyAlignment="1" applyBorder="1" applyFont="1" applyNumberFormat="1">
      <alignment horizontal="center" readingOrder="0"/>
    </xf>
    <xf borderId="2" fillId="17" fontId="8" numFmtId="165" xfId="0" applyAlignment="1" applyBorder="1" applyFont="1" applyNumberFormat="1">
      <alignment horizontal="center" readingOrder="0"/>
    </xf>
    <xf borderId="4" fillId="0" fontId="11" numFmtId="165" xfId="0" applyAlignment="1" applyBorder="1" applyFont="1" applyNumberFormat="1">
      <alignment horizontal="center" readingOrder="0"/>
    </xf>
    <xf borderId="5" fillId="0" fontId="3" numFmtId="0" xfId="0" applyAlignment="1" applyBorder="1" applyFont="1">
      <alignment horizontal="center"/>
    </xf>
    <xf borderId="0" fillId="17" fontId="2" numFmtId="165" xfId="0" applyAlignment="1" applyFont="1" applyNumberFormat="1">
      <alignment horizontal="center" readingOrder="0"/>
    </xf>
    <xf borderId="4" fillId="18" fontId="11" numFmtId="165" xfId="0" applyAlignment="1" applyBorder="1" applyFill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left" readingOrder="0"/>
    </xf>
    <xf borderId="0" fillId="0" fontId="18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0" fontId="19" numFmtId="165" xfId="0" applyAlignment="1" applyFont="1" applyNumberFormat="1">
      <alignment horizontal="center" readingOrder="0"/>
    </xf>
    <xf borderId="11" fillId="0" fontId="3" numFmtId="0" xfId="0" applyAlignment="1" applyBorder="1" applyFont="1">
      <alignment horizontal="center"/>
    </xf>
    <xf borderId="4" fillId="0" fontId="18" numFmtId="165" xfId="0" applyAlignment="1" applyBorder="1" applyFont="1" applyNumberFormat="1">
      <alignment horizontal="center"/>
    </xf>
    <xf borderId="0" fillId="0" fontId="18" numFmtId="165" xfId="0" applyAlignment="1" applyFont="1" applyNumberFormat="1">
      <alignment horizontal="center"/>
    </xf>
    <xf borderId="0" fillId="0" fontId="18" numFmtId="165" xfId="0" applyAlignment="1" applyFont="1" applyNumberFormat="1">
      <alignment horizontal="center" readingOrder="0"/>
    </xf>
    <xf borderId="0" fillId="0" fontId="2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4.38"/>
    <col customWidth="1" min="3" max="9" width="10.13"/>
  </cols>
  <sheetData>
    <row r="1">
      <c r="A1" s="1" t="s">
        <v>0</v>
      </c>
      <c r="B1" s="1" t="s">
        <v>1</v>
      </c>
      <c r="C1" s="2" t="s">
        <v>2</v>
      </c>
      <c r="D1" s="2">
        <v>99.0</v>
      </c>
      <c r="E1" s="2" t="s">
        <v>3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8" t="s">
        <v>10</v>
      </c>
      <c r="M1" s="9" t="s">
        <v>11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>
        <v>44835.0</v>
      </c>
      <c r="B2" s="12">
        <v>20.0</v>
      </c>
      <c r="C2" s="13" t="s">
        <v>12</v>
      </c>
      <c r="D2" s="13"/>
      <c r="E2" s="13" t="s">
        <v>12</v>
      </c>
      <c r="F2" s="14" t="s">
        <v>12</v>
      </c>
      <c r="G2" s="15">
        <v>650.0</v>
      </c>
      <c r="H2" s="16" t="s">
        <v>12</v>
      </c>
      <c r="I2" s="17" t="s">
        <v>12</v>
      </c>
      <c r="J2" s="18">
        <v>2665.26</v>
      </c>
      <c r="K2" s="19">
        <v>619.0</v>
      </c>
      <c r="L2" s="19">
        <v>700.0</v>
      </c>
      <c r="M2" s="20">
        <f t="shared" ref="M2:M6" si="1">SUM(J2:L2,G2)</f>
        <v>4634.26</v>
      </c>
    </row>
    <row r="3">
      <c r="A3" s="11">
        <v>44866.0</v>
      </c>
      <c r="B3" s="12">
        <v>17.0</v>
      </c>
      <c r="C3" s="13">
        <f>189.43+121.79+200.81+250.03+93.18+66.39+127.02+83.69+204.07+190.6+232.49+129.09+32.36+145.74+181.37+15.73+159.47+151.91+34.33+20.49+196.62+157.54</f>
        <v>2984.15</v>
      </c>
      <c r="D3" s="13">
        <f>160.83+96.68+16.26+36.16+41.84+127.42+32.7+37.52+29.91+85.48+9.06+152.16+27.58+91.13+62.7+23.74+122.67+83.49+48.51+103.87</f>
        <v>1389.71</v>
      </c>
      <c r="E3" s="13">
        <f>7+7+3+3+14+29.2+15+8+10+3+12+12+20+15</f>
        <v>158.2</v>
      </c>
      <c r="F3" s="14">
        <f>70+52+113+23+53+30+54+122+51+81+30+56+24+90+30+87+52</f>
        <v>1018</v>
      </c>
      <c r="G3" s="15">
        <f>28.7+0+22.9+43.62+57.6+14.9+83.25+18+6.1+38.4+9+8.71+13.96+19.5+61.79</f>
        <v>426.43</v>
      </c>
      <c r="H3" s="21">
        <f t="shared" ref="H3:H7" si="2">I3/B3</f>
        <v>206.7094118</v>
      </c>
      <c r="I3" s="22">
        <f t="shared" ref="I3:I7" si="3">sum(C3:E3)-F3</f>
        <v>3514.06</v>
      </c>
      <c r="J3" s="23">
        <v>2218.0</v>
      </c>
      <c r="K3" s="24">
        <v>561.84</v>
      </c>
      <c r="L3" s="19">
        <v>350.0</v>
      </c>
      <c r="M3" s="20">
        <f t="shared" si="1"/>
        <v>3556.27</v>
      </c>
    </row>
    <row r="4">
      <c r="A4" s="11">
        <v>44896.0</v>
      </c>
      <c r="B4" s="25">
        <v>18.0</v>
      </c>
      <c r="C4" s="26">
        <f>140.53+79.17+277.84+63.72+94.71+184.42+149.16+92.82+258.57+89.38+95.78+95.53+123.4+205.57+118.08+121.49+147.63+163.47+98.85+75.65</f>
        <v>2675.77</v>
      </c>
      <c r="D4" s="26">
        <f>143.12+193.2+42.45+81.81+258.09+133.91+179+38.5+129.17+189.39+40.32+24.89+128.56+121.76+166.13+71.5+138.18+114.64+109.59+118.31</f>
        <v>2422.52</v>
      </c>
      <c r="E4" s="26">
        <f>26.9+13+9+30+6+36+13.2+23</f>
        <v>157.1</v>
      </c>
      <c r="F4" s="27">
        <f>70+0+92+40+56+68+57+38+58+83+0+0+120+0+110+42+50+60+50+50</f>
        <v>1044</v>
      </c>
      <c r="G4" s="28">
        <f>76.19+86.1+30.8+59.63+13.21+87.33+0+10.64+29.9+41.6+130.9+12.2+36.82+17.2+0+66</f>
        <v>698.52</v>
      </c>
      <c r="H4" s="29">
        <f t="shared" si="2"/>
        <v>233.9661111</v>
      </c>
      <c r="I4" s="30">
        <f t="shared" si="3"/>
        <v>4211.39</v>
      </c>
      <c r="J4" s="23">
        <v>1864.0</v>
      </c>
      <c r="K4" s="24">
        <v>925.28</v>
      </c>
      <c r="L4" s="24">
        <v>650.0</v>
      </c>
      <c r="M4" s="20">
        <f t="shared" si="1"/>
        <v>4137.8</v>
      </c>
    </row>
    <row r="5">
      <c r="A5" s="31">
        <v>44927.0</v>
      </c>
      <c r="B5" s="12">
        <v>4.0</v>
      </c>
      <c r="C5" s="13">
        <f>71.74+21.58+115.89+46.18+74.45+187.37+97.15+47.22</f>
        <v>661.58</v>
      </c>
      <c r="D5" s="13">
        <f>11.7+0+37.5+50.7+26.4+0+12.5+29.47+8.9</f>
        <v>177.17</v>
      </c>
      <c r="E5" s="13">
        <f>0</f>
        <v>0</v>
      </c>
      <c r="F5" s="14">
        <f>25+124+43+0</f>
        <v>192</v>
      </c>
      <c r="G5" s="15">
        <f>39+12+37.3+10+11.4</f>
        <v>109.7</v>
      </c>
      <c r="H5" s="21">
        <f t="shared" si="2"/>
        <v>161.6875</v>
      </c>
      <c r="I5" s="22">
        <f t="shared" si="3"/>
        <v>646.75</v>
      </c>
      <c r="J5" s="32">
        <v>193.0</v>
      </c>
      <c r="K5" s="33">
        <v>78.34</v>
      </c>
      <c r="L5" s="34">
        <v>200.0</v>
      </c>
      <c r="M5" s="35">
        <f t="shared" si="1"/>
        <v>581.04</v>
      </c>
    </row>
    <row r="6">
      <c r="A6" s="11">
        <v>44958.0</v>
      </c>
      <c r="B6" s="12">
        <v>21.0</v>
      </c>
      <c r="C6" s="13">
        <f>153.18+169.63+138.54+157.84+196.66+91.47+140.46+55.17+145.06+92.36+168.23+168.81+136.44+164.93+67.77+101.6+167.65+93.27+173.17+69.48+77.41+154.21+174.22</f>
        <v>3057.56</v>
      </c>
      <c r="D6" s="13">
        <f>39.7+56.1+72.31+112.24+51.7+133.97+105.89+204.02+111.2+116.2+6.5+79.96+108.4+72.8+52.68+47.3+56.9+56.8+35.3+53.1+25.23+43.1+51.4+41.4</f>
        <v>1734.2</v>
      </c>
      <c r="E6" s="13">
        <f>8+7+3+3+12+3+17+20.4+3+25+15+15+3+3+17</f>
        <v>154.4</v>
      </c>
      <c r="F6" s="14">
        <f>0+95+47+0+101.36+40+60+64+0+128+36+68+53+0+115+63+35+0+103+51+64+25</f>
        <v>1148.36</v>
      </c>
      <c r="G6" s="15">
        <f>20+21.54+105.8+48+42.54+45.57+58.26+45.46+35.48+19+20.97+69.48+26.15</f>
        <v>558.25</v>
      </c>
      <c r="H6" s="21">
        <f t="shared" si="2"/>
        <v>180.847619</v>
      </c>
      <c r="I6" s="22">
        <f t="shared" si="3"/>
        <v>3797.8</v>
      </c>
      <c r="J6" s="23">
        <v>2668.0</v>
      </c>
      <c r="K6" s="24">
        <v>700.0</v>
      </c>
      <c r="L6" s="24">
        <v>150.0</v>
      </c>
      <c r="M6" s="20">
        <f t="shared" si="1"/>
        <v>4076.25</v>
      </c>
    </row>
    <row r="7">
      <c r="A7" s="11">
        <v>44986.0</v>
      </c>
      <c r="B7" s="12">
        <v>16.0</v>
      </c>
      <c r="C7" s="13">
        <f>70.27+211.38+208.73+196.1+186.13+151.86+287.11+212.87+197.87+132.59+106.27+181.99+53.96+7.41+136.19+132.47+13.24+126.8+151.81</f>
        <v>2765.05</v>
      </c>
      <c r="D7" s="13">
        <f>16.83+49.3+81.94+84.18+90.98+69.92+64.18+123.76+93.9-28.3+62.88+53.19+73.72+51.73+9.7+79.49+38.49+16.55+59.18+52.5</f>
        <v>1144.12</v>
      </c>
      <c r="E7" s="13">
        <f>3+3+23+23+10+12+34+12+28+26.4+3+17.4+28.8+10.8+14</f>
        <v>248.4</v>
      </c>
      <c r="F7" s="14">
        <f>0+108+60+61+67+59+0+158+63+63+0+120+60+0+102+0+113</f>
        <v>1034</v>
      </c>
      <c r="G7" s="15">
        <f>10+26.17+31+153.15+6.3+21+42.04+68.75+10+27.9+46.7+42.8+37.67</f>
        <v>523.48</v>
      </c>
      <c r="H7" s="21">
        <f t="shared" si="2"/>
        <v>195.223125</v>
      </c>
      <c r="I7" s="22">
        <f t="shared" si="3"/>
        <v>3123.57</v>
      </c>
      <c r="J7" s="23">
        <v>0.0</v>
      </c>
      <c r="K7" s="24">
        <v>0.0</v>
      </c>
      <c r="L7" s="24">
        <v>0.0</v>
      </c>
      <c r="M7" s="36">
        <v>0.0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16" max="16" width="6.63"/>
    <col customWidth="1" min="21" max="21" width="6.75"/>
    <col customWidth="1" min="26" max="26" width="6.5"/>
    <col customWidth="1" min="27" max="27" width="13.5"/>
    <col customWidth="1" min="28" max="28" width="3.88"/>
  </cols>
  <sheetData>
    <row r="1">
      <c r="A1" s="37" t="s">
        <v>13</v>
      </c>
      <c r="B1" s="38" t="s">
        <v>14</v>
      </c>
      <c r="C1" s="39"/>
      <c r="D1" s="40" t="s">
        <v>15</v>
      </c>
      <c r="M1" s="41" t="s">
        <v>16</v>
      </c>
      <c r="N1" s="42" t="s">
        <v>17</v>
      </c>
      <c r="O1" s="43" t="s">
        <v>18</v>
      </c>
      <c r="P1" s="10"/>
      <c r="Q1" s="44" t="s">
        <v>19</v>
      </c>
      <c r="R1" s="45" t="s">
        <v>20</v>
      </c>
      <c r="S1" s="45" t="s">
        <v>21</v>
      </c>
      <c r="T1" s="46" t="s">
        <v>22</v>
      </c>
      <c r="U1" s="10"/>
      <c r="V1" s="47" t="s">
        <v>23</v>
      </c>
      <c r="W1" s="48" t="s">
        <v>24</v>
      </c>
      <c r="X1" s="49" t="s">
        <v>25</v>
      </c>
      <c r="Y1" s="50" t="s">
        <v>26</v>
      </c>
      <c r="Z1" s="10"/>
      <c r="AA1" s="51" t="s">
        <v>27</v>
      </c>
      <c r="AB1" s="10"/>
    </row>
    <row r="2">
      <c r="A2" s="52"/>
      <c r="B2" s="53" t="s">
        <v>28</v>
      </c>
      <c r="C2" s="54" t="s">
        <v>29</v>
      </c>
      <c r="D2" s="55" t="s">
        <v>30</v>
      </c>
      <c r="E2" s="55" t="s">
        <v>31</v>
      </c>
      <c r="F2" s="55" t="s">
        <v>32</v>
      </c>
      <c r="G2" s="55" t="s">
        <v>33</v>
      </c>
      <c r="H2" s="55" t="s">
        <v>34</v>
      </c>
      <c r="I2" s="55" t="s">
        <v>35</v>
      </c>
      <c r="J2" s="55" t="s">
        <v>36</v>
      </c>
      <c r="K2" s="55" t="s">
        <v>37</v>
      </c>
      <c r="L2" s="55" t="s">
        <v>38</v>
      </c>
      <c r="M2" s="56"/>
      <c r="N2" s="57"/>
      <c r="O2" s="52"/>
      <c r="P2" s="10"/>
      <c r="Q2" s="56"/>
      <c r="R2" s="57"/>
      <c r="S2" s="57"/>
      <c r="T2" s="52"/>
      <c r="U2" s="10"/>
      <c r="V2" s="56"/>
      <c r="W2" s="57"/>
      <c r="X2" s="57"/>
      <c r="Y2" s="52"/>
      <c r="Z2" s="10"/>
      <c r="AA2" s="58"/>
      <c r="AB2" s="10"/>
    </row>
    <row r="3">
      <c r="A3" s="59" t="s">
        <v>39</v>
      </c>
      <c r="B3" s="60">
        <v>4634.26</v>
      </c>
      <c r="C3" s="61">
        <f>250+100+100+1245+416.3</f>
        <v>2111.3</v>
      </c>
      <c r="D3" s="60">
        <v>1052.85</v>
      </c>
      <c r="E3" s="60">
        <v>575.13</v>
      </c>
      <c r="F3" s="60">
        <v>204.06</v>
      </c>
      <c r="G3" s="60">
        <v>34.41</v>
      </c>
      <c r="H3" s="60">
        <v>144.83</v>
      </c>
      <c r="I3" s="60">
        <v>160.42</v>
      </c>
      <c r="J3" s="60">
        <v>1741.21</v>
      </c>
      <c r="K3" s="62">
        <f>59+9+144+26+5+17.5+29.15+28+251.87+20+14</f>
        <v>603.52</v>
      </c>
      <c r="L3" s="63">
        <f>740+300</f>
        <v>1040</v>
      </c>
      <c r="M3" s="64">
        <f t="shared" ref="M3:M7" si="1">sum(B3:C3)</f>
        <v>6745.56</v>
      </c>
      <c r="N3" s="62">
        <f t="shared" ref="N3:N8" si="2">SUM(D3:K3)</f>
        <v>4516.43</v>
      </c>
      <c r="O3" s="65">
        <f t="shared" ref="O3:O7" si="3">M3-N3</f>
        <v>2229.13</v>
      </c>
      <c r="P3" s="10"/>
      <c r="Q3" s="66">
        <f t="shared" ref="Q3:Q5" si="4">0.2*O3</f>
        <v>445.826</v>
      </c>
      <c r="R3" s="67">
        <f t="shared" ref="R3:R5" si="5">0.15*O3</f>
        <v>334.3695</v>
      </c>
      <c r="S3" s="67">
        <f t="shared" ref="S3:S5" si="6">0.15*O3</f>
        <v>334.3695</v>
      </c>
      <c r="T3" s="68">
        <f t="shared" ref="T3:T5" si="7">0.5*O3</f>
        <v>1114.565</v>
      </c>
      <c r="U3" s="10"/>
      <c r="V3" s="64">
        <v>0.0</v>
      </c>
      <c r="W3" s="62">
        <v>0.0</v>
      </c>
      <c r="X3" s="69">
        <v>0.0</v>
      </c>
      <c r="Y3" s="70">
        <v>251.93</v>
      </c>
      <c r="Z3" s="10"/>
      <c r="AA3" s="71">
        <f>5000+3000</f>
        <v>8000</v>
      </c>
      <c r="AB3" s="72" t="s">
        <v>40</v>
      </c>
    </row>
    <row r="4">
      <c r="A4" s="59" t="s">
        <v>41</v>
      </c>
      <c r="B4" s="60">
        <v>3556.27</v>
      </c>
      <c r="C4" s="73">
        <f>250+100+35.6+15+1245+316+206+1200</f>
        <v>3367.6</v>
      </c>
      <c r="D4" s="60">
        <v>1033.22</v>
      </c>
      <c r="E4" s="60">
        <v>576.65</v>
      </c>
      <c r="F4" s="60">
        <v>167.86</v>
      </c>
      <c r="G4" s="60">
        <v>41.0</v>
      </c>
      <c r="H4" s="60">
        <v>144.83</v>
      </c>
      <c r="I4" s="60">
        <v>160.42</v>
      </c>
      <c r="J4" s="60">
        <v>1796.11</v>
      </c>
      <c r="K4" s="60">
        <f>900+18.45+226.51</f>
        <v>1144.96</v>
      </c>
      <c r="L4" s="74">
        <f>140</f>
        <v>140</v>
      </c>
      <c r="M4" s="64">
        <f t="shared" si="1"/>
        <v>6923.87</v>
      </c>
      <c r="N4" s="62">
        <f t="shared" si="2"/>
        <v>5065.05</v>
      </c>
      <c r="O4" s="65">
        <f t="shared" si="3"/>
        <v>1858.82</v>
      </c>
      <c r="P4" s="10"/>
      <c r="Q4" s="66">
        <f t="shared" si="4"/>
        <v>371.764</v>
      </c>
      <c r="R4" s="67">
        <f t="shared" si="5"/>
        <v>278.823</v>
      </c>
      <c r="S4" s="67">
        <f t="shared" si="6"/>
        <v>278.823</v>
      </c>
      <c r="T4" s="68">
        <f t="shared" si="7"/>
        <v>929.41</v>
      </c>
      <c r="U4" s="10"/>
      <c r="V4" s="64">
        <v>35706.61</v>
      </c>
      <c r="W4" s="62">
        <v>29733.12</v>
      </c>
      <c r="X4" s="69">
        <f t="shared" ref="X4:X5" si="8">SUM(V4:W4)</f>
        <v>65439.73</v>
      </c>
      <c r="Y4" s="70">
        <v>243.79</v>
      </c>
      <c r="Z4" s="10"/>
      <c r="AA4" s="75">
        <v>5000.0</v>
      </c>
      <c r="AB4" s="72" t="s">
        <v>40</v>
      </c>
    </row>
    <row r="5">
      <c r="A5" s="59" t="s">
        <v>42</v>
      </c>
      <c r="B5" s="60">
        <v>4137.8</v>
      </c>
      <c r="C5" s="61">
        <f>150+100+150+1246+302.7+121.7</f>
        <v>2070.4</v>
      </c>
      <c r="D5" s="60">
        <v>1033.05</v>
      </c>
      <c r="E5" s="60">
        <v>594.86</v>
      </c>
      <c r="F5" s="60">
        <v>197.07</v>
      </c>
      <c r="G5" s="60">
        <v>37.4</v>
      </c>
      <c r="H5" s="60">
        <v>104.9</v>
      </c>
      <c r="I5" s="60">
        <v>160.42</v>
      </c>
      <c r="J5" s="76">
        <v>1358.27</v>
      </c>
      <c r="K5" s="76">
        <f>14+26+117.92</f>
        <v>157.92</v>
      </c>
      <c r="L5" s="74">
        <f>104.13+250</f>
        <v>354.13</v>
      </c>
      <c r="M5" s="64">
        <f t="shared" si="1"/>
        <v>6208.2</v>
      </c>
      <c r="N5" s="77">
        <f t="shared" si="2"/>
        <v>3643.89</v>
      </c>
      <c r="O5" s="65">
        <f t="shared" si="3"/>
        <v>2564.31</v>
      </c>
      <c r="P5" s="10"/>
      <c r="Q5" s="66">
        <f t="shared" si="4"/>
        <v>512.862</v>
      </c>
      <c r="R5" s="67">
        <f t="shared" si="5"/>
        <v>384.6465</v>
      </c>
      <c r="S5" s="67">
        <f t="shared" si="6"/>
        <v>384.6465</v>
      </c>
      <c r="T5" s="68">
        <f t="shared" si="7"/>
        <v>1282.155</v>
      </c>
      <c r="U5" s="10"/>
      <c r="V5" s="78">
        <v>33472.29</v>
      </c>
      <c r="W5" s="60">
        <v>31571.0</v>
      </c>
      <c r="X5" s="69">
        <f t="shared" si="8"/>
        <v>65043.29</v>
      </c>
      <c r="Y5" s="79">
        <v>210.89</v>
      </c>
      <c r="Z5" s="10"/>
      <c r="AA5" s="80">
        <f>3000+2000</f>
        <v>5000</v>
      </c>
      <c r="AB5" s="72" t="s">
        <v>40</v>
      </c>
    </row>
    <row r="6">
      <c r="A6" s="9" t="s">
        <v>43</v>
      </c>
      <c r="B6" s="81">
        <v>581.04</v>
      </c>
      <c r="C6" s="82">
        <f>100+150+200+1245+255+161.3</f>
        <v>2111.3</v>
      </c>
      <c r="D6" s="83">
        <v>1039.17</v>
      </c>
      <c r="E6" s="84">
        <v>635.22</v>
      </c>
      <c r="F6" s="81">
        <v>192.25</v>
      </c>
      <c r="G6" s="81">
        <v>40.81</v>
      </c>
      <c r="H6" s="84">
        <v>104.9</v>
      </c>
      <c r="I6" s="81">
        <v>160.42</v>
      </c>
      <c r="J6" s="81">
        <v>2023.56</v>
      </c>
      <c r="K6" s="81">
        <f>181.35</f>
        <v>181.35</v>
      </c>
      <c r="L6" s="85">
        <f>330.42+90.94+660</f>
        <v>1081.36</v>
      </c>
      <c r="M6" s="86">
        <f t="shared" si="1"/>
        <v>2692.34</v>
      </c>
      <c r="N6" s="62">
        <f t="shared" si="2"/>
        <v>4377.68</v>
      </c>
      <c r="O6" s="87">
        <f t="shared" si="3"/>
        <v>-1685.34</v>
      </c>
      <c r="P6" s="88"/>
      <c r="Q6" s="81">
        <v>0.0</v>
      </c>
      <c r="R6" s="81">
        <v>0.0</v>
      </c>
      <c r="S6" s="81">
        <v>0.0</v>
      </c>
      <c r="T6" s="81">
        <v>0.0</v>
      </c>
      <c r="U6" s="89"/>
      <c r="V6" s="90">
        <v>33994.66</v>
      </c>
      <c r="W6" s="91">
        <v>32178.92</v>
      </c>
      <c r="X6" s="92">
        <v>66732.43</v>
      </c>
      <c r="Y6" s="93">
        <v>319.37</v>
      </c>
      <c r="Z6" s="88"/>
      <c r="AA6" s="76">
        <v>3000.0</v>
      </c>
      <c r="AB6" s="72" t="s">
        <v>40</v>
      </c>
    </row>
    <row r="7">
      <c r="A7" s="59" t="s">
        <v>44</v>
      </c>
      <c r="B7" s="60">
        <v>4076.25</v>
      </c>
      <c r="C7" s="62">
        <f>1245+150+200+100+50+414+160</f>
        <v>2319</v>
      </c>
      <c r="D7" s="94">
        <v>1035.45</v>
      </c>
      <c r="E7" s="76">
        <v>545.4</v>
      </c>
      <c r="F7" s="76">
        <v>235.93</v>
      </c>
      <c r="G7" s="76">
        <v>40.62</v>
      </c>
      <c r="H7" s="76">
        <v>104.9</v>
      </c>
      <c r="I7" s="76">
        <v>160.42</v>
      </c>
      <c r="J7" s="76">
        <v>1466.26</v>
      </c>
      <c r="K7" s="60">
        <f>101.36+315.92+50+647+75.92</f>
        <v>1190.2</v>
      </c>
      <c r="L7" s="74">
        <f>330.42+1180+266</f>
        <v>1776.42</v>
      </c>
      <c r="M7" s="64">
        <f t="shared" si="1"/>
        <v>6395.25</v>
      </c>
      <c r="N7" s="62">
        <f t="shared" si="2"/>
        <v>4779.18</v>
      </c>
      <c r="O7" s="65">
        <f t="shared" si="3"/>
        <v>1616.07</v>
      </c>
      <c r="P7" s="95"/>
      <c r="Q7" s="66">
        <f>0.2*O7</f>
        <v>323.214</v>
      </c>
      <c r="R7" s="67">
        <f>0.15*O7</f>
        <v>242.4105</v>
      </c>
      <c r="S7" s="67">
        <f>0.15*O7</f>
        <v>242.4105</v>
      </c>
      <c r="T7" s="68">
        <f>0.5*O7</f>
        <v>808.035</v>
      </c>
      <c r="U7" s="95"/>
      <c r="V7" s="60">
        <v>31054.75</v>
      </c>
      <c r="W7" s="60">
        <v>31463.08</v>
      </c>
      <c r="X7" s="96">
        <v>65692.21</v>
      </c>
      <c r="Y7" s="74">
        <v>284.99</v>
      </c>
      <c r="Z7" s="88"/>
      <c r="AA7" s="76">
        <v>3000.0</v>
      </c>
      <c r="AB7" s="72" t="s">
        <v>40</v>
      </c>
    </row>
    <row r="8">
      <c r="A8" s="59" t="s">
        <v>45</v>
      </c>
      <c r="B8" s="62"/>
      <c r="C8" s="62">
        <f>150+1245+100</f>
        <v>1495</v>
      </c>
      <c r="D8" s="97">
        <v>1299.34</v>
      </c>
      <c r="E8" s="76">
        <v>515.9</v>
      </c>
      <c r="F8" s="76">
        <v>246.01</v>
      </c>
      <c r="G8" s="76">
        <v>44.16</v>
      </c>
      <c r="H8" s="76">
        <v>104.9</v>
      </c>
      <c r="I8" s="76">
        <v>160.42</v>
      </c>
      <c r="J8" s="76">
        <v>879.08</v>
      </c>
      <c r="K8" s="60">
        <f>201.2+24.32+50+212+124+12+181.03+12+181</f>
        <v>997.55</v>
      </c>
      <c r="L8" s="63">
        <f>330.42+1626+152-1400</f>
        <v>708.42</v>
      </c>
      <c r="M8" s="64"/>
      <c r="N8" s="62">
        <f t="shared" si="2"/>
        <v>4247.36</v>
      </c>
      <c r="O8" s="62"/>
      <c r="P8" s="88"/>
      <c r="Q8" s="10"/>
      <c r="R8" s="10"/>
      <c r="S8" s="98"/>
      <c r="T8" s="99"/>
      <c r="U8" s="88"/>
      <c r="V8" s="100"/>
      <c r="W8" s="10"/>
      <c r="X8" s="101"/>
      <c r="Y8" s="102"/>
      <c r="Z8" s="88"/>
      <c r="AA8" s="103">
        <v>3000.0</v>
      </c>
      <c r="AB8" s="104"/>
    </row>
    <row r="9">
      <c r="A9" s="59" t="s">
        <v>46</v>
      </c>
      <c r="B9" s="62"/>
      <c r="C9" s="62"/>
      <c r="D9" s="105"/>
      <c r="E9" s="106"/>
      <c r="F9" s="106"/>
      <c r="G9" s="107">
        <v>35.8</v>
      </c>
      <c r="H9" s="107"/>
      <c r="I9" s="107">
        <v>160.42</v>
      </c>
      <c r="J9" s="106"/>
      <c r="K9" s="62"/>
      <c r="L9" s="62"/>
      <c r="M9" s="64"/>
      <c r="N9" s="62"/>
      <c r="O9" s="62"/>
      <c r="P9" s="88"/>
      <c r="Q9" s="108"/>
      <c r="R9" s="10"/>
      <c r="S9" s="10"/>
      <c r="T9" s="12"/>
      <c r="U9" s="88"/>
      <c r="V9" s="12"/>
      <c r="W9" s="10"/>
      <c r="X9" s="10"/>
      <c r="Y9" s="10"/>
      <c r="Z9" s="88"/>
      <c r="AA9" s="10"/>
      <c r="AB9" s="10"/>
    </row>
    <row r="10">
      <c r="A10" s="10"/>
      <c r="B10" s="10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2"/>
      <c r="U10" s="10"/>
      <c r="V10" s="12"/>
      <c r="W10" s="10"/>
      <c r="X10" s="10"/>
      <c r="Y10" s="10"/>
      <c r="Z10" s="10"/>
      <c r="AA10" s="10"/>
      <c r="AB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2"/>
      <c r="U11" s="10"/>
      <c r="V11" s="100"/>
      <c r="W11" s="10"/>
      <c r="X11" s="10"/>
      <c r="Y11" s="10"/>
      <c r="Z11" s="10"/>
      <c r="AA11" s="10"/>
      <c r="AB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2"/>
      <c r="U12" s="10"/>
      <c r="V12" s="10"/>
      <c r="W12" s="10"/>
      <c r="X12" s="10"/>
      <c r="Y12" s="10"/>
      <c r="Z12" s="10"/>
      <c r="AA12" s="10"/>
      <c r="AB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2"/>
      <c r="U13" s="10"/>
      <c r="V13" s="10"/>
      <c r="W13" s="12"/>
      <c r="X13" s="10"/>
      <c r="Y13" s="10"/>
      <c r="Z13" s="10"/>
      <c r="AA13" s="10"/>
      <c r="AB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2"/>
      <c r="U14" s="10"/>
      <c r="V14" s="10"/>
      <c r="W14" s="10"/>
      <c r="X14" s="10"/>
      <c r="Y14" s="10"/>
      <c r="Z14" s="10"/>
      <c r="AA14" s="10"/>
      <c r="AB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</sheetData>
  <mergeCells count="15">
    <mergeCell ref="R1:R2"/>
    <mergeCell ref="S1:S2"/>
    <mergeCell ref="T1:T2"/>
    <mergeCell ref="V1:V2"/>
    <mergeCell ref="W1:W2"/>
    <mergeCell ref="X1:X2"/>
    <mergeCell ref="Y1:Y2"/>
    <mergeCell ref="AA1:AA2"/>
    <mergeCell ref="A1:A2"/>
    <mergeCell ref="B1:C1"/>
    <mergeCell ref="D1:L1"/>
    <mergeCell ref="M1:M2"/>
    <mergeCell ref="N1:N2"/>
    <mergeCell ref="O1:O2"/>
    <mergeCell ref="Q1:Q2"/>
  </mergeCells>
  <drawing r:id="rId2"/>
  <legacyDrawing r:id="rId3"/>
</worksheet>
</file>