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recaf\Documents\GitHub\ThermistorNTC\doc\"/>
    </mc:Choice>
  </mc:AlternateContent>
  <xr:revisionPtr revIDLastSave="0" documentId="13_ncr:1_{D8C2B739-3226-4BAE-9645-21C572FAFF17}" xr6:coauthVersionLast="47" xr6:coauthVersionMax="47" xr10:uidLastSave="{00000000-0000-0000-0000-000000000000}"/>
  <bookViews>
    <workbookView xWindow="-110" yWindow="-110" windowWidth="19420" windowHeight="1030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55" i="1" l="1"/>
  <c r="Q55" i="1"/>
  <c r="M55" i="1"/>
  <c r="A55" i="1"/>
  <c r="O19" i="1"/>
  <c r="N19" i="1"/>
  <c r="O7" i="1"/>
  <c r="A5" i="1"/>
  <c r="B5" i="1" s="1"/>
  <c r="A4" i="1"/>
  <c r="B4" i="1" s="1"/>
  <c r="A6" i="1" l="1"/>
  <c r="H55" i="1"/>
  <c r="A56" i="1"/>
  <c r="B55" i="1"/>
  <c r="B56" i="1" l="1"/>
  <c r="M56" i="1"/>
  <c r="H56" i="1"/>
  <c r="A57" i="1"/>
  <c r="W56" i="1"/>
  <c r="Q56" i="1"/>
  <c r="B6" i="1"/>
  <c r="A7" i="1"/>
  <c r="H57" i="1" l="1"/>
  <c r="Q57" i="1"/>
  <c r="A58" i="1"/>
  <c r="W57" i="1"/>
  <c r="B57" i="1"/>
  <c r="M57" i="1"/>
  <c r="B7" i="1"/>
  <c r="A8" i="1"/>
  <c r="Q58" i="1" l="1"/>
  <c r="W58" i="1"/>
  <c r="M58" i="1"/>
  <c r="B58" i="1"/>
  <c r="H58" i="1"/>
  <c r="A59" i="1"/>
  <c r="A9" i="1"/>
  <c r="B8" i="1"/>
  <c r="A10" i="1" l="1"/>
  <c r="B9" i="1"/>
  <c r="W59" i="1"/>
  <c r="M59" i="1"/>
  <c r="B59" i="1"/>
  <c r="A60" i="1"/>
  <c r="Q59" i="1"/>
  <c r="H59" i="1"/>
  <c r="Q60" i="1" l="1"/>
  <c r="A61" i="1"/>
  <c r="B60" i="1"/>
  <c r="M60" i="1"/>
  <c r="W60" i="1"/>
  <c r="H60" i="1"/>
  <c r="A11" i="1"/>
  <c r="B10" i="1"/>
  <c r="A62" i="1" l="1"/>
  <c r="W61" i="1"/>
  <c r="M61" i="1"/>
  <c r="B61" i="1"/>
  <c r="H61" i="1"/>
  <c r="Q61" i="1"/>
  <c r="A12" i="1"/>
  <c r="B11" i="1"/>
  <c r="A13" i="1" l="1"/>
  <c r="B12" i="1"/>
  <c r="A63" i="1"/>
  <c r="H62" i="1"/>
  <c r="W62" i="1"/>
  <c r="Q62" i="1"/>
  <c r="M62" i="1"/>
  <c r="B62" i="1"/>
  <c r="H63" i="1" l="1"/>
  <c r="A64" i="1"/>
  <c r="M63" i="1"/>
  <c r="B63" i="1"/>
  <c r="W63" i="1"/>
  <c r="Q63" i="1"/>
  <c r="B13" i="1"/>
  <c r="A14" i="1"/>
  <c r="H64" i="1" l="1"/>
  <c r="A65" i="1"/>
  <c r="Q64" i="1"/>
  <c r="M64" i="1"/>
  <c r="B64" i="1"/>
  <c r="W64" i="1"/>
  <c r="A15" i="1"/>
  <c r="B14" i="1"/>
  <c r="H65" i="1" l="1"/>
  <c r="Q65" i="1"/>
  <c r="A66" i="1"/>
  <c r="W65" i="1"/>
  <c r="B65" i="1"/>
  <c r="M65" i="1"/>
  <c r="B15" i="1"/>
  <c r="A16" i="1"/>
  <c r="Q66" i="1" l="1"/>
  <c r="A67" i="1"/>
  <c r="W66" i="1"/>
  <c r="M66" i="1"/>
  <c r="B66" i="1"/>
  <c r="H66" i="1"/>
  <c r="A17" i="1"/>
  <c r="B16" i="1"/>
  <c r="A68" i="1" l="1"/>
  <c r="W67" i="1"/>
  <c r="M67" i="1"/>
  <c r="B67" i="1"/>
  <c r="Q67" i="1"/>
  <c r="H67" i="1"/>
  <c r="A18" i="1"/>
  <c r="B17" i="1"/>
  <c r="A19" i="1" l="1"/>
  <c r="B18" i="1"/>
  <c r="H68" i="1"/>
  <c r="Q68" i="1"/>
  <c r="M68" i="1"/>
  <c r="W68" i="1"/>
  <c r="B68" i="1"/>
  <c r="A69" i="1"/>
  <c r="H69" i="1" l="1"/>
  <c r="A70" i="1"/>
  <c r="W69" i="1"/>
  <c r="M69" i="1"/>
  <c r="B69" i="1"/>
  <c r="Q69" i="1"/>
  <c r="A20" i="1"/>
  <c r="B19" i="1"/>
  <c r="B20" i="1" l="1"/>
  <c r="A21" i="1"/>
  <c r="A71" i="1"/>
  <c r="Q70" i="1"/>
  <c r="M70" i="1"/>
  <c r="H70" i="1"/>
  <c r="B70" i="1"/>
  <c r="W70" i="1"/>
  <c r="A22" i="1" l="1"/>
  <c r="B21" i="1"/>
  <c r="H71" i="1"/>
  <c r="Q71" i="1"/>
  <c r="A72" i="1"/>
  <c r="M71" i="1"/>
  <c r="B71" i="1"/>
  <c r="W71" i="1"/>
  <c r="B22" i="1" l="1"/>
  <c r="A23" i="1"/>
  <c r="Q72" i="1"/>
  <c r="W72" i="1"/>
  <c r="M72" i="1"/>
  <c r="B72" i="1"/>
  <c r="H72" i="1"/>
  <c r="A73" i="1"/>
  <c r="W73" i="1" l="1"/>
  <c r="M73" i="1"/>
  <c r="B73" i="1"/>
  <c r="H73" i="1"/>
  <c r="A74" i="1"/>
  <c r="Q73" i="1"/>
  <c r="B23" i="1"/>
  <c r="A24" i="1"/>
  <c r="A25" i="1" l="1"/>
  <c r="B24" i="1"/>
  <c r="Q74" i="1"/>
  <c r="A75" i="1"/>
  <c r="M74" i="1"/>
  <c r="B74" i="1"/>
  <c r="W74" i="1"/>
  <c r="H74" i="1"/>
  <c r="B25" i="1" l="1"/>
  <c r="A26" i="1"/>
  <c r="A76" i="1"/>
  <c r="W75" i="1"/>
  <c r="M75" i="1"/>
  <c r="B75" i="1"/>
  <c r="Q75" i="1"/>
  <c r="H75" i="1"/>
  <c r="A27" i="1" l="1"/>
  <c r="B26" i="1"/>
  <c r="H76" i="1"/>
  <c r="Q76" i="1"/>
  <c r="A77" i="1"/>
  <c r="B76" i="1"/>
  <c r="M76" i="1"/>
  <c r="W76" i="1"/>
  <c r="H77" i="1" l="1"/>
  <c r="Q77" i="1"/>
  <c r="A78" i="1"/>
  <c r="W77" i="1"/>
  <c r="M77" i="1"/>
  <c r="B77" i="1"/>
  <c r="A28" i="1"/>
  <c r="B27" i="1"/>
  <c r="A79" i="1" l="1"/>
  <c r="W78" i="1"/>
  <c r="M78" i="1"/>
  <c r="B78" i="1"/>
  <c r="Q78" i="1"/>
  <c r="H78" i="1"/>
  <c r="A29" i="1"/>
  <c r="B28" i="1"/>
  <c r="A30" i="1" l="1"/>
  <c r="B29" i="1"/>
  <c r="H79" i="1"/>
  <c r="Q79" i="1"/>
  <c r="A80" i="1"/>
  <c r="W79" i="1"/>
  <c r="B79" i="1"/>
  <c r="M79" i="1"/>
  <c r="A31" i="1" l="1"/>
  <c r="B30" i="1"/>
  <c r="H80" i="1"/>
  <c r="Q80" i="1"/>
  <c r="A81" i="1"/>
  <c r="W80" i="1"/>
  <c r="M80" i="1"/>
  <c r="B80" i="1"/>
  <c r="A82" i="1" l="1"/>
  <c r="W81" i="1"/>
  <c r="M81" i="1"/>
  <c r="B81" i="1"/>
  <c r="H81" i="1"/>
  <c r="Q81" i="1"/>
  <c r="B31" i="1"/>
  <c r="A32" i="1"/>
  <c r="A33" i="1" l="1"/>
  <c r="B32" i="1"/>
  <c r="H82" i="1"/>
  <c r="Q82" i="1"/>
  <c r="A83" i="1"/>
  <c r="W82" i="1"/>
  <c r="M82" i="1"/>
  <c r="B82" i="1"/>
  <c r="A34" i="1" l="1"/>
  <c r="B33" i="1"/>
  <c r="H83" i="1"/>
  <c r="Q83" i="1"/>
  <c r="A84" i="1"/>
  <c r="W83" i="1"/>
  <c r="M83" i="1"/>
  <c r="B83" i="1"/>
  <c r="A85" i="1" l="1"/>
  <c r="M84" i="1"/>
  <c r="B84" i="1"/>
  <c r="W84" i="1"/>
  <c r="H84" i="1"/>
  <c r="Q84" i="1"/>
  <c r="B34" i="1"/>
  <c r="A35" i="1"/>
  <c r="B35" i="1" l="1"/>
  <c r="A36" i="1"/>
  <c r="A86" i="1"/>
  <c r="B85" i="1"/>
  <c r="M85" i="1"/>
  <c r="W85" i="1"/>
  <c r="H85" i="1"/>
  <c r="Q85" i="1"/>
  <c r="Q86" i="1" l="1"/>
  <c r="M86" i="1"/>
  <c r="W86" i="1"/>
  <c r="H86" i="1"/>
  <c r="A87" i="1"/>
  <c r="B86" i="1"/>
  <c r="B36" i="1"/>
  <c r="A37" i="1"/>
  <c r="W87" i="1" l="1"/>
  <c r="M87" i="1"/>
  <c r="B87" i="1"/>
  <c r="H87" i="1"/>
  <c r="Q87" i="1"/>
  <c r="A88" i="1"/>
  <c r="A38" i="1"/>
  <c r="B37" i="1"/>
  <c r="A39" i="1" l="1"/>
  <c r="B38" i="1"/>
  <c r="W88" i="1"/>
  <c r="H88" i="1"/>
  <c r="Q88" i="1"/>
  <c r="A89" i="1"/>
  <c r="B88" i="1"/>
  <c r="M88" i="1"/>
  <c r="B39" i="1" l="1"/>
  <c r="A40" i="1"/>
  <c r="A90" i="1"/>
  <c r="W89" i="1"/>
  <c r="H89" i="1"/>
  <c r="Q89" i="1"/>
  <c r="B89" i="1"/>
  <c r="M89" i="1"/>
  <c r="Q90" i="1" l="1"/>
  <c r="A91" i="1"/>
  <c r="M90" i="1"/>
  <c r="W90" i="1"/>
  <c r="H90" i="1"/>
  <c r="B90" i="1"/>
  <c r="D4" i="1"/>
  <c r="B40" i="1"/>
  <c r="H91" i="1" l="1"/>
  <c r="W91" i="1"/>
  <c r="M91" i="1"/>
  <c r="B91" i="1"/>
  <c r="A92" i="1"/>
  <c r="Q91" i="1"/>
  <c r="D5" i="1"/>
  <c r="E4" i="1"/>
  <c r="Q92" i="1" l="1"/>
  <c r="B92" i="1"/>
  <c r="M92" i="1"/>
  <c r="A93" i="1"/>
  <c r="W92" i="1"/>
  <c r="H92" i="1"/>
  <c r="D6" i="1"/>
  <c r="E5" i="1"/>
  <c r="E6" i="1" l="1"/>
  <c r="D7" i="1"/>
  <c r="A94" i="1"/>
  <c r="W93" i="1"/>
  <c r="H93" i="1"/>
  <c r="Q93" i="1"/>
  <c r="B93" i="1"/>
  <c r="M93" i="1"/>
  <c r="Q94" i="1" l="1"/>
  <c r="A95" i="1"/>
  <c r="M94" i="1"/>
  <c r="H94" i="1"/>
  <c r="W94" i="1"/>
  <c r="B94" i="1"/>
  <c r="E7" i="1"/>
  <c r="D8" i="1"/>
  <c r="E8" i="1" l="1"/>
  <c r="D9" i="1"/>
  <c r="W95" i="1"/>
  <c r="M95" i="1"/>
  <c r="B95" i="1"/>
  <c r="H95" i="1"/>
  <c r="Q95" i="1"/>
  <c r="A96" i="1"/>
  <c r="H96" i="1" l="1"/>
  <c r="A97" i="1"/>
  <c r="W96" i="1"/>
  <c r="M96" i="1"/>
  <c r="B96" i="1"/>
  <c r="Q96" i="1"/>
  <c r="E9" i="1"/>
  <c r="D10" i="1"/>
  <c r="E10" i="1" l="1"/>
  <c r="D11" i="1"/>
  <c r="A98" i="1"/>
  <c r="M97" i="1"/>
  <c r="H97" i="1"/>
  <c r="B97" i="1"/>
  <c r="W97" i="1"/>
  <c r="Q97" i="1"/>
  <c r="H98" i="1" l="1"/>
  <c r="Q98" i="1"/>
  <c r="A99" i="1"/>
  <c r="M98" i="1"/>
  <c r="B98" i="1"/>
  <c r="W98" i="1"/>
  <c r="E11" i="1"/>
  <c r="D12" i="1"/>
  <c r="H99" i="1" l="1"/>
  <c r="Q99" i="1"/>
  <c r="W99" i="1"/>
  <c r="M99" i="1"/>
  <c r="B99" i="1"/>
  <c r="A100" i="1"/>
  <c r="E12" i="1"/>
  <c r="D13" i="1"/>
  <c r="E13" i="1" l="1"/>
  <c r="D14" i="1"/>
  <c r="W100" i="1"/>
  <c r="M100" i="1"/>
  <c r="B100" i="1"/>
  <c r="H100" i="1"/>
  <c r="Q100" i="1"/>
  <c r="A101" i="1"/>
  <c r="Q101" i="1" l="1"/>
  <c r="A102" i="1"/>
  <c r="W101" i="1"/>
  <c r="M101" i="1"/>
  <c r="H101" i="1"/>
  <c r="B101" i="1"/>
  <c r="E14" i="1"/>
  <c r="D15" i="1"/>
  <c r="Q102" i="1" l="1"/>
  <c r="A103" i="1"/>
  <c r="W102" i="1"/>
  <c r="M102" i="1"/>
  <c r="B102" i="1"/>
  <c r="H102" i="1"/>
  <c r="D16" i="1"/>
  <c r="E15" i="1"/>
  <c r="W103" i="1" l="1"/>
  <c r="M103" i="1"/>
  <c r="B103" i="1"/>
  <c r="H103" i="1"/>
  <c r="Q103" i="1"/>
  <c r="A104" i="1"/>
  <c r="E16" i="1"/>
  <c r="D17" i="1"/>
  <c r="D18" i="1" l="1"/>
  <c r="E17" i="1"/>
  <c r="H104" i="1"/>
  <c r="A105" i="1"/>
  <c r="W104" i="1"/>
  <c r="M104" i="1"/>
  <c r="B104" i="1"/>
  <c r="Q104" i="1"/>
  <c r="A106" i="1" l="1"/>
  <c r="H105" i="1"/>
  <c r="B105" i="1"/>
  <c r="W105" i="1"/>
  <c r="Q105" i="1"/>
  <c r="M105" i="1"/>
  <c r="E18" i="1"/>
  <c r="D19" i="1"/>
  <c r="E19" i="1" l="1"/>
  <c r="D20" i="1"/>
  <c r="H106" i="1"/>
  <c r="Q106" i="1"/>
  <c r="A107" i="1"/>
  <c r="M106" i="1"/>
  <c r="B106" i="1"/>
  <c r="W106" i="1"/>
  <c r="H107" i="1" l="1"/>
  <c r="Q107" i="1"/>
  <c r="W107" i="1"/>
  <c r="M107" i="1"/>
  <c r="B107" i="1"/>
  <c r="A108" i="1"/>
  <c r="E20" i="1"/>
  <c r="D21" i="1"/>
  <c r="Q108" i="1" l="1"/>
  <c r="B108" i="1"/>
  <c r="A109" i="1"/>
  <c r="M108" i="1"/>
  <c r="W108" i="1"/>
  <c r="H108" i="1"/>
  <c r="D22" i="1"/>
  <c r="E21" i="1"/>
  <c r="Q109" i="1" l="1"/>
  <c r="W109" i="1"/>
  <c r="M109" i="1"/>
  <c r="B109" i="1"/>
  <c r="H109" i="1"/>
  <c r="A110" i="1"/>
  <c r="E22" i="1"/>
  <c r="D23" i="1"/>
  <c r="D24" i="1" l="1"/>
  <c r="E23" i="1"/>
  <c r="W110" i="1"/>
  <c r="M110" i="1"/>
  <c r="B110" i="1"/>
  <c r="A111" i="1"/>
  <c r="H110" i="1"/>
  <c r="Q110" i="1"/>
  <c r="H111" i="1" l="1"/>
  <c r="A112" i="1"/>
  <c r="Q111" i="1"/>
  <c r="W111" i="1"/>
  <c r="M111" i="1"/>
  <c r="B111" i="1"/>
  <c r="D25" i="1"/>
  <c r="E24" i="1"/>
  <c r="D26" i="1" l="1"/>
  <c r="E25" i="1"/>
  <c r="A113" i="1"/>
  <c r="W112" i="1"/>
  <c r="H112" i="1"/>
  <c r="B112" i="1"/>
  <c r="Q112" i="1"/>
  <c r="M112" i="1"/>
  <c r="H113" i="1" l="1"/>
  <c r="W113" i="1"/>
  <c r="B113" i="1"/>
  <c r="Q113" i="1"/>
  <c r="M113" i="1"/>
  <c r="A114" i="1"/>
  <c r="E26" i="1"/>
  <c r="D27" i="1"/>
  <c r="D28" i="1" l="1"/>
  <c r="E27" i="1"/>
  <c r="H114" i="1"/>
  <c r="Q114" i="1"/>
  <c r="A115" i="1"/>
  <c r="M114" i="1"/>
  <c r="W114" i="1"/>
  <c r="B114" i="1"/>
  <c r="W115" i="1" l="1"/>
  <c r="M115" i="1"/>
  <c r="B115" i="1"/>
  <c r="A116" i="1"/>
  <c r="Q115" i="1"/>
  <c r="H115" i="1"/>
  <c r="D29" i="1"/>
  <c r="E28" i="1"/>
  <c r="H116" i="1" l="1"/>
  <c r="Q116" i="1"/>
  <c r="A117" i="1"/>
  <c r="W116" i="1"/>
  <c r="B116" i="1"/>
  <c r="M116" i="1"/>
  <c r="D30" i="1"/>
  <c r="E29" i="1"/>
  <c r="Q117" i="1" l="1"/>
  <c r="A118" i="1"/>
  <c r="W117" i="1"/>
  <c r="M117" i="1"/>
  <c r="B117" i="1"/>
  <c r="H117" i="1"/>
  <c r="E30" i="1"/>
  <c r="D31" i="1"/>
  <c r="D32" i="1" l="1"/>
  <c r="E31" i="1"/>
  <c r="W118" i="1"/>
  <c r="M118" i="1"/>
  <c r="B118" i="1"/>
  <c r="H118" i="1"/>
  <c r="Q118" i="1"/>
  <c r="A119" i="1"/>
  <c r="H119" i="1" l="1"/>
  <c r="Q119" i="1"/>
  <c r="A120" i="1"/>
  <c r="W119" i="1"/>
  <c r="M119" i="1"/>
  <c r="B119" i="1"/>
  <c r="E32" i="1"/>
  <c r="D33" i="1"/>
  <c r="D34" i="1" l="1"/>
  <c r="E33" i="1"/>
  <c r="A121" i="1"/>
  <c r="M120" i="1"/>
  <c r="B120" i="1"/>
  <c r="W120" i="1"/>
  <c r="Q120" i="1"/>
  <c r="H120" i="1"/>
  <c r="H121" i="1" l="1"/>
  <c r="B121" i="1"/>
  <c r="A122" i="1"/>
  <c r="M121" i="1"/>
  <c r="W121" i="1"/>
  <c r="Q121" i="1"/>
  <c r="D35" i="1"/>
  <c r="E34" i="1"/>
  <c r="A123" i="1" l="1"/>
  <c r="B122" i="1"/>
  <c r="Q122" i="1"/>
  <c r="M122" i="1"/>
  <c r="W122" i="1"/>
  <c r="H122" i="1"/>
  <c r="E35" i="1"/>
  <c r="D36" i="1"/>
  <c r="D37" i="1" l="1"/>
  <c r="E36" i="1"/>
  <c r="A124" i="1"/>
  <c r="M123" i="1"/>
  <c r="Q123" i="1"/>
  <c r="B123" i="1"/>
  <c r="H123" i="1"/>
  <c r="W123" i="1"/>
  <c r="Q124" i="1" l="1"/>
  <c r="H124" i="1"/>
  <c r="A125" i="1"/>
  <c r="M124" i="1"/>
  <c r="W124" i="1"/>
  <c r="B124" i="1"/>
  <c r="E37" i="1"/>
  <c r="D38" i="1"/>
  <c r="D39" i="1" l="1"/>
  <c r="E38" i="1"/>
  <c r="W125" i="1"/>
  <c r="M125" i="1"/>
  <c r="B125" i="1"/>
  <c r="Q125" i="1"/>
  <c r="A126" i="1"/>
  <c r="H125" i="1"/>
  <c r="R20" i="1" l="1"/>
  <c r="R19" i="1" s="1"/>
  <c r="F38" i="1" s="1"/>
  <c r="B126" i="1"/>
  <c r="A127" i="1"/>
  <c r="M126" i="1"/>
  <c r="Q126" i="1"/>
  <c r="H126" i="1"/>
  <c r="W126" i="1"/>
  <c r="D40" i="1"/>
  <c r="E39" i="1"/>
  <c r="C126" i="1" l="1"/>
  <c r="P126" i="1" s="1"/>
  <c r="R126" i="1" s="1"/>
  <c r="S126" i="1" s="1"/>
  <c r="F39" i="1"/>
  <c r="A128" i="1"/>
  <c r="Q127" i="1"/>
  <c r="W127" i="1"/>
  <c r="B127" i="1"/>
  <c r="C127" i="1" s="1"/>
  <c r="M127" i="1"/>
  <c r="H127" i="1"/>
  <c r="E40" i="1"/>
  <c r="F40" i="1" s="1"/>
  <c r="G4" i="1"/>
  <c r="C4" i="1"/>
  <c r="C5" i="1"/>
  <c r="O20" i="1"/>
  <c r="C55" i="1"/>
  <c r="P55" i="1" s="1"/>
  <c r="R55" i="1" s="1"/>
  <c r="S55" i="1" s="1"/>
  <c r="C6" i="1"/>
  <c r="C56" i="1"/>
  <c r="C7" i="1"/>
  <c r="C57" i="1"/>
  <c r="C58" i="1"/>
  <c r="C8" i="1"/>
  <c r="C9" i="1"/>
  <c r="C59" i="1"/>
  <c r="P59" i="1" s="1"/>
  <c r="R59" i="1" s="1"/>
  <c r="S59" i="1" s="1"/>
  <c r="C60" i="1"/>
  <c r="C10" i="1"/>
  <c r="C11" i="1"/>
  <c r="C61" i="1"/>
  <c r="P61" i="1" s="1"/>
  <c r="R61" i="1" s="1"/>
  <c r="S61" i="1" s="1"/>
  <c r="C62" i="1"/>
  <c r="C12" i="1"/>
  <c r="C13" i="1"/>
  <c r="C63" i="1"/>
  <c r="C14" i="1"/>
  <c r="C64" i="1"/>
  <c r="C15" i="1"/>
  <c r="C65" i="1"/>
  <c r="P65" i="1" s="1"/>
  <c r="R65" i="1" s="1"/>
  <c r="S65" i="1" s="1"/>
  <c r="C66" i="1"/>
  <c r="C16" i="1"/>
  <c r="C17" i="1"/>
  <c r="C67" i="1"/>
  <c r="C68" i="1"/>
  <c r="P68" i="1" s="1"/>
  <c r="R68" i="1" s="1"/>
  <c r="S68" i="1" s="1"/>
  <c r="C18" i="1"/>
  <c r="C19" i="1"/>
  <c r="C69" i="1"/>
  <c r="P69" i="1" s="1"/>
  <c r="R69" i="1" s="1"/>
  <c r="S69" i="1" s="1"/>
  <c r="C20" i="1"/>
  <c r="C70" i="1"/>
  <c r="P70" i="1" s="1"/>
  <c r="R70" i="1" s="1"/>
  <c r="S70" i="1" s="1"/>
  <c r="C21" i="1"/>
  <c r="C71" i="1"/>
  <c r="P71" i="1" s="1"/>
  <c r="R71" i="1" s="1"/>
  <c r="S71" i="1" s="1"/>
  <c r="C72" i="1"/>
  <c r="C22" i="1"/>
  <c r="C23" i="1"/>
  <c r="C73" i="1"/>
  <c r="P73" i="1" s="1"/>
  <c r="R73" i="1" s="1"/>
  <c r="S73" i="1" s="1"/>
  <c r="C74" i="1"/>
  <c r="C24" i="1"/>
  <c r="C75" i="1"/>
  <c r="C25" i="1"/>
  <c r="C76" i="1"/>
  <c r="C26" i="1"/>
  <c r="C27" i="1"/>
  <c r="C77" i="1"/>
  <c r="P77" i="1" s="1"/>
  <c r="R77" i="1" s="1"/>
  <c r="S77" i="1" s="1"/>
  <c r="C78" i="1"/>
  <c r="P78" i="1" s="1"/>
  <c r="R78" i="1" s="1"/>
  <c r="S78" i="1" s="1"/>
  <c r="C28" i="1"/>
  <c r="C79" i="1"/>
  <c r="P79" i="1" s="1"/>
  <c r="R79" i="1" s="1"/>
  <c r="S79" i="1" s="1"/>
  <c r="C29" i="1"/>
  <c r="C80" i="1"/>
  <c r="C30" i="1"/>
  <c r="C81" i="1"/>
  <c r="C31" i="1"/>
  <c r="C32" i="1"/>
  <c r="C82" i="1"/>
  <c r="C83" i="1"/>
  <c r="C33" i="1"/>
  <c r="C84" i="1"/>
  <c r="P84" i="1" s="1"/>
  <c r="R84" i="1" s="1"/>
  <c r="S84" i="1" s="1"/>
  <c r="C34" i="1"/>
  <c r="C85" i="1"/>
  <c r="P85" i="1" s="1"/>
  <c r="R85" i="1" s="1"/>
  <c r="S85" i="1" s="1"/>
  <c r="C35" i="1"/>
  <c r="C36" i="1"/>
  <c r="C86" i="1"/>
  <c r="P86" i="1" s="1"/>
  <c r="R86" i="1" s="1"/>
  <c r="S86" i="1" s="1"/>
  <c r="C87" i="1"/>
  <c r="C37" i="1"/>
  <c r="C88" i="1"/>
  <c r="P88" i="1" s="1"/>
  <c r="R88" i="1" s="1"/>
  <c r="S88" i="1" s="1"/>
  <c r="C38" i="1"/>
  <c r="C39" i="1"/>
  <c r="C89" i="1"/>
  <c r="P89" i="1" s="1"/>
  <c r="R89" i="1" s="1"/>
  <c r="S89" i="1" s="1"/>
  <c r="C40" i="1"/>
  <c r="C90" i="1"/>
  <c r="C91" i="1"/>
  <c r="P91" i="1" s="1"/>
  <c r="R91" i="1" s="1"/>
  <c r="S91" i="1" s="1"/>
  <c r="F4" i="1"/>
  <c r="F5" i="1"/>
  <c r="C92" i="1"/>
  <c r="F6" i="1"/>
  <c r="C93" i="1"/>
  <c r="P93" i="1" s="1"/>
  <c r="R93" i="1" s="1"/>
  <c r="S93" i="1" s="1"/>
  <c r="F7" i="1"/>
  <c r="C94" i="1"/>
  <c r="C95" i="1"/>
  <c r="P95" i="1" s="1"/>
  <c r="R95" i="1" s="1"/>
  <c r="S95" i="1" s="1"/>
  <c r="F8" i="1"/>
  <c r="C96" i="1"/>
  <c r="F9" i="1"/>
  <c r="C97" i="1"/>
  <c r="P97" i="1" s="1"/>
  <c r="R97" i="1" s="1"/>
  <c r="S97" i="1" s="1"/>
  <c r="F10" i="1"/>
  <c r="C98" i="1"/>
  <c r="F11" i="1"/>
  <c r="C99" i="1"/>
  <c r="F12" i="1"/>
  <c r="F13" i="1"/>
  <c r="C100" i="1"/>
  <c r="F14" i="1"/>
  <c r="C101" i="1"/>
  <c r="P101" i="1" s="1"/>
  <c r="R101" i="1" s="1"/>
  <c r="S101" i="1" s="1"/>
  <c r="C102" i="1"/>
  <c r="P102" i="1" s="1"/>
  <c r="R102" i="1" s="1"/>
  <c r="S102" i="1" s="1"/>
  <c r="F15" i="1"/>
  <c r="F16" i="1"/>
  <c r="C103" i="1"/>
  <c r="C104" i="1"/>
  <c r="F17" i="1"/>
  <c r="C105" i="1"/>
  <c r="P105" i="1" s="1"/>
  <c r="R105" i="1" s="1"/>
  <c r="S105" i="1" s="1"/>
  <c r="F18" i="1"/>
  <c r="C106" i="1"/>
  <c r="F19" i="1"/>
  <c r="C107" i="1"/>
  <c r="F20" i="1"/>
  <c r="F21" i="1"/>
  <c r="C108" i="1"/>
  <c r="C109" i="1"/>
  <c r="P109" i="1" s="1"/>
  <c r="R109" i="1" s="1"/>
  <c r="S109" i="1" s="1"/>
  <c r="F22" i="1"/>
  <c r="C110" i="1"/>
  <c r="F23" i="1"/>
  <c r="F24" i="1"/>
  <c r="C111" i="1"/>
  <c r="P111" i="1" s="1"/>
  <c r="R111" i="1" s="1"/>
  <c r="S111" i="1" s="1"/>
  <c r="F25" i="1"/>
  <c r="C112" i="1"/>
  <c r="C113" i="1"/>
  <c r="P113" i="1" s="1"/>
  <c r="R113" i="1" s="1"/>
  <c r="S113" i="1" s="1"/>
  <c r="F26" i="1"/>
  <c r="F27" i="1"/>
  <c r="C114" i="1"/>
  <c r="C115" i="1"/>
  <c r="F28" i="1"/>
  <c r="F29" i="1"/>
  <c r="C116" i="1"/>
  <c r="C117" i="1"/>
  <c r="P117" i="1" s="1"/>
  <c r="R117" i="1" s="1"/>
  <c r="S117" i="1" s="1"/>
  <c r="F30" i="1"/>
  <c r="C118" i="1"/>
  <c r="F31" i="1"/>
  <c r="F32" i="1"/>
  <c r="C119" i="1"/>
  <c r="P119" i="1" s="1"/>
  <c r="R119" i="1" s="1"/>
  <c r="S119" i="1" s="1"/>
  <c r="C120" i="1"/>
  <c r="F33" i="1"/>
  <c r="F34" i="1"/>
  <c r="C121" i="1"/>
  <c r="P121" i="1" s="1"/>
  <c r="R121" i="1" s="1"/>
  <c r="S121" i="1" s="1"/>
  <c r="F35" i="1"/>
  <c r="C122" i="1"/>
  <c r="F36" i="1"/>
  <c r="C123" i="1"/>
  <c r="F37" i="1"/>
  <c r="C124" i="1"/>
  <c r="C125" i="1"/>
  <c r="P125" i="1" s="1"/>
  <c r="R125" i="1" s="1"/>
  <c r="S125" i="1" s="1"/>
  <c r="P92" i="1" l="1"/>
  <c r="R92" i="1" s="1"/>
  <c r="S92" i="1" s="1"/>
  <c r="P116" i="1"/>
  <c r="R116" i="1" s="1"/>
  <c r="S116" i="1" s="1"/>
  <c r="P100" i="1"/>
  <c r="R100" i="1" s="1"/>
  <c r="S100" i="1" s="1"/>
  <c r="P108" i="1"/>
  <c r="R108" i="1" s="1"/>
  <c r="S108" i="1" s="1"/>
  <c r="P63" i="1"/>
  <c r="R63" i="1" s="1"/>
  <c r="S63" i="1" s="1"/>
  <c r="P123" i="1"/>
  <c r="R123" i="1" s="1"/>
  <c r="S123" i="1" s="1"/>
  <c r="P87" i="1"/>
  <c r="R87" i="1" s="1"/>
  <c r="S87" i="1" s="1"/>
  <c r="P103" i="1"/>
  <c r="R103" i="1" s="1"/>
  <c r="S103" i="1" s="1"/>
  <c r="P107" i="1"/>
  <c r="R107" i="1" s="1"/>
  <c r="S107" i="1" s="1"/>
  <c r="P112" i="1"/>
  <c r="R112" i="1" s="1"/>
  <c r="S112" i="1" s="1"/>
  <c r="G5" i="1"/>
  <c r="H4" i="1"/>
  <c r="I4" i="1" s="1"/>
  <c r="P56" i="1"/>
  <c r="R56" i="1" s="1"/>
  <c r="S56" i="1" s="1"/>
  <c r="P96" i="1"/>
  <c r="R96" i="1" s="1"/>
  <c r="S96" i="1" s="1"/>
  <c r="P90" i="1"/>
  <c r="R90" i="1" s="1"/>
  <c r="S90" i="1" s="1"/>
  <c r="P80" i="1"/>
  <c r="R80" i="1" s="1"/>
  <c r="S80" i="1" s="1"/>
  <c r="P104" i="1"/>
  <c r="R104" i="1" s="1"/>
  <c r="S104" i="1" s="1"/>
  <c r="P120" i="1"/>
  <c r="R120" i="1" s="1"/>
  <c r="S120" i="1" s="1"/>
  <c r="P58" i="1"/>
  <c r="R58" i="1" s="1"/>
  <c r="S58" i="1" s="1"/>
  <c r="P66" i="1"/>
  <c r="R66" i="1" s="1"/>
  <c r="S66" i="1" s="1"/>
  <c r="P67" i="1"/>
  <c r="R67" i="1" s="1"/>
  <c r="S67" i="1" s="1"/>
  <c r="P99" i="1"/>
  <c r="R99" i="1" s="1"/>
  <c r="S99" i="1" s="1"/>
  <c r="P98" i="1"/>
  <c r="R98" i="1" s="1"/>
  <c r="S98" i="1" s="1"/>
  <c r="P114" i="1"/>
  <c r="R114" i="1" s="1"/>
  <c r="S114" i="1" s="1"/>
  <c r="W128" i="1"/>
  <c r="M128" i="1"/>
  <c r="B128" i="1"/>
  <c r="C128" i="1" s="1"/>
  <c r="A129" i="1"/>
  <c r="H128" i="1"/>
  <c r="Q128" i="1"/>
  <c r="P57" i="1"/>
  <c r="R57" i="1" s="1"/>
  <c r="S57" i="1" s="1"/>
  <c r="P64" i="1"/>
  <c r="R64" i="1" s="1"/>
  <c r="S64" i="1" s="1"/>
  <c r="P76" i="1"/>
  <c r="R76" i="1" s="1"/>
  <c r="S76" i="1" s="1"/>
  <c r="P74" i="1"/>
  <c r="R74" i="1" s="1"/>
  <c r="S74" i="1" s="1"/>
  <c r="P75" i="1"/>
  <c r="R75" i="1" s="1"/>
  <c r="S75" i="1" s="1"/>
  <c r="P124" i="1"/>
  <c r="R124" i="1" s="1"/>
  <c r="S124" i="1" s="1"/>
  <c r="P106" i="1"/>
  <c r="R106" i="1" s="1"/>
  <c r="S106" i="1" s="1"/>
  <c r="P118" i="1"/>
  <c r="R118" i="1" s="1"/>
  <c r="S118" i="1" s="1"/>
  <c r="P72" i="1"/>
  <c r="R72" i="1" s="1"/>
  <c r="S72" i="1" s="1"/>
  <c r="P60" i="1"/>
  <c r="R60" i="1" s="1"/>
  <c r="S60" i="1" s="1"/>
  <c r="P62" i="1"/>
  <c r="R62" i="1" s="1"/>
  <c r="S62" i="1" s="1"/>
  <c r="P82" i="1"/>
  <c r="R82" i="1" s="1"/>
  <c r="S82" i="1" s="1"/>
  <c r="P83" i="1"/>
  <c r="R83" i="1" s="1"/>
  <c r="S83" i="1" s="1"/>
  <c r="P81" i="1"/>
  <c r="R81" i="1" s="1"/>
  <c r="S81" i="1" s="1"/>
  <c r="P110" i="1"/>
  <c r="R110" i="1" s="1"/>
  <c r="S110" i="1" s="1"/>
  <c r="P94" i="1"/>
  <c r="R94" i="1" s="1"/>
  <c r="S94" i="1" s="1"/>
  <c r="P115" i="1"/>
  <c r="R115" i="1" s="1"/>
  <c r="S115" i="1" s="1"/>
  <c r="P122" i="1"/>
  <c r="R122" i="1" s="1"/>
  <c r="S122" i="1" s="1"/>
  <c r="P127" i="1"/>
  <c r="R127" i="1" s="1"/>
  <c r="S127" i="1" s="1"/>
  <c r="H129" i="1" l="1"/>
  <c r="B129" i="1"/>
  <c r="C129" i="1" s="1"/>
  <c r="W129" i="1"/>
  <c r="Q129" i="1"/>
  <c r="M129" i="1"/>
  <c r="A130" i="1"/>
  <c r="P128" i="1"/>
  <c r="R128" i="1" s="1"/>
  <c r="S128" i="1" s="1"/>
  <c r="H5" i="1"/>
  <c r="I5" i="1" s="1"/>
  <c r="G6" i="1"/>
  <c r="P129" i="1" l="1"/>
  <c r="R129" i="1" s="1"/>
  <c r="S129" i="1" s="1"/>
  <c r="G7" i="1"/>
  <c r="H6" i="1"/>
  <c r="I6" i="1" s="1"/>
  <c r="A131" i="1"/>
  <c r="B130" i="1"/>
  <c r="C130" i="1" s="1"/>
  <c r="M130" i="1"/>
  <c r="W130" i="1"/>
  <c r="Q130" i="1"/>
  <c r="H130" i="1"/>
  <c r="P130" i="1" l="1"/>
  <c r="R130" i="1" s="1"/>
  <c r="S130" i="1" s="1"/>
  <c r="H7" i="1"/>
  <c r="I7" i="1" s="1"/>
  <c r="G8" i="1"/>
  <c r="W131" i="1"/>
  <c r="H131" i="1"/>
  <c r="Q131" i="1"/>
  <c r="B131" i="1"/>
  <c r="C131" i="1" s="1"/>
  <c r="A132" i="1"/>
  <c r="M131" i="1"/>
  <c r="P131" i="1" l="1"/>
  <c r="R131" i="1" s="1"/>
  <c r="S131" i="1" s="1"/>
  <c r="Q132" i="1"/>
  <c r="H132" i="1"/>
  <c r="W132" i="1"/>
  <c r="B132" i="1"/>
  <c r="C132" i="1" s="1"/>
  <c r="A133" i="1"/>
  <c r="M132" i="1"/>
  <c r="G9" i="1"/>
  <c r="H8" i="1"/>
  <c r="I8" i="1" s="1"/>
  <c r="P132" i="1" l="1"/>
  <c r="R132" i="1" s="1"/>
  <c r="S132" i="1" s="1"/>
  <c r="G10" i="1"/>
  <c r="H9" i="1"/>
  <c r="I9" i="1" s="1"/>
  <c r="W133" i="1"/>
  <c r="M133" i="1"/>
  <c r="B133" i="1"/>
  <c r="C133" i="1" s="1"/>
  <c r="H133" i="1"/>
  <c r="A134" i="1"/>
  <c r="Q133" i="1"/>
  <c r="P133" i="1" l="1"/>
  <c r="R133" i="1" s="1"/>
  <c r="S133" i="1" s="1"/>
  <c r="Q134" i="1"/>
  <c r="B134" i="1"/>
  <c r="C134" i="1" s="1"/>
  <c r="A135" i="1"/>
  <c r="M134" i="1"/>
  <c r="W134" i="1"/>
  <c r="H134" i="1"/>
  <c r="G11" i="1"/>
  <c r="H10" i="1"/>
  <c r="I10" i="1" s="1"/>
  <c r="A136" i="1" l="1"/>
  <c r="Q135" i="1"/>
  <c r="H135" i="1"/>
  <c r="M135" i="1"/>
  <c r="W135" i="1"/>
  <c r="B135" i="1"/>
  <c r="C135" i="1" s="1"/>
  <c r="H11" i="1"/>
  <c r="I11" i="1" s="1"/>
  <c r="G12" i="1"/>
  <c r="P134" i="1"/>
  <c r="R134" i="1" s="1"/>
  <c r="S134" i="1" s="1"/>
  <c r="P135" i="1" l="1"/>
  <c r="R135" i="1" s="1"/>
  <c r="S135" i="1" s="1"/>
  <c r="G13" i="1"/>
  <c r="H12" i="1"/>
  <c r="I12" i="1" s="1"/>
  <c r="W136" i="1"/>
  <c r="M136" i="1"/>
  <c r="B136" i="1"/>
  <c r="C136" i="1" s="1"/>
  <c r="H136" i="1"/>
  <c r="Q136" i="1"/>
  <c r="A137" i="1"/>
  <c r="H137" i="1" l="1"/>
  <c r="A138" i="1"/>
  <c r="M137" i="1"/>
  <c r="W137" i="1"/>
  <c r="Q137" i="1"/>
  <c r="B137" i="1"/>
  <c r="C137" i="1" s="1"/>
  <c r="H13" i="1"/>
  <c r="I13" i="1" s="1"/>
  <c r="G14" i="1"/>
  <c r="P136" i="1"/>
  <c r="R136" i="1" s="1"/>
  <c r="S136" i="1" s="1"/>
  <c r="G15" i="1" l="1"/>
  <c r="H14" i="1"/>
  <c r="I14" i="1" s="1"/>
  <c r="A139" i="1"/>
  <c r="B138" i="1"/>
  <c r="C138" i="1" s="1"/>
  <c r="Q138" i="1"/>
  <c r="M138" i="1"/>
  <c r="W138" i="1"/>
  <c r="H138" i="1"/>
  <c r="P137" i="1"/>
  <c r="R137" i="1" s="1"/>
  <c r="S137" i="1" s="1"/>
  <c r="P138" i="1" l="1"/>
  <c r="R138" i="1" s="1"/>
  <c r="S138" i="1" s="1"/>
  <c r="H139" i="1"/>
  <c r="M139" i="1"/>
  <c r="A140" i="1"/>
  <c r="W139" i="1"/>
  <c r="Q139" i="1"/>
  <c r="B139" i="1"/>
  <c r="C139" i="1" s="1"/>
  <c r="H15" i="1"/>
  <c r="I15" i="1" s="1"/>
  <c r="G16" i="1"/>
  <c r="Q140" i="1" l="1"/>
  <c r="H140" i="1"/>
  <c r="B140" i="1"/>
  <c r="C140" i="1" s="1"/>
  <c r="M140" i="1"/>
  <c r="A141" i="1"/>
  <c r="W140" i="1"/>
  <c r="H16" i="1"/>
  <c r="I16" i="1" s="1"/>
  <c r="G17" i="1"/>
  <c r="P139" i="1"/>
  <c r="R139" i="1" s="1"/>
  <c r="S139" i="1" s="1"/>
  <c r="W141" i="1" l="1"/>
  <c r="M141" i="1"/>
  <c r="B141" i="1"/>
  <c r="C141" i="1" s="1"/>
  <c r="A142" i="1"/>
  <c r="H141" i="1"/>
  <c r="Q141" i="1"/>
  <c r="G18" i="1"/>
  <c r="H17" i="1"/>
  <c r="I17" i="1" s="1"/>
  <c r="P140" i="1"/>
  <c r="R140" i="1" s="1"/>
  <c r="S140" i="1" s="1"/>
  <c r="P141" i="1" l="1"/>
  <c r="R141" i="1" s="1"/>
  <c r="S141" i="1" s="1"/>
  <c r="Q142" i="1"/>
  <c r="B142" i="1"/>
  <c r="C142" i="1" s="1"/>
  <c r="M142" i="1"/>
  <c r="A143" i="1"/>
  <c r="H142" i="1"/>
  <c r="W142" i="1"/>
  <c r="G19" i="1"/>
  <c r="H18" i="1"/>
  <c r="I18" i="1" s="1"/>
  <c r="A144" i="1" l="1"/>
  <c r="W143" i="1"/>
  <c r="M143" i="1"/>
  <c r="B143" i="1"/>
  <c r="C143" i="1" s="1"/>
  <c r="Q143" i="1"/>
  <c r="H143" i="1"/>
  <c r="P142" i="1"/>
  <c r="R142" i="1" s="1"/>
  <c r="S142" i="1" s="1"/>
  <c r="H19" i="1"/>
  <c r="I19" i="1" s="1"/>
  <c r="G20" i="1"/>
  <c r="P143" i="1" l="1"/>
  <c r="R143" i="1" s="1"/>
  <c r="S143" i="1" s="1"/>
  <c r="H20" i="1"/>
  <c r="I20" i="1" s="1"/>
  <c r="G21" i="1"/>
  <c r="W144" i="1"/>
  <c r="M144" i="1"/>
  <c r="B144" i="1"/>
  <c r="C144" i="1" s="1"/>
  <c r="Q144" i="1"/>
  <c r="A145" i="1"/>
  <c r="H144" i="1"/>
  <c r="H145" i="1" l="1"/>
  <c r="A146" i="1"/>
  <c r="M145" i="1"/>
  <c r="W145" i="1"/>
  <c r="B145" i="1"/>
  <c r="C145" i="1" s="1"/>
  <c r="Q145" i="1"/>
  <c r="G22" i="1"/>
  <c r="H21" i="1"/>
  <c r="I21" i="1" s="1"/>
  <c r="P144" i="1"/>
  <c r="R144" i="1" s="1"/>
  <c r="S144" i="1" s="1"/>
  <c r="P145" i="1" l="1"/>
  <c r="R145" i="1" s="1"/>
  <c r="S145" i="1" s="1"/>
  <c r="A147" i="1"/>
  <c r="W146" i="1"/>
  <c r="B146" i="1"/>
  <c r="C146" i="1" s="1"/>
  <c r="Q146" i="1"/>
  <c r="M146" i="1"/>
  <c r="H146" i="1"/>
  <c r="G23" i="1"/>
  <c r="H22" i="1"/>
  <c r="I22" i="1" s="1"/>
  <c r="G24" i="1" l="1"/>
  <c r="H23" i="1"/>
  <c r="I23" i="1" s="1"/>
  <c r="P146" i="1"/>
  <c r="R146" i="1" s="1"/>
  <c r="S146" i="1" s="1"/>
  <c r="H147" i="1"/>
  <c r="Q147" i="1"/>
  <c r="M147" i="1"/>
  <c r="A148" i="1"/>
  <c r="W147" i="1"/>
  <c r="B147" i="1"/>
  <c r="C147" i="1" s="1"/>
  <c r="P147" i="1" l="1"/>
  <c r="R147" i="1" s="1"/>
  <c r="S147" i="1" s="1"/>
  <c r="Q148" i="1"/>
  <c r="W148" i="1"/>
  <c r="M148" i="1"/>
  <c r="B148" i="1"/>
  <c r="C148" i="1" s="1"/>
  <c r="H148" i="1"/>
  <c r="A149" i="1"/>
  <c r="G25" i="1"/>
  <c r="H24" i="1"/>
  <c r="I24" i="1" s="1"/>
  <c r="P148" i="1" l="1"/>
  <c r="R148" i="1" s="1"/>
  <c r="S148" i="1" s="1"/>
  <c r="G26" i="1"/>
  <c r="H25" i="1"/>
  <c r="I25" i="1" s="1"/>
  <c r="W149" i="1"/>
  <c r="M149" i="1"/>
  <c r="B149" i="1"/>
  <c r="C149" i="1" s="1"/>
  <c r="H149" i="1"/>
  <c r="A150" i="1"/>
  <c r="Q149" i="1"/>
  <c r="P149" i="1" l="1"/>
  <c r="R149" i="1" s="1"/>
  <c r="S149" i="1" s="1"/>
  <c r="H26" i="1"/>
  <c r="I26" i="1" s="1"/>
  <c r="G27" i="1"/>
  <c r="Q150" i="1"/>
  <c r="A151" i="1"/>
  <c r="H150" i="1"/>
  <c r="W150" i="1"/>
  <c r="B150" i="1"/>
  <c r="C150" i="1" s="1"/>
  <c r="M150" i="1"/>
  <c r="A152" i="1" l="1"/>
  <c r="W151" i="1"/>
  <c r="M151" i="1"/>
  <c r="B151" i="1"/>
  <c r="C151" i="1" s="1"/>
  <c r="Q151" i="1"/>
  <c r="H151" i="1"/>
  <c r="G28" i="1"/>
  <c r="H27" i="1"/>
  <c r="I27" i="1" s="1"/>
  <c r="P150" i="1"/>
  <c r="R150" i="1" s="1"/>
  <c r="S150" i="1" s="1"/>
  <c r="P151" i="1" l="1"/>
  <c r="R151" i="1" s="1"/>
  <c r="S151" i="1" s="1"/>
  <c r="G29" i="1"/>
  <c r="H28" i="1"/>
  <c r="I28" i="1" s="1"/>
  <c r="H152" i="1"/>
  <c r="W152" i="1"/>
  <c r="M152" i="1"/>
  <c r="B152" i="1"/>
  <c r="C152" i="1" s="1"/>
  <c r="Q152" i="1"/>
  <c r="A153" i="1"/>
  <c r="H153" i="1" l="1"/>
  <c r="A154" i="1"/>
  <c r="Q153" i="1"/>
  <c r="M153" i="1"/>
  <c r="W153" i="1"/>
  <c r="B153" i="1"/>
  <c r="C153" i="1" s="1"/>
  <c r="G30" i="1"/>
  <c r="H29" i="1"/>
  <c r="I29" i="1" s="1"/>
  <c r="P152" i="1"/>
  <c r="R152" i="1" s="1"/>
  <c r="S152" i="1" s="1"/>
  <c r="P153" i="1" l="1"/>
  <c r="R153" i="1" s="1"/>
  <c r="S153" i="1" s="1"/>
  <c r="A155" i="1"/>
  <c r="M154" i="1"/>
  <c r="H154" i="1"/>
  <c r="W154" i="1"/>
  <c r="B154" i="1"/>
  <c r="C154" i="1" s="1"/>
  <c r="Q154" i="1"/>
  <c r="G31" i="1"/>
  <c r="H30" i="1"/>
  <c r="I30" i="1" s="1"/>
  <c r="H31" i="1" l="1"/>
  <c r="I31" i="1" s="1"/>
  <c r="G32" i="1"/>
  <c r="H155" i="1"/>
  <c r="Q155" i="1"/>
  <c r="W155" i="1"/>
  <c r="B155" i="1"/>
  <c r="C155" i="1" s="1"/>
  <c r="M155" i="1"/>
  <c r="P154" i="1"/>
  <c r="R154" i="1" s="1"/>
  <c r="S154" i="1" s="1"/>
  <c r="P155" i="1" l="1"/>
  <c r="R155" i="1" s="1"/>
  <c r="S155" i="1" s="1"/>
  <c r="O30" i="1"/>
  <c r="O31" i="1"/>
  <c r="G33" i="1"/>
  <c r="H32" i="1"/>
  <c r="I32" i="1" s="1"/>
  <c r="G34" i="1" l="1"/>
  <c r="H33" i="1"/>
  <c r="I33" i="1" s="1"/>
  <c r="D160" i="1"/>
  <c r="D151" i="1"/>
  <c r="D143" i="1"/>
  <c r="D135" i="1"/>
  <c r="D127" i="1"/>
  <c r="D153" i="1"/>
  <c r="D145" i="1"/>
  <c r="D150" i="1"/>
  <c r="D154" i="1"/>
  <c r="D146" i="1"/>
  <c r="D138" i="1"/>
  <c r="D130" i="1"/>
  <c r="D122" i="1"/>
  <c r="D159" i="1"/>
  <c r="O38" i="1" s="1"/>
  <c r="D144" i="1"/>
  <c r="D125" i="1"/>
  <c r="D155" i="1"/>
  <c r="D126" i="1"/>
  <c r="D149" i="1"/>
  <c r="D139" i="1"/>
  <c r="D136" i="1"/>
  <c r="D132" i="1"/>
  <c r="D120" i="1"/>
  <c r="D112" i="1"/>
  <c r="D148" i="1"/>
  <c r="D141" i="1"/>
  <c r="D137" i="1"/>
  <c r="D123" i="1"/>
  <c r="D117" i="1"/>
  <c r="D147" i="1"/>
  <c r="D128" i="1"/>
  <c r="D124" i="1"/>
  <c r="D114" i="1"/>
  <c r="D152" i="1"/>
  <c r="D133" i="1"/>
  <c r="D129" i="1"/>
  <c r="D119" i="1"/>
  <c r="D111" i="1"/>
  <c r="D142" i="1"/>
  <c r="D134" i="1"/>
  <c r="D105" i="1"/>
  <c r="D97" i="1"/>
  <c r="D89" i="1"/>
  <c r="D116" i="1"/>
  <c r="D109" i="1"/>
  <c r="D102" i="1"/>
  <c r="D94" i="1"/>
  <c r="D140" i="1"/>
  <c r="D131" i="1"/>
  <c r="D121" i="1"/>
  <c r="D110" i="1"/>
  <c r="D104" i="1"/>
  <c r="D115" i="1"/>
  <c r="D101" i="1"/>
  <c r="D93" i="1"/>
  <c r="D106" i="1"/>
  <c r="D98" i="1"/>
  <c r="D92" i="1"/>
  <c r="D118" i="1"/>
  <c r="D83" i="1"/>
  <c r="D75" i="1"/>
  <c r="D67" i="1"/>
  <c r="D113" i="1"/>
  <c r="D107" i="1"/>
  <c r="D96" i="1"/>
  <c r="D80" i="1"/>
  <c r="D108" i="1"/>
  <c r="D99" i="1"/>
  <c r="D95" i="1"/>
  <c r="D90" i="1"/>
  <c r="D88" i="1"/>
  <c r="D77" i="1"/>
  <c r="D69" i="1"/>
  <c r="D100" i="1"/>
  <c r="D87" i="1"/>
  <c r="D86" i="1"/>
  <c r="D82" i="1"/>
  <c r="D74" i="1"/>
  <c r="D91" i="1"/>
  <c r="D85" i="1"/>
  <c r="D79" i="1"/>
  <c r="D71" i="1"/>
  <c r="D70" i="1"/>
  <c r="D73" i="1"/>
  <c r="D61" i="1"/>
  <c r="D72" i="1"/>
  <c r="D63" i="1"/>
  <c r="D55" i="1"/>
  <c r="D103" i="1"/>
  <c r="D76" i="1"/>
  <c r="D60" i="1"/>
  <c r="D81" i="1"/>
  <c r="D65" i="1"/>
  <c r="D57" i="1"/>
  <c r="D64" i="1"/>
  <c r="D59" i="1"/>
  <c r="D56" i="1"/>
  <c r="D66" i="1"/>
  <c r="N33" i="1"/>
  <c r="D78" i="1"/>
  <c r="D68" i="1"/>
  <c r="D62" i="1"/>
  <c r="D58" i="1"/>
  <c r="D84" i="1"/>
  <c r="S158" i="1"/>
  <c r="S157" i="1"/>
  <c r="I72" i="1" l="1"/>
  <c r="E72" i="1"/>
  <c r="I90" i="1"/>
  <c r="E90" i="1"/>
  <c r="I111" i="1"/>
  <c r="E111" i="1"/>
  <c r="I153" i="1"/>
  <c r="E153" i="1"/>
  <c r="I78" i="1"/>
  <c r="E78" i="1"/>
  <c r="I65" i="1"/>
  <c r="E65" i="1"/>
  <c r="I61" i="1"/>
  <c r="E61" i="1"/>
  <c r="I82" i="1"/>
  <c r="E82" i="1"/>
  <c r="I95" i="1"/>
  <c r="E95" i="1"/>
  <c r="I75" i="1"/>
  <c r="E75" i="1"/>
  <c r="I115" i="1"/>
  <c r="E115" i="1"/>
  <c r="I109" i="1"/>
  <c r="E109" i="1"/>
  <c r="I119" i="1"/>
  <c r="E119" i="1"/>
  <c r="I117" i="1"/>
  <c r="E117" i="1"/>
  <c r="I136" i="1"/>
  <c r="E136" i="1"/>
  <c r="I122" i="1"/>
  <c r="E122" i="1"/>
  <c r="I127" i="1"/>
  <c r="E127" i="1"/>
  <c r="I81" i="1"/>
  <c r="E81" i="1"/>
  <c r="I73" i="1"/>
  <c r="E73" i="1"/>
  <c r="I86" i="1"/>
  <c r="E86" i="1"/>
  <c r="I99" i="1"/>
  <c r="E99" i="1"/>
  <c r="I83" i="1"/>
  <c r="E83" i="1"/>
  <c r="I104" i="1"/>
  <c r="E104" i="1"/>
  <c r="I116" i="1"/>
  <c r="E116" i="1"/>
  <c r="I129" i="1"/>
  <c r="E129" i="1"/>
  <c r="I123" i="1"/>
  <c r="E123" i="1"/>
  <c r="I139" i="1"/>
  <c r="E139" i="1"/>
  <c r="I130" i="1"/>
  <c r="E130" i="1"/>
  <c r="I135" i="1"/>
  <c r="E135" i="1"/>
  <c r="K64" i="1"/>
  <c r="K88" i="1"/>
  <c r="K55" i="1"/>
  <c r="K99" i="1"/>
  <c r="K90" i="1"/>
  <c r="K74" i="1"/>
  <c r="K73" i="1"/>
  <c r="K109" i="1"/>
  <c r="K126" i="1"/>
  <c r="K95" i="1"/>
  <c r="K86" i="1"/>
  <c r="K66" i="1"/>
  <c r="K69" i="1"/>
  <c r="K56" i="1"/>
  <c r="K84" i="1"/>
  <c r="K123" i="1"/>
  <c r="K124" i="1"/>
  <c r="K80" i="1"/>
  <c r="K111" i="1"/>
  <c r="K116" i="1"/>
  <c r="K76" i="1"/>
  <c r="K103" i="1"/>
  <c r="K87" i="1"/>
  <c r="K70" i="1"/>
  <c r="K110" i="1"/>
  <c r="K58" i="1"/>
  <c r="K121" i="1"/>
  <c r="K61" i="1"/>
  <c r="K85" i="1"/>
  <c r="K112" i="1"/>
  <c r="K127" i="1"/>
  <c r="K72" i="1"/>
  <c r="K71" i="1"/>
  <c r="K83" i="1"/>
  <c r="K106" i="1"/>
  <c r="K101" i="1"/>
  <c r="K57" i="1"/>
  <c r="K81" i="1"/>
  <c r="K108" i="1"/>
  <c r="K120" i="1"/>
  <c r="K68" i="1"/>
  <c r="K67" i="1"/>
  <c r="K119" i="1"/>
  <c r="K79" i="1"/>
  <c r="K122" i="1"/>
  <c r="K102" i="1"/>
  <c r="K93" i="1"/>
  <c r="K125" i="1"/>
  <c r="K91" i="1"/>
  <c r="K82" i="1"/>
  <c r="K118" i="1"/>
  <c r="K62" i="1"/>
  <c r="K65" i="1"/>
  <c r="K97" i="1"/>
  <c r="K100" i="1"/>
  <c r="K104" i="1"/>
  <c r="K60" i="1"/>
  <c r="K63" i="1"/>
  <c r="K115" i="1"/>
  <c r="K75" i="1"/>
  <c r="K114" i="1"/>
  <c r="K98" i="1"/>
  <c r="K89" i="1"/>
  <c r="K117" i="1"/>
  <c r="K78" i="1"/>
  <c r="K113" i="1"/>
  <c r="K92" i="1"/>
  <c r="K96" i="1"/>
  <c r="K59" i="1"/>
  <c r="K107" i="1"/>
  <c r="K94" i="1"/>
  <c r="K77" i="1"/>
  <c r="K105"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I60" i="1"/>
  <c r="E60" i="1"/>
  <c r="I70" i="1"/>
  <c r="E70" i="1"/>
  <c r="I87" i="1"/>
  <c r="E87" i="1"/>
  <c r="I108" i="1"/>
  <c r="E108" i="1"/>
  <c r="I118" i="1"/>
  <c r="E118" i="1"/>
  <c r="I110" i="1"/>
  <c r="E110" i="1"/>
  <c r="I89" i="1"/>
  <c r="E89" i="1"/>
  <c r="I133" i="1"/>
  <c r="E133" i="1"/>
  <c r="I137" i="1"/>
  <c r="E137" i="1"/>
  <c r="I149" i="1"/>
  <c r="E149" i="1"/>
  <c r="I138" i="1"/>
  <c r="E138" i="1"/>
  <c r="I143" i="1"/>
  <c r="E143" i="1"/>
  <c r="I66" i="1"/>
  <c r="E66" i="1"/>
  <c r="I76" i="1"/>
  <c r="E76" i="1"/>
  <c r="I71" i="1"/>
  <c r="E71" i="1"/>
  <c r="I100" i="1"/>
  <c r="E100" i="1"/>
  <c r="I80" i="1"/>
  <c r="E80" i="1"/>
  <c r="I92" i="1"/>
  <c r="E92" i="1"/>
  <c r="I121" i="1"/>
  <c r="E121" i="1"/>
  <c r="I97" i="1"/>
  <c r="E97" i="1"/>
  <c r="I152" i="1"/>
  <c r="E152" i="1"/>
  <c r="I141" i="1"/>
  <c r="E141" i="1"/>
  <c r="I126" i="1"/>
  <c r="E126" i="1"/>
  <c r="I146" i="1"/>
  <c r="E146" i="1"/>
  <c r="I151" i="1"/>
  <c r="E151" i="1"/>
  <c r="I57" i="1"/>
  <c r="E57" i="1"/>
  <c r="I67" i="1"/>
  <c r="E67" i="1"/>
  <c r="I56" i="1"/>
  <c r="E56" i="1"/>
  <c r="I103" i="1"/>
  <c r="E103" i="1"/>
  <c r="I79" i="1"/>
  <c r="E79" i="1"/>
  <c r="I69" i="1"/>
  <c r="E69" i="1"/>
  <c r="I96" i="1"/>
  <c r="E96" i="1"/>
  <c r="I98" i="1"/>
  <c r="E98" i="1"/>
  <c r="I131" i="1"/>
  <c r="E131" i="1"/>
  <c r="I105" i="1"/>
  <c r="E105" i="1"/>
  <c r="I114" i="1"/>
  <c r="E114" i="1"/>
  <c r="I148" i="1"/>
  <c r="E148" i="1"/>
  <c r="I155" i="1"/>
  <c r="E155" i="1"/>
  <c r="I154" i="1"/>
  <c r="E154" i="1"/>
  <c r="I58" i="1"/>
  <c r="E58" i="1"/>
  <c r="I85" i="1"/>
  <c r="E85" i="1"/>
  <c r="I107" i="1"/>
  <c r="E107" i="1"/>
  <c r="I140" i="1"/>
  <c r="E140" i="1"/>
  <c r="I124" i="1"/>
  <c r="E124" i="1"/>
  <c r="I125" i="1"/>
  <c r="E125" i="1"/>
  <c r="I68" i="1"/>
  <c r="E68" i="1"/>
  <c r="I74" i="1"/>
  <c r="E74" i="1"/>
  <c r="I101" i="1"/>
  <c r="E101" i="1"/>
  <c r="I102" i="1"/>
  <c r="E102" i="1"/>
  <c r="I147" i="1"/>
  <c r="E147" i="1"/>
  <c r="I132" i="1"/>
  <c r="E132" i="1"/>
  <c r="I84" i="1"/>
  <c r="E84" i="1"/>
  <c r="I59" i="1"/>
  <c r="E59" i="1"/>
  <c r="I55" i="1"/>
  <c r="E55" i="1"/>
  <c r="I77" i="1"/>
  <c r="E77" i="1"/>
  <c r="I106" i="1"/>
  <c r="E106" i="1"/>
  <c r="I134" i="1"/>
  <c r="E134" i="1"/>
  <c r="I112" i="1"/>
  <c r="E112" i="1"/>
  <c r="I150" i="1"/>
  <c r="E150" i="1"/>
  <c r="I62" i="1"/>
  <c r="E62" i="1"/>
  <c r="I64" i="1"/>
  <c r="E64" i="1"/>
  <c r="I63" i="1"/>
  <c r="E63" i="1"/>
  <c r="I91" i="1"/>
  <c r="E91" i="1"/>
  <c r="I88" i="1"/>
  <c r="E88" i="1"/>
  <c r="I113" i="1"/>
  <c r="E113" i="1"/>
  <c r="I93" i="1"/>
  <c r="E93" i="1"/>
  <c r="I94" i="1"/>
  <c r="E94" i="1"/>
  <c r="I142" i="1"/>
  <c r="E142" i="1"/>
  <c r="I128" i="1"/>
  <c r="E128" i="1"/>
  <c r="I120" i="1"/>
  <c r="E120" i="1"/>
  <c r="I144" i="1"/>
  <c r="E144" i="1"/>
  <c r="I145" i="1"/>
  <c r="E145" i="1"/>
  <c r="G35" i="1"/>
  <c r="H34" i="1"/>
  <c r="I34" i="1" s="1"/>
  <c r="N139" i="1" l="1"/>
  <c r="L139" i="1"/>
  <c r="N57" i="1"/>
  <c r="L57" i="1"/>
  <c r="N85" i="1"/>
  <c r="L85" i="1"/>
  <c r="N76" i="1"/>
  <c r="L76" i="1"/>
  <c r="N69" i="1"/>
  <c r="L69" i="1"/>
  <c r="N90" i="1"/>
  <c r="L90" i="1"/>
  <c r="N154" i="1"/>
  <c r="L154" i="1"/>
  <c r="N146" i="1"/>
  <c r="L146" i="1"/>
  <c r="N138" i="1"/>
  <c r="L138" i="1"/>
  <c r="N130" i="1"/>
  <c r="L130" i="1"/>
  <c r="N96" i="1"/>
  <c r="L96" i="1"/>
  <c r="N75" i="1"/>
  <c r="L75" i="1"/>
  <c r="N62" i="1"/>
  <c r="L62" i="1"/>
  <c r="N79" i="1"/>
  <c r="L79" i="1"/>
  <c r="N101" i="1"/>
  <c r="L101" i="1"/>
  <c r="N61" i="1"/>
  <c r="L61" i="1"/>
  <c r="N116" i="1"/>
  <c r="L116" i="1"/>
  <c r="N66" i="1"/>
  <c r="L66" i="1"/>
  <c r="N99" i="1"/>
  <c r="L99" i="1"/>
  <c r="N147" i="1"/>
  <c r="L147" i="1"/>
  <c r="N114" i="1"/>
  <c r="L114" i="1"/>
  <c r="N153" i="1"/>
  <c r="L153" i="1"/>
  <c r="N92" i="1"/>
  <c r="L92" i="1"/>
  <c r="N118" i="1"/>
  <c r="L118" i="1"/>
  <c r="N106" i="1"/>
  <c r="L106" i="1"/>
  <c r="N86" i="1"/>
  <c r="L86" i="1"/>
  <c r="N55" i="1"/>
  <c r="L55" i="1"/>
  <c r="N152" i="1"/>
  <c r="L152" i="1"/>
  <c r="N144" i="1"/>
  <c r="L144" i="1"/>
  <c r="N136" i="1"/>
  <c r="L136" i="1"/>
  <c r="N128" i="1"/>
  <c r="L128" i="1"/>
  <c r="N113" i="1"/>
  <c r="L113" i="1"/>
  <c r="N63" i="1"/>
  <c r="L63" i="1"/>
  <c r="N82" i="1"/>
  <c r="L82" i="1"/>
  <c r="N67" i="1"/>
  <c r="L67" i="1"/>
  <c r="N83" i="1"/>
  <c r="L83" i="1"/>
  <c r="N58" i="1"/>
  <c r="L58" i="1"/>
  <c r="N80" i="1"/>
  <c r="L80" i="1"/>
  <c r="N95" i="1"/>
  <c r="L95" i="1"/>
  <c r="N88" i="1"/>
  <c r="L88" i="1"/>
  <c r="N131" i="1"/>
  <c r="L131" i="1"/>
  <c r="N145" i="1"/>
  <c r="L145" i="1"/>
  <c r="N115" i="1"/>
  <c r="L115" i="1"/>
  <c r="N119" i="1"/>
  <c r="L119" i="1"/>
  <c r="O35" i="1"/>
  <c r="O34" i="1"/>
  <c r="O36" i="1"/>
  <c r="N151" i="1"/>
  <c r="L151" i="1"/>
  <c r="N143" i="1"/>
  <c r="L143" i="1"/>
  <c r="N135" i="1"/>
  <c r="L135" i="1"/>
  <c r="N105" i="1"/>
  <c r="L105" i="1"/>
  <c r="N78" i="1"/>
  <c r="L78" i="1"/>
  <c r="N60" i="1"/>
  <c r="L60" i="1"/>
  <c r="N91" i="1"/>
  <c r="L91" i="1"/>
  <c r="N68" i="1"/>
  <c r="L68" i="1"/>
  <c r="N71" i="1"/>
  <c r="L71" i="1"/>
  <c r="N110" i="1"/>
  <c r="L110" i="1"/>
  <c r="N124" i="1"/>
  <c r="L124" i="1"/>
  <c r="N126" i="1"/>
  <c r="L126" i="1"/>
  <c r="N64" i="1"/>
  <c r="L64" i="1"/>
  <c r="N65" i="1"/>
  <c r="L65" i="1"/>
  <c r="N129" i="1"/>
  <c r="L129" i="1"/>
  <c r="N111" i="1"/>
  <c r="L111" i="1"/>
  <c r="N150" i="1"/>
  <c r="L150" i="1"/>
  <c r="N142" i="1"/>
  <c r="L142" i="1"/>
  <c r="N134" i="1"/>
  <c r="L134" i="1"/>
  <c r="N77" i="1"/>
  <c r="L77" i="1"/>
  <c r="N117" i="1"/>
  <c r="L117" i="1"/>
  <c r="N104" i="1"/>
  <c r="L104" i="1"/>
  <c r="N125" i="1"/>
  <c r="L125" i="1"/>
  <c r="N120" i="1"/>
  <c r="L120" i="1"/>
  <c r="N72" i="1"/>
  <c r="L72" i="1"/>
  <c r="N70" i="1"/>
  <c r="L70" i="1"/>
  <c r="N123" i="1"/>
  <c r="L123" i="1"/>
  <c r="N109" i="1"/>
  <c r="L109" i="1"/>
  <c r="N59" i="1"/>
  <c r="L59" i="1"/>
  <c r="N137" i="1"/>
  <c r="L137" i="1"/>
  <c r="N121" i="1"/>
  <c r="L121" i="1"/>
  <c r="N149" i="1"/>
  <c r="L149" i="1"/>
  <c r="N141" i="1"/>
  <c r="L141" i="1"/>
  <c r="N133" i="1"/>
  <c r="L133" i="1"/>
  <c r="N94" i="1"/>
  <c r="L94" i="1"/>
  <c r="N89" i="1"/>
  <c r="L89" i="1"/>
  <c r="N100" i="1"/>
  <c r="L100" i="1"/>
  <c r="N93" i="1"/>
  <c r="L93" i="1"/>
  <c r="N108" i="1"/>
  <c r="L108" i="1"/>
  <c r="N127" i="1"/>
  <c r="L127" i="1"/>
  <c r="N87" i="1"/>
  <c r="L87" i="1"/>
  <c r="N84" i="1"/>
  <c r="L84" i="1"/>
  <c r="N73" i="1"/>
  <c r="L73" i="1"/>
  <c r="N155" i="1"/>
  <c r="L155" i="1"/>
  <c r="N122" i="1"/>
  <c r="L122" i="1"/>
  <c r="G36" i="1"/>
  <c r="H35" i="1"/>
  <c r="I35" i="1" s="1"/>
  <c r="N148" i="1"/>
  <c r="L148" i="1"/>
  <c r="N140" i="1"/>
  <c r="L140" i="1"/>
  <c r="N132" i="1"/>
  <c r="L132" i="1"/>
  <c r="N107" i="1"/>
  <c r="L107" i="1"/>
  <c r="N98" i="1"/>
  <c r="L98" i="1"/>
  <c r="N97" i="1"/>
  <c r="L97" i="1"/>
  <c r="N102" i="1"/>
  <c r="L102" i="1"/>
  <c r="N81" i="1"/>
  <c r="L81" i="1"/>
  <c r="N112" i="1"/>
  <c r="L112" i="1"/>
  <c r="N103" i="1"/>
  <c r="L103" i="1"/>
  <c r="N56" i="1"/>
  <c r="L56" i="1"/>
  <c r="N74" i="1"/>
  <c r="L74" i="1"/>
  <c r="V53" i="1" l="1"/>
  <c r="H36" i="1"/>
  <c r="I36" i="1" s="1"/>
  <c r="G37" i="1"/>
  <c r="G38" i="1" l="1"/>
  <c r="H37" i="1"/>
  <c r="I37" i="1" s="1"/>
  <c r="N39" i="1"/>
  <c r="U139" i="1"/>
  <c r="U116" i="1"/>
  <c r="U153" i="1"/>
  <c r="U106" i="1"/>
  <c r="U80" i="1"/>
  <c r="U131" i="1"/>
  <c r="U126" i="1"/>
  <c r="U72" i="1"/>
  <c r="U109" i="1"/>
  <c r="U89" i="1"/>
  <c r="U155" i="1"/>
  <c r="U97" i="1"/>
  <c r="U121" i="1"/>
  <c r="U108" i="1"/>
  <c r="U148" i="1"/>
  <c r="U112" i="1"/>
  <c r="U107" i="1"/>
  <c r="U69" i="1"/>
  <c r="U118" i="1"/>
  <c r="U111" i="1"/>
  <c r="U120" i="1"/>
  <c r="U137" i="1"/>
  <c r="U93" i="1"/>
  <c r="U132" i="1"/>
  <c r="U56" i="1"/>
  <c r="U76" i="1"/>
  <c r="U138" i="1"/>
  <c r="U75" i="1"/>
  <c r="U147" i="1"/>
  <c r="U152" i="1"/>
  <c r="U63" i="1"/>
  <c r="U119" i="1"/>
  <c r="U105" i="1"/>
  <c r="U77" i="1"/>
  <c r="U102" i="1"/>
  <c r="U74" i="1"/>
  <c r="U100" i="1"/>
  <c r="U122" i="1"/>
  <c r="U140" i="1"/>
  <c r="U61" i="1"/>
  <c r="U114" i="1"/>
  <c r="U101" i="1"/>
  <c r="U83" i="1"/>
  <c r="U143" i="1"/>
  <c r="U91" i="1"/>
  <c r="U110" i="1"/>
  <c r="U129" i="1"/>
  <c r="U142" i="1"/>
  <c r="U125" i="1"/>
  <c r="U117" i="1"/>
  <c r="U98" i="1"/>
  <c r="U88" i="1"/>
  <c r="U73" i="1"/>
  <c r="U60" i="1"/>
  <c r="U57" i="1"/>
  <c r="U154" i="1"/>
  <c r="U92" i="1"/>
  <c r="U86" i="1"/>
  <c r="U128" i="1"/>
  <c r="U82" i="1"/>
  <c r="U95" i="1"/>
  <c r="U145" i="1"/>
  <c r="U70" i="1"/>
  <c r="U59" i="1"/>
  <c r="U133" i="1"/>
  <c r="U84" i="1"/>
  <c r="U103" i="1"/>
  <c r="U62" i="1"/>
  <c r="U113" i="1"/>
  <c r="U58" i="1"/>
  <c r="U127" i="1"/>
  <c r="U124" i="1"/>
  <c r="U130" i="1"/>
  <c r="U66" i="1"/>
  <c r="U144" i="1"/>
  <c r="U78" i="1"/>
  <c r="U68" i="1"/>
  <c r="U64" i="1"/>
  <c r="U149" i="1"/>
  <c r="U135" i="1"/>
  <c r="U134" i="1"/>
  <c r="U123" i="1"/>
  <c r="U94" i="1"/>
  <c r="U81" i="1"/>
  <c r="U85" i="1"/>
  <c r="U146" i="1"/>
  <c r="U67" i="1"/>
  <c r="U90" i="1"/>
  <c r="U96" i="1"/>
  <c r="U79" i="1"/>
  <c r="U99" i="1"/>
  <c r="U55" i="1"/>
  <c r="U136" i="1"/>
  <c r="U115" i="1"/>
  <c r="U151" i="1"/>
  <c r="U71" i="1"/>
  <c r="U65" i="1"/>
  <c r="U150" i="1"/>
  <c r="U104" i="1"/>
  <c r="U141" i="1"/>
  <c r="U87" i="1"/>
  <c r="X113" i="1" l="1"/>
  <c r="V113" i="1"/>
  <c r="X147" i="1"/>
  <c r="V147" i="1"/>
  <c r="X78" i="1"/>
  <c r="V78" i="1"/>
  <c r="X62" i="1"/>
  <c r="V62" i="1"/>
  <c r="X82" i="1"/>
  <c r="V82" i="1"/>
  <c r="X88" i="1"/>
  <c r="V88" i="1"/>
  <c r="X143" i="1"/>
  <c r="V143" i="1"/>
  <c r="X74" i="1"/>
  <c r="V74" i="1"/>
  <c r="X75" i="1"/>
  <c r="V75" i="1"/>
  <c r="X111" i="1"/>
  <c r="V111" i="1"/>
  <c r="X97" i="1"/>
  <c r="V97" i="1"/>
  <c r="X106" i="1"/>
  <c r="V106" i="1"/>
  <c r="X80" i="1"/>
  <c r="V80" i="1"/>
  <c r="X144" i="1"/>
  <c r="V144" i="1"/>
  <c r="X98" i="1"/>
  <c r="V98" i="1"/>
  <c r="X138" i="1"/>
  <c r="V138" i="1"/>
  <c r="X118" i="1"/>
  <c r="V118" i="1"/>
  <c r="X155" i="1"/>
  <c r="V155" i="1"/>
  <c r="X153" i="1"/>
  <c r="V153" i="1"/>
  <c r="X95" i="1"/>
  <c r="V95" i="1"/>
  <c r="X73" i="1"/>
  <c r="V73" i="1"/>
  <c r="X81" i="1"/>
  <c r="V81" i="1"/>
  <c r="X104" i="1"/>
  <c r="V104" i="1"/>
  <c r="X94" i="1"/>
  <c r="V94" i="1"/>
  <c r="X128" i="1"/>
  <c r="V128" i="1"/>
  <c r="X83" i="1"/>
  <c r="V83" i="1"/>
  <c r="X150" i="1"/>
  <c r="V150" i="1"/>
  <c r="X123" i="1"/>
  <c r="V123" i="1"/>
  <c r="X66" i="1"/>
  <c r="V66" i="1"/>
  <c r="X84" i="1"/>
  <c r="V84" i="1"/>
  <c r="X86" i="1"/>
  <c r="V86" i="1"/>
  <c r="X117" i="1"/>
  <c r="V117" i="1"/>
  <c r="X101" i="1"/>
  <c r="V101" i="1"/>
  <c r="X77" i="1"/>
  <c r="V77" i="1"/>
  <c r="X76" i="1"/>
  <c r="V76" i="1"/>
  <c r="X69" i="1"/>
  <c r="V69" i="1"/>
  <c r="X89" i="1"/>
  <c r="V89" i="1"/>
  <c r="X116" i="1"/>
  <c r="V116" i="1"/>
  <c r="X136" i="1"/>
  <c r="V136" i="1"/>
  <c r="X100" i="1"/>
  <c r="V100" i="1"/>
  <c r="X141" i="1"/>
  <c r="V141" i="1"/>
  <c r="X99" i="1"/>
  <c r="V99" i="1"/>
  <c r="X103" i="1"/>
  <c r="V103" i="1"/>
  <c r="X102" i="1"/>
  <c r="V102" i="1"/>
  <c r="X79" i="1"/>
  <c r="V79" i="1"/>
  <c r="X65" i="1"/>
  <c r="V65" i="1"/>
  <c r="X96" i="1"/>
  <c r="V96" i="1"/>
  <c r="X134" i="1"/>
  <c r="V134" i="1"/>
  <c r="X130" i="1"/>
  <c r="V130" i="1"/>
  <c r="X133" i="1"/>
  <c r="V133" i="1"/>
  <c r="X92" i="1"/>
  <c r="V92" i="1"/>
  <c r="X125" i="1"/>
  <c r="V125" i="1"/>
  <c r="X114" i="1"/>
  <c r="V114" i="1"/>
  <c r="X105" i="1"/>
  <c r="V105" i="1"/>
  <c r="X56" i="1"/>
  <c r="V56" i="1"/>
  <c r="X107" i="1"/>
  <c r="V107" i="1"/>
  <c r="X109" i="1"/>
  <c r="V109" i="1"/>
  <c r="X139" i="1"/>
  <c r="V139" i="1"/>
  <c r="X87" i="1"/>
  <c r="V87" i="1"/>
  <c r="X121" i="1"/>
  <c r="V121" i="1"/>
  <c r="X135" i="1"/>
  <c r="V135" i="1"/>
  <c r="X154" i="1"/>
  <c r="V154" i="1"/>
  <c r="X142" i="1"/>
  <c r="V142" i="1"/>
  <c r="X61" i="1"/>
  <c r="V61" i="1"/>
  <c r="X119" i="1"/>
  <c r="V119" i="1"/>
  <c r="X132" i="1"/>
  <c r="V132" i="1"/>
  <c r="X112" i="1"/>
  <c r="V112" i="1"/>
  <c r="X72" i="1"/>
  <c r="V72" i="1"/>
  <c r="X68" i="1"/>
  <c r="V68" i="1"/>
  <c r="X120" i="1"/>
  <c r="V120" i="1"/>
  <c r="X71" i="1"/>
  <c r="V71" i="1"/>
  <c r="X124" i="1"/>
  <c r="V124" i="1"/>
  <c r="X149" i="1"/>
  <c r="V149" i="1"/>
  <c r="X85" i="1"/>
  <c r="V85" i="1"/>
  <c r="X91" i="1"/>
  <c r="V91" i="1"/>
  <c r="X55" i="1"/>
  <c r="V55" i="1"/>
  <c r="X90" i="1"/>
  <c r="V90" i="1"/>
  <c r="X59" i="1"/>
  <c r="V59" i="1"/>
  <c r="X151" i="1"/>
  <c r="V151" i="1"/>
  <c r="X67" i="1"/>
  <c r="V67" i="1"/>
  <c r="X127" i="1"/>
  <c r="V127" i="1"/>
  <c r="X70" i="1"/>
  <c r="V70" i="1"/>
  <c r="X57" i="1"/>
  <c r="V57" i="1"/>
  <c r="X129" i="1"/>
  <c r="V129" i="1"/>
  <c r="X140" i="1"/>
  <c r="V140" i="1"/>
  <c r="X63" i="1"/>
  <c r="V63" i="1"/>
  <c r="X93" i="1"/>
  <c r="V93" i="1"/>
  <c r="X148" i="1"/>
  <c r="V148" i="1"/>
  <c r="X126" i="1"/>
  <c r="V126" i="1"/>
  <c r="X115" i="1"/>
  <c r="V115" i="1"/>
  <c r="X146" i="1"/>
  <c r="V146" i="1"/>
  <c r="X64" i="1"/>
  <c r="V64" i="1"/>
  <c r="X58" i="1"/>
  <c r="V58" i="1"/>
  <c r="X145" i="1"/>
  <c r="V145" i="1"/>
  <c r="X60" i="1"/>
  <c r="V60" i="1"/>
  <c r="X110" i="1"/>
  <c r="V110" i="1"/>
  <c r="X122" i="1"/>
  <c r="V122" i="1"/>
  <c r="X152" i="1"/>
  <c r="V152" i="1"/>
  <c r="X137" i="1"/>
  <c r="V137" i="1"/>
  <c r="X108" i="1"/>
  <c r="V108" i="1"/>
  <c r="X131" i="1"/>
  <c r="V131" i="1"/>
  <c r="G39" i="1"/>
  <c r="H38" i="1"/>
  <c r="I38" i="1" s="1"/>
  <c r="X157" i="1" l="1"/>
  <c r="G40" i="1"/>
  <c r="H39" i="1"/>
  <c r="I39" i="1" s="1"/>
  <c r="O42" i="1"/>
  <c r="O40" i="1"/>
  <c r="A46" i="1" s="1"/>
  <c r="O41" i="1"/>
  <c r="H40" i="1" l="1"/>
  <c r="I40" i="1" s="1"/>
  <c r="J4" i="1"/>
  <c r="J5" i="1" l="1"/>
  <c r="K4" i="1"/>
  <c r="L4" i="1" s="1"/>
  <c r="J6" i="1" l="1"/>
  <c r="K5" i="1"/>
  <c r="L5" i="1" s="1"/>
  <c r="J7" i="1" l="1"/>
  <c r="K6" i="1"/>
  <c r="L6" i="1" s="1"/>
  <c r="J8" i="1" l="1"/>
  <c r="K7" i="1"/>
  <c r="L7" i="1" s="1"/>
  <c r="K8" i="1" l="1"/>
  <c r="L8" i="1" s="1"/>
  <c r="J9" i="1"/>
  <c r="J10" i="1" l="1"/>
  <c r="K9" i="1"/>
  <c r="L9" i="1" s="1"/>
  <c r="K10" i="1" l="1"/>
  <c r="L10" i="1" s="1"/>
  <c r="J11" i="1"/>
  <c r="J12" i="1" l="1"/>
  <c r="K11" i="1"/>
  <c r="L11" i="1" s="1"/>
  <c r="K12" i="1" l="1"/>
  <c r="L12" i="1" s="1"/>
  <c r="J13" i="1"/>
  <c r="J14" i="1" l="1"/>
  <c r="K13" i="1"/>
  <c r="L13" i="1" s="1"/>
  <c r="K14" i="1" l="1"/>
  <c r="L14" i="1" s="1"/>
  <c r="J15" i="1"/>
  <c r="K15" i="1" l="1"/>
  <c r="L15" i="1" s="1"/>
  <c r="J16" i="1"/>
  <c r="K16" i="1" l="1"/>
  <c r="L16" i="1" s="1"/>
  <c r="J17" i="1"/>
  <c r="J18" i="1" l="1"/>
  <c r="K17" i="1"/>
  <c r="L17" i="1" s="1"/>
  <c r="J19" i="1" l="1"/>
  <c r="K18" i="1"/>
  <c r="L18" i="1" s="1"/>
  <c r="K19" i="1" l="1"/>
  <c r="L19" i="1" s="1"/>
  <c r="J20" i="1"/>
  <c r="J21" i="1" l="1"/>
  <c r="K20" i="1"/>
  <c r="L20" i="1" s="1"/>
  <c r="K21" i="1" l="1"/>
  <c r="L21" i="1" s="1"/>
  <c r="J22" i="1"/>
  <c r="J23" i="1" l="1"/>
  <c r="K22" i="1"/>
  <c r="L22" i="1" s="1"/>
  <c r="K23" i="1" l="1"/>
  <c r="L23" i="1" s="1"/>
  <c r="J24" i="1"/>
  <c r="K24" i="1" l="1"/>
  <c r="L24" i="1" s="1"/>
  <c r="J25" i="1"/>
  <c r="K25" i="1" l="1"/>
  <c r="L25" i="1" s="1"/>
  <c r="J26" i="1"/>
  <c r="J27" i="1" l="1"/>
  <c r="K26" i="1"/>
  <c r="L26" i="1" s="1"/>
  <c r="K27" i="1" l="1"/>
  <c r="L27" i="1" s="1"/>
  <c r="J28" i="1"/>
  <c r="J29" i="1" l="1"/>
  <c r="K28" i="1"/>
  <c r="L28" i="1" s="1"/>
  <c r="K29" i="1" l="1"/>
  <c r="L29" i="1" s="1"/>
  <c r="J30" i="1"/>
  <c r="J31" i="1" l="1"/>
  <c r="K30" i="1"/>
  <c r="L30" i="1" s="1"/>
  <c r="J32" i="1" l="1"/>
  <c r="K31" i="1"/>
  <c r="L31" i="1" s="1"/>
  <c r="K32" i="1" l="1"/>
  <c r="L32" i="1" s="1"/>
  <c r="J33" i="1"/>
  <c r="J34" i="1" l="1"/>
  <c r="K33" i="1"/>
  <c r="L33" i="1" s="1"/>
  <c r="J35" i="1" l="1"/>
  <c r="K34" i="1"/>
  <c r="L34" i="1" s="1"/>
  <c r="J36" i="1" l="1"/>
  <c r="K35" i="1"/>
  <c r="L35" i="1" s="1"/>
  <c r="J37" i="1" l="1"/>
  <c r="K36" i="1"/>
  <c r="L36" i="1" s="1"/>
  <c r="K37" i="1" l="1"/>
  <c r="L37" i="1" s="1"/>
  <c r="J38" i="1"/>
  <c r="J39" i="1" l="1"/>
  <c r="K38" i="1"/>
  <c r="L38" i="1" s="1"/>
  <c r="J40" i="1" l="1"/>
  <c r="K40" i="1" s="1"/>
  <c r="L40" i="1" s="1"/>
  <c r="K39" i="1"/>
  <c r="L39" i="1" s="1"/>
</calcChain>
</file>

<file path=xl/sharedStrings.xml><?xml version="1.0" encoding="utf-8"?>
<sst xmlns="http://schemas.openxmlformats.org/spreadsheetml/2006/main" count="93" uniqueCount="74">
  <si>
    <t>NTC Thermistor Tools - Table Generator, Beta Calculator, ADC Value to Temperature, Linear Approximation and Standard "Beta" Approximation</t>
  </si>
  <si>
    <t xml:space="preserve">
</t>
  </si>
  <si>
    <t>Settings</t>
  </si>
  <si>
    <t>More Info &gt;&gt;&gt;</t>
  </si>
  <si>
    <t>°C</t>
  </si>
  <si>
    <t>kΩ</t>
  </si>
  <si>
    <t>ADC Result (analogRead)</t>
  </si>
  <si>
    <r>
      <rPr>
        <sz val="12"/>
        <color rgb="FFFF0000"/>
        <rFont val="Arial"/>
      </rPr>
      <t>*</t>
    </r>
    <r>
      <rPr>
        <sz val="12"/>
        <rFont val="Arial"/>
      </rPr>
      <t xml:space="preserve"> = Most Common Settings You Need To Change ;  Grey Box = Field you can change; White box = Result calculated for you.</t>
    </r>
  </si>
  <si>
    <t>Thermistor Characteristics</t>
  </si>
  <si>
    <t>See More Info ==&gt;</t>
  </si>
  <si>
    <t>A thermistor has a "Beta", a Nominal Resistance and a Nominal Temperature.  
The "Beta" either is known/given, or we can calculate it from a measured temperature and resistance, enter =O7 (equals letter-o seven) in the Beta Value To Use in order to calculate a beta (you will need to measure the resistance of the thermistor at a known temperature other than it's nominal).
The nominals are always known (nominal temperature is the temperature at which the the thermistor has it's nominal resistance - it is almost always 25°C if not specified).</t>
  </si>
  <si>
    <t>Calculated Beta Value</t>
  </si>
  <si>
    <r>
      <rPr>
        <b/>
        <sz val="10"/>
        <color rgb="FFFF0000"/>
        <rFont val="Arial"/>
      </rPr>
      <t xml:space="preserve">* </t>
    </r>
    <r>
      <rPr>
        <b/>
        <sz val="10"/>
        <rFont val="Arial"/>
      </rPr>
      <t>Beta Value To Use</t>
    </r>
  </si>
  <si>
    <t>Set to a known Beta, or set to =O7 to calculate the Beta</t>
  </si>
  <si>
    <r>
      <rPr>
        <b/>
        <sz val="10"/>
        <color rgb="FFFF0000"/>
        <rFont val="Arial"/>
      </rPr>
      <t xml:space="preserve">* </t>
    </r>
    <r>
      <rPr>
        <b/>
        <sz val="10"/>
        <rFont val="Arial"/>
      </rPr>
      <t>Nominal Resistance</t>
    </r>
  </si>
  <si>
    <t>A 10k thermistor has 10000 (Ω) Nominal Resistance</t>
  </si>
  <si>
    <t>Nominal Temperature</t>
  </si>
  <si>
    <t>Usually 25 (°C) if not specified by thermistor datasheet</t>
  </si>
  <si>
    <t>Measured Resistance</t>
  </si>
  <si>
    <t>For calculating beta, measure the thermistor's resistance...</t>
  </si>
  <si>
    <t>Measured Temperature</t>
  </si>
  <si>
    <t>... when at a known measured temperature (usually 50°C)</t>
  </si>
  <si>
    <t>Thermistor Connection and Verification</t>
  </si>
  <si>
    <t>See Also Wiring Diagram and Tips ==&gt;</t>
  </si>
  <si>
    <r>
      <rPr>
        <sz val="10"/>
        <rFont val="Arial"/>
      </rPr>
      <t xml:space="preserve">The wiring of a thermistor is one of either
  a. [VCC] -&gt; [RESISTOR] -&gt; [THERMISTOR] -&gt; [GND]
  b. [VCC] -&gt; [THERMISTOR] -&gt; [RESISTOR] -&gt; [GND]
to specify which wiring is in use, set the 'Thermistor Vcc/Gnd' field to either 'Gnd' for option a, or 'Vcc' for option b.  Your analog pin connects to the mid-point between the resistor and thermistor.  The 'Other Resistor' is the [RESISTOR] shown in the wiring above, the value affects accuracy.  
For good results, set the 'Low °C' and 'High °C' values in the Linear Approximation (even if you won't use that approximation) and then set Other Resistor to </t>
    </r>
    <r>
      <rPr>
        <b/>
        <sz val="10"/>
        <rFont val="Courier New"/>
      </rPr>
      <t>=R19</t>
    </r>
    <r>
      <rPr>
        <sz val="10"/>
        <rFont val="Arial"/>
      </rPr>
      <t xml:space="preserve"> for a 1% resistor, or </t>
    </r>
    <r>
      <rPr>
        <b/>
        <sz val="10"/>
        <rFont val="Courier New"/>
      </rPr>
      <t>=R20</t>
    </r>
    <r>
      <rPr>
        <sz val="10"/>
        <rFont val="Arial"/>
      </rPr>
      <t xml:space="preserve"> for a non-standard but possibly better value.</t>
    </r>
  </si>
  <si>
    <t>Thermistor Vcc/Gnd</t>
  </si>
  <si>
    <t>Vcc</t>
  </si>
  <si>
    <r>
      <t xml:space="preserve">Is Thermistor connected to </t>
    </r>
    <r>
      <rPr>
        <b/>
        <sz val="10"/>
        <rFont val="Courier New"/>
      </rPr>
      <t>Gnd</t>
    </r>
    <r>
      <rPr>
        <sz val="10"/>
        <color rgb="FF000000"/>
        <rFont val="Arial"/>
      </rPr>
      <t xml:space="preserve"> or </t>
    </r>
    <r>
      <rPr>
        <b/>
        <sz val="10"/>
        <rFont val="Courier New"/>
      </rPr>
      <t>Vcc</t>
    </r>
  </si>
  <si>
    <t>ADC Max Value</t>
  </si>
  <si>
    <t>Max value returned by ADC (analogRead), 1023 typically</t>
  </si>
  <si>
    <t>Other Resistor</t>
  </si>
  <si>
    <r>
      <t xml:space="preserve">The value of the resistor paired with the thermistor.. </t>
    </r>
    <r>
      <rPr>
        <b/>
        <sz val="10"/>
        <rFont val="Arial"/>
      </rPr>
      <t>SEE &gt;&gt;</t>
    </r>
  </si>
  <si>
    <t>Test your settings with a known measured temperature.</t>
  </si>
  <si>
    <t>Suggested 1% "Other Resistor":</t>
  </si>
  <si>
    <t>... with ADC (analogRead)</t>
  </si>
  <si>
    <t>Non Std Value "Other Resistor":</t>
  </si>
  <si>
    <t>Table Generation Parameters</t>
  </si>
  <si>
    <t>Controls the range of the values in the lookup table
generated on the left side of this sheet.</t>
  </si>
  <si>
    <t>Starting Temperature</t>
  </si>
  <si>
    <t>In Steps Of</t>
  </si>
  <si>
    <t>Linear Approximation of ADC Result to °C</t>
  </si>
  <si>
    <r>
      <rPr>
        <b/>
        <sz val="10"/>
        <rFont val="Arial"/>
      </rPr>
      <t>See More Info ==&gt;</t>
    </r>
    <r>
      <rPr>
        <sz val="10"/>
        <color rgb="FF000000"/>
        <rFont val="Arial"/>
      </rPr>
      <t xml:space="preserve">
Enter the band of temperatures you are most interested in.
The value of the "Other Resistor" (set it above) has a large effect on the error, set it to</t>
    </r>
    <r>
      <rPr>
        <b/>
        <sz val="10"/>
        <rFont val="Arial"/>
      </rPr>
      <t xml:space="preserve">  </t>
    </r>
    <r>
      <rPr>
        <b/>
        <sz val="10"/>
        <rFont val="Courier New"/>
      </rPr>
      <t>=B105*1000</t>
    </r>
    <r>
      <rPr>
        <sz val="10"/>
        <color rgb="FF000000"/>
        <rFont val="Arial"/>
      </rPr>
      <t xml:space="preserve"> to get a good resistance for your range (you might try some other values around that suggestion also).
The C code generated underneath the lookup table includes functions for using these approximations.  The float approximation is closer, the int approximation doesn't use floating point math so it's much lighter-weight.
Multiplier has an effect on error characteristic of the int approx.   Two suggested values can be selected using </t>
    </r>
    <r>
      <rPr>
        <b/>
        <sz val="10"/>
        <rFont val="Courier New"/>
      </rPr>
      <t>=D159</t>
    </r>
    <r>
      <rPr>
        <sz val="10"/>
        <color rgb="FF000000"/>
        <rFont val="Arial"/>
      </rPr>
      <t xml:space="preserve"> or </t>
    </r>
    <r>
      <rPr>
        <b/>
        <sz val="10"/>
        <rFont val="Courier New"/>
      </rPr>
      <t>=D160</t>
    </r>
    <r>
      <rPr>
        <sz val="10"/>
        <color rgb="FF000000"/>
        <rFont val="Arial"/>
      </rPr>
      <t>, or you can try some different numbers, the results vary, try 1, 2, 3... 32 and then some larger ones.</t>
    </r>
  </si>
  <si>
    <t>To convert from an ADC result into a temperature there are several methods, you could just compare the result to hard-coded numbers you pluck out of the lookup table which has been generated, you can use the "standard" conversion formula for thermistors, you can use a float based linear approximation, and you can use an int based approximation.
C code is generated (under the lookup table on the left) from the settings you have entered making three functions - convertAnalogToTemperature(), approximateTemperatureFloat() and approximateTemperatureInt().
The approximation functions error is dependant on the range of values you inspect, and the magnitude of the "Other Resistor", play with the numbers and see the changes in the charts provided.  The charts show the error in degrees C, for example if the chart shows an error of "-1°C" at "50°C" that means for an actual temperature of 50°C, the approximation would report 49°C.
The "standard" conversion (convertAnalogToTemperature) uses the beta value and some maths to produce an approximation which is generally pretty close to the actual real temperature.  Due to ADC resolution being finite you in practice will see a small additional error, probably up to 0.1°C, the "Standard Conversion Additional Error" seeks to illustrate this and help you compare to the other charts.</t>
  </si>
  <si>
    <r>
      <rPr>
        <b/>
        <sz val="10"/>
        <color rgb="FFFF0000"/>
        <rFont val="Arial"/>
      </rPr>
      <t xml:space="preserve">* </t>
    </r>
    <r>
      <rPr>
        <b/>
        <sz val="10"/>
        <rFont val="Arial"/>
      </rPr>
      <t>Low °C</t>
    </r>
  </si>
  <si>
    <r>
      <rPr>
        <b/>
        <sz val="10"/>
        <color rgb="FFFF0000"/>
        <rFont val="Arial"/>
      </rPr>
      <t xml:space="preserve">* </t>
    </r>
    <r>
      <rPr>
        <b/>
        <sz val="10"/>
        <rFont val="Arial"/>
      </rPr>
      <t>High °C</t>
    </r>
  </si>
  <si>
    <t>Slope</t>
  </si>
  <si>
    <t>Intercept</t>
  </si>
  <si>
    <t>Float Math Approximation</t>
  </si>
  <si>
    <t>Max Error</t>
  </si>
  <si>
    <t>Mean Error</t>
  </si>
  <si>
    <t>Median Error</t>
  </si>
  <si>
    <t>Integer Math Approximation</t>
  </si>
  <si>
    <t>Multiplier</t>
  </si>
  <si>
    <t>Going from ADC Result (analogRead) to °C (Temperature) in C (Language)</t>
  </si>
  <si>
    <r>
      <t xml:space="preserve">
Below is C code for converting an ADC Value such as returned by (analogRead() in Arduino) into a temperature, given the parameters you have entered in the settings above/right.</t>
    </r>
    <r>
      <rPr>
        <b/>
        <sz val="10"/>
        <rFont val="Arial"/>
      </rPr>
      <t xml:space="preserve">
First, complete the settings section such that you are satisfied with the error charts etc shown, and you have selected (or accepted the calculated) "Other Resistor</t>
    </r>
    <r>
      <rPr>
        <sz val="10"/>
        <color rgb="FF000000"/>
        <rFont val="Arial"/>
      </rPr>
      <t>".
Right-click-copy the C code below and paste into your project, you may need to delete an extra quote mark after pasting, as indicated in the comme</t>
    </r>
    <r>
      <rPr>
        <b/>
        <i/>
        <u/>
        <sz val="10"/>
        <rFont val="Arial"/>
      </rPr>
      <t>nt.
If you change the settings you will have to copy and paste it again. 
If your "Other Resistor" is being calculated, MAKE SURE YOU USE THE RIGHT RESISTANCE, changing the settings will change the resistance required!</t>
    </r>
  </si>
  <si>
    <t xml:space="preserve"> </t>
  </si>
  <si>
    <r>
      <rPr>
        <b/>
        <u/>
        <sz val="10"/>
        <rFont val="Arial"/>
      </rPr>
      <t>Linear Approximation Working Area</t>
    </r>
    <r>
      <rPr>
        <sz val="10"/>
        <color rgb="FF000000"/>
        <rFont val="Arial"/>
      </rPr>
      <t xml:space="preserve">
The data below is used in calculating the linear regression formula in the area above. 
Tip: If you want to try different types of regression, you can use this tool:
    http://www.xuru.org/rt/LR.asp
(but probably any other regression type will be too heavy-weight and you'd be better to just use the standard conversion)</t>
    </r>
  </si>
  <si>
    <t xml:space="preserve">
Because of integer math truncation/rounding, the error may be consistently low or high.  We correct for this by calculating the true (but rounded) mean of the error and subtract to bring it closer to zero.
Integer Correction Factor:</t>
  </si>
  <si>
    <t>ADC</t>
  </si>
  <si>
    <t>Float Approximation</t>
  </si>
  <si>
    <t>Abs Float Error</t>
  </si>
  <si>
    <t>Signed Float Error</t>
  </si>
  <si>
    <t>Integer Approximation</t>
  </si>
  <si>
    <t>Abs Integer Error</t>
  </si>
  <si>
    <t>SIgned Integer Error</t>
  </si>
  <si>
    <t>Standard Conversion</t>
  </si>
  <si>
    <t>Standard Conversion Error</t>
  </si>
  <si>
    <t>Standard Conversion Abs Error</t>
  </si>
  <si>
    <t>Corrected</t>
  </si>
  <si>
    <t xml:space="preserve"> Integer Approximation</t>
  </si>
  <si>
    <t>Corrected Abs Integer Error</t>
  </si>
  <si>
    <t>Corrected Signed  Integer Error</t>
  </si>
  <si>
    <t>Int Multiplier Recommendation A:</t>
  </si>
  <si>
    <t>Int Multiplier Recommendation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</si>
</sst>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k\Ω"/>
  </numFmts>
  <fonts count="22" x14ac:knownFonts="1">
    <font>
      <sz val="10"/>
      <color rgb="FF000000"/>
      <name val="Arial"/>
    </font>
    <font>
      <b/>
      <sz val="10"/>
      <name val="Arial"/>
    </font>
    <font>
      <sz val="10"/>
      <name val="Arial"/>
    </font>
    <font>
      <sz val="14"/>
      <name val="Arial"/>
    </font>
    <font>
      <b/>
      <sz val="10"/>
      <color rgb="FFEFEFEF"/>
      <name val="Arial"/>
    </font>
    <font>
      <b/>
      <sz val="10"/>
      <name val="Arial"/>
    </font>
    <font>
      <sz val="10"/>
      <name val="Arial"/>
    </font>
    <font>
      <sz val="11"/>
      <color rgb="FF000000"/>
      <name val="Inconsolata"/>
    </font>
    <font>
      <b/>
      <sz val="10"/>
      <color rgb="FF000000"/>
      <name val="Arial"/>
    </font>
    <font>
      <b/>
      <sz val="14"/>
      <name val="Arial"/>
    </font>
    <font>
      <sz val="8"/>
      <name val="Courier New"/>
    </font>
    <font>
      <b/>
      <sz val="10"/>
      <color rgb="FF000000"/>
      <name val="Arial"/>
    </font>
    <font>
      <sz val="10"/>
      <color rgb="FF000000"/>
      <name val="Inconsolata"/>
    </font>
    <font>
      <b/>
      <sz val="11"/>
      <color rgb="FF000000"/>
      <name val="Inconsolata"/>
    </font>
    <font>
      <sz val="10"/>
      <color rgb="FF333333"/>
      <name val="Arial"/>
    </font>
    <font>
      <sz val="10"/>
      <color rgb="FF4285F4"/>
      <name val="Arial"/>
    </font>
    <font>
      <sz val="12"/>
      <color rgb="FFFF0000"/>
      <name val="Arial"/>
    </font>
    <font>
      <sz val="12"/>
      <name val="Arial"/>
    </font>
    <font>
      <b/>
      <sz val="10"/>
      <color rgb="FFFF0000"/>
      <name val="Arial"/>
    </font>
    <font>
      <b/>
      <sz val="10"/>
      <name val="Courier New"/>
    </font>
    <font>
      <b/>
      <i/>
      <u/>
      <sz val="10"/>
      <name val="Arial"/>
    </font>
    <font>
      <b/>
      <u/>
      <sz val="10"/>
      <name val="Arial"/>
    </font>
  </fonts>
  <fills count="14">
    <fill>
      <patternFill patternType="none"/>
    </fill>
    <fill>
      <patternFill patternType="gray125"/>
    </fill>
    <fill>
      <patternFill patternType="solid">
        <fgColor rgb="FFD9D9D9"/>
        <bgColor rgb="FFD9D9D9"/>
      </patternFill>
    </fill>
    <fill>
      <patternFill patternType="solid">
        <fgColor rgb="FF4A86E8"/>
        <bgColor rgb="FF4A86E8"/>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3C47D"/>
        <bgColor rgb="FF93C47D"/>
      </patternFill>
    </fill>
    <fill>
      <patternFill patternType="solid">
        <fgColor rgb="FFCCCCCC"/>
        <bgColor rgb="FFCCCCCC"/>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00">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2" borderId="1" xfId="0" applyFont="1" applyFill="1" applyBorder="1" applyAlignment="1">
      <alignment vertical="center" wrapText="1"/>
    </xf>
    <xf numFmtId="0" fontId="3" fillId="2" borderId="2" xfId="0" applyFont="1" applyFill="1" applyBorder="1" applyAlignment="1">
      <alignment horizontal="right" vertical="center" wrapText="1"/>
    </xf>
    <xf numFmtId="0" fontId="2" fillId="2" borderId="2" xfId="0" applyFont="1" applyFill="1" applyBorder="1" applyAlignment="1">
      <alignment wrapText="1"/>
    </xf>
    <xf numFmtId="0" fontId="2" fillId="2" borderId="3" xfId="0" applyFont="1" applyFill="1" applyBorder="1" applyAlignment="1">
      <alignment wrapText="1"/>
    </xf>
    <xf numFmtId="0" fontId="4" fillId="3" borderId="1" xfId="0" applyFont="1" applyFill="1" applyBorder="1" applyAlignment="1">
      <alignment horizontal="right" wrapText="1"/>
    </xf>
    <xf numFmtId="0" fontId="4" fillId="3" borderId="2" xfId="0" applyFont="1" applyFill="1" applyBorder="1" applyAlignment="1">
      <alignment horizontal="right" wrapText="1"/>
    </xf>
    <xf numFmtId="0" fontId="4" fillId="3" borderId="3" xfId="0" applyFont="1" applyFill="1" applyBorder="1" applyAlignment="1">
      <alignment horizontal="right" wrapText="1"/>
    </xf>
    <xf numFmtId="0" fontId="5" fillId="4" borderId="2" xfId="0" applyFont="1" applyFill="1" applyBorder="1" applyAlignment="1">
      <alignment horizontal="right" wrapText="1"/>
    </xf>
    <xf numFmtId="0" fontId="5" fillId="4" borderId="3" xfId="0" applyFont="1" applyFill="1" applyBorder="1" applyAlignment="1">
      <alignment horizontal="right" wrapText="1"/>
    </xf>
    <xf numFmtId="0" fontId="5" fillId="5" borderId="2" xfId="0" applyFont="1" applyFill="1" applyBorder="1" applyAlignment="1">
      <alignment horizontal="right" wrapText="1"/>
    </xf>
    <xf numFmtId="0" fontId="5" fillId="5" borderId="3" xfId="0" applyFont="1" applyFill="1" applyBorder="1" applyAlignment="1">
      <alignment horizontal="right" wrapText="1"/>
    </xf>
    <xf numFmtId="0" fontId="4" fillId="6" borderId="2" xfId="0" applyFont="1" applyFill="1" applyBorder="1" applyAlignment="1">
      <alignment horizontal="right" wrapText="1"/>
    </xf>
    <xf numFmtId="0" fontId="2" fillId="0" borderId="4" xfId="0" applyFont="1" applyBorder="1" applyAlignment="1">
      <alignment wrapText="1"/>
    </xf>
    <xf numFmtId="0" fontId="2" fillId="0" borderId="4" xfId="0" applyFont="1" applyBorder="1" applyAlignment="1">
      <alignment horizontal="right" wrapText="1"/>
    </xf>
    <xf numFmtId="0" fontId="2" fillId="0" borderId="0" xfId="0" applyFont="1" applyAlignment="1">
      <alignment horizontal="right" wrapText="1"/>
    </xf>
    <xf numFmtId="0" fontId="2" fillId="0" borderId="5" xfId="0" applyFont="1" applyBorder="1" applyAlignment="1">
      <alignment horizontal="right" wrapText="1"/>
    </xf>
    <xf numFmtId="0" fontId="2" fillId="0" borderId="9" xfId="0" applyFont="1" applyBorder="1" applyAlignment="1">
      <alignment wrapText="1"/>
    </xf>
    <xf numFmtId="0" fontId="1" fillId="0" borderId="4" xfId="0" applyFont="1" applyBorder="1" applyAlignment="1">
      <alignment wrapText="1"/>
    </xf>
    <xf numFmtId="0" fontId="2" fillId="0" borderId="1" xfId="0" applyFont="1" applyBorder="1" applyAlignment="1">
      <alignment wrapText="1"/>
    </xf>
    <xf numFmtId="0" fontId="2" fillId="2" borderId="10" xfId="0" applyFont="1" applyFill="1" applyBorder="1" applyAlignment="1">
      <alignment wrapText="1"/>
    </xf>
    <xf numFmtId="0" fontId="1" fillId="0" borderId="9" xfId="0" applyFont="1" applyBorder="1" applyAlignment="1">
      <alignment wrapText="1"/>
    </xf>
    <xf numFmtId="0" fontId="2" fillId="2" borderId="11" xfId="0" applyFont="1" applyFill="1" applyBorder="1" applyAlignment="1">
      <alignment wrapText="1"/>
    </xf>
    <xf numFmtId="0" fontId="2" fillId="0" borderId="8" xfId="0" applyFont="1" applyBorder="1" applyAlignment="1">
      <alignment wrapText="1"/>
    </xf>
    <xf numFmtId="164" fontId="2" fillId="0" borderId="0" xfId="0" applyNumberFormat="1" applyFont="1" applyAlignment="1">
      <alignment horizontal="right" wrapText="1"/>
    </xf>
    <xf numFmtId="0" fontId="5" fillId="0" borderId="4" xfId="0" applyFont="1" applyBorder="1" applyAlignment="1">
      <alignment wrapText="1"/>
    </xf>
    <xf numFmtId="0" fontId="2" fillId="8" borderId="14" xfId="0" applyFont="1" applyFill="1" applyBorder="1" applyAlignment="1">
      <alignment horizontal="right" wrapText="1"/>
    </xf>
    <xf numFmtId="0" fontId="5" fillId="0" borderId="0" xfId="0" applyFont="1" applyAlignment="1">
      <alignment wrapText="1"/>
    </xf>
    <xf numFmtId="0" fontId="2" fillId="8" borderId="10" xfId="0" applyFont="1" applyFill="1" applyBorder="1" applyAlignment="1">
      <alignment wrapText="1"/>
    </xf>
    <xf numFmtId="0" fontId="2" fillId="8" borderId="10" xfId="0" applyFont="1" applyFill="1" applyBorder="1" applyAlignment="1">
      <alignment horizontal="right" wrapText="1"/>
    </xf>
    <xf numFmtId="0" fontId="2" fillId="8" borderId="11" xfId="0" applyFont="1" applyFill="1" applyBorder="1" applyAlignment="1">
      <alignment wrapText="1"/>
    </xf>
    <xf numFmtId="0" fontId="1" fillId="0" borderId="4" xfId="0" applyFont="1" applyBorder="1" applyAlignment="1">
      <alignment vertical="top" wrapText="1"/>
    </xf>
    <xf numFmtId="165" fontId="2" fillId="0" borderId="10" xfId="0" applyNumberFormat="1" applyFont="1" applyBorder="1" applyAlignment="1">
      <alignment wrapText="1"/>
    </xf>
    <xf numFmtId="0" fontId="0" fillId="10" borderId="0" xfId="0" applyFont="1" applyFill="1" applyAlignment="1">
      <alignment wrapText="1"/>
    </xf>
    <xf numFmtId="0" fontId="5" fillId="0" borderId="12" xfId="0" applyFont="1" applyBorder="1" applyAlignment="1">
      <alignment wrapText="1"/>
    </xf>
    <xf numFmtId="0" fontId="6" fillId="0" borderId="10" xfId="0" applyFont="1" applyBorder="1" applyAlignment="1">
      <alignment vertical="top" wrapText="1"/>
    </xf>
    <xf numFmtId="0" fontId="2" fillId="10" borderId="0" xfId="0" applyFont="1" applyFill="1" applyAlignment="1">
      <alignment wrapText="1"/>
    </xf>
    <xf numFmtId="0" fontId="1" fillId="0" borderId="0" xfId="0" applyFont="1" applyAlignment="1">
      <alignment vertical="top" wrapText="1"/>
    </xf>
    <xf numFmtId="0" fontId="6" fillId="0" borderId="0" xfId="0" applyFont="1" applyAlignment="1">
      <alignment vertical="top" wrapText="1"/>
    </xf>
    <xf numFmtId="0" fontId="6" fillId="2" borderId="10" xfId="0" applyFont="1" applyFill="1" applyBorder="1" applyAlignment="1">
      <alignment vertical="top" wrapText="1"/>
    </xf>
    <xf numFmtId="0" fontId="1" fillId="0" borderId="12" xfId="0" applyFont="1" applyBorder="1" applyAlignment="1">
      <alignment vertical="top" wrapText="1"/>
    </xf>
    <xf numFmtId="0" fontId="6" fillId="8" borderId="10" xfId="0" applyFont="1" applyFill="1" applyBorder="1" applyAlignment="1">
      <alignment vertical="top" wrapText="1"/>
    </xf>
    <xf numFmtId="0" fontId="7" fillId="11" borderId="0" xfId="0" applyFont="1" applyFill="1" applyAlignment="1">
      <alignment wrapText="1"/>
    </xf>
    <xf numFmtId="0" fontId="1" fillId="0" borderId="9" xfId="0" applyFont="1" applyBorder="1" applyAlignment="1">
      <alignment vertical="top" wrapText="1"/>
    </xf>
    <xf numFmtId="0" fontId="6" fillId="11" borderId="10" xfId="0" applyFont="1" applyFill="1" applyBorder="1" applyAlignment="1">
      <alignment horizontal="right" vertical="top" wrapText="1"/>
    </xf>
    <xf numFmtId="0" fontId="2" fillId="0" borderId="10" xfId="0" applyFont="1" applyBorder="1" applyAlignment="1">
      <alignment horizontal="right" wrapText="1"/>
    </xf>
    <xf numFmtId="0" fontId="2" fillId="0" borderId="11" xfId="0" applyFont="1" applyBorder="1" applyAlignment="1">
      <alignment horizontal="right" wrapText="1"/>
    </xf>
    <xf numFmtId="0" fontId="8" fillId="11" borderId="4" xfId="0" applyFont="1" applyFill="1" applyBorder="1" applyAlignment="1">
      <alignment wrapText="1"/>
    </xf>
    <xf numFmtId="1" fontId="2" fillId="2" borderId="10" xfId="0" applyNumberFormat="1" applyFont="1" applyFill="1" applyBorder="1" applyAlignment="1">
      <alignment wrapText="1"/>
    </xf>
    <xf numFmtId="0" fontId="2" fillId="0" borderId="12" xfId="0" applyFont="1" applyBorder="1" applyAlignment="1">
      <alignment horizontal="right" wrapText="1"/>
    </xf>
    <xf numFmtId="0" fontId="2" fillId="0" borderId="13" xfId="0" applyFont="1" applyBorder="1" applyAlignment="1">
      <alignment horizontal="right" wrapText="1"/>
    </xf>
    <xf numFmtId="0" fontId="2" fillId="0" borderId="14" xfId="0" applyFont="1" applyBorder="1" applyAlignment="1">
      <alignment horizontal="right" wrapText="1"/>
    </xf>
    <xf numFmtId="0" fontId="6" fillId="0" borderId="15" xfId="0" applyFont="1" applyBorder="1" applyAlignment="1">
      <alignment horizontal="right" vertical="top" wrapText="1"/>
    </xf>
    <xf numFmtId="0" fontId="2" fillId="0" borderId="5"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5" fillId="0" borderId="0" xfId="0" applyFont="1" applyAlignment="1">
      <alignment horizontal="right" wrapText="1"/>
    </xf>
    <xf numFmtId="0" fontId="2" fillId="0" borderId="0" xfId="0" applyFont="1" applyAlignment="1">
      <alignment horizontal="left" wrapText="1"/>
    </xf>
    <xf numFmtId="0" fontId="11" fillId="11" borderId="0" xfId="0" applyFont="1" applyFill="1" applyAlignment="1">
      <alignment horizontal="right" wrapText="1"/>
    </xf>
    <xf numFmtId="2" fontId="2" fillId="0" borderId="0" xfId="0" applyNumberFormat="1" applyFont="1" applyAlignment="1">
      <alignment wrapText="1"/>
    </xf>
    <xf numFmtId="2" fontId="7" fillId="11" borderId="0" xfId="0" applyNumberFormat="1" applyFont="1" applyFill="1" applyAlignment="1">
      <alignment wrapText="1"/>
    </xf>
    <xf numFmtId="0" fontId="12" fillId="11" borderId="0" xfId="0" applyFont="1" applyFill="1" applyAlignment="1">
      <alignment wrapText="1"/>
    </xf>
    <xf numFmtId="2" fontId="12" fillId="11" borderId="0" xfId="0" applyNumberFormat="1" applyFont="1" applyFill="1" applyAlignment="1">
      <alignment wrapText="1"/>
    </xf>
    <xf numFmtId="0" fontId="14" fillId="11" borderId="0" xfId="0" applyFont="1" applyFill="1" applyAlignment="1">
      <alignment horizontal="left" wrapText="1"/>
    </xf>
    <xf numFmtId="0" fontId="15" fillId="11" borderId="0" xfId="0" applyFont="1" applyFill="1" applyAlignment="1">
      <alignment horizontal="left" wrapText="1"/>
    </xf>
    <xf numFmtId="0" fontId="2" fillId="9" borderId="4" xfId="0" applyFont="1" applyFill="1" applyBorder="1" applyAlignment="1">
      <alignment wrapText="1"/>
    </xf>
    <xf numFmtId="0" fontId="0" fillId="0" borderId="0" xfId="0" applyFont="1" applyAlignment="1">
      <alignment wrapText="1"/>
    </xf>
    <xf numFmtId="0" fontId="2" fillId="0" borderId="5" xfId="0" applyFont="1" applyBorder="1" applyAlignment="1">
      <alignment wrapText="1"/>
    </xf>
    <xf numFmtId="0" fontId="1" fillId="2" borderId="6" xfId="0" applyFont="1" applyFill="1" applyBorder="1" applyAlignment="1">
      <alignment wrapText="1"/>
    </xf>
    <xf numFmtId="0" fontId="2" fillId="0" borderId="7" xfId="0" applyFont="1" applyBorder="1" applyAlignment="1">
      <alignment wrapText="1"/>
    </xf>
    <xf numFmtId="0" fontId="1" fillId="0" borderId="0" xfId="0" applyFont="1" applyAlignment="1">
      <alignment wrapText="1"/>
    </xf>
    <xf numFmtId="0" fontId="2" fillId="7" borderId="0" xfId="0" applyFont="1" applyFill="1" applyAlignment="1">
      <alignment wrapText="1"/>
    </xf>
    <xf numFmtId="0" fontId="1" fillId="8" borderId="6" xfId="0" applyFont="1" applyFill="1" applyBorder="1" applyAlignment="1">
      <alignment wrapText="1"/>
    </xf>
    <xf numFmtId="0" fontId="5" fillId="9" borderId="6" xfId="0" applyFont="1" applyFill="1" applyBorder="1" applyAlignment="1">
      <alignment vertical="top" wrapText="1"/>
    </xf>
    <xf numFmtId="0" fontId="2" fillId="0" borderId="8" xfId="0" applyFont="1" applyBorder="1" applyAlignment="1">
      <alignment wrapText="1"/>
    </xf>
    <xf numFmtId="0" fontId="2" fillId="0" borderId="4" xfId="0" applyFont="1" applyBorder="1" applyAlignment="1">
      <alignment wrapText="1"/>
    </xf>
    <xf numFmtId="0" fontId="2" fillId="10" borderId="0" xfId="0" applyFont="1" applyFill="1" applyAlignment="1">
      <alignment vertical="top" wrapText="1"/>
    </xf>
    <xf numFmtId="0" fontId="2" fillId="0" borderId="13" xfId="0" applyFont="1" applyBorder="1" applyAlignment="1">
      <alignment wrapText="1"/>
    </xf>
    <xf numFmtId="0" fontId="6" fillId="10" borderId="0" xfId="0" applyFont="1" applyFill="1" applyAlignment="1">
      <alignment vertical="top" wrapText="1"/>
    </xf>
    <xf numFmtId="0" fontId="5" fillId="0" borderId="0" xfId="0" applyFont="1" applyAlignment="1">
      <alignment horizontal="right" wrapText="1"/>
    </xf>
    <xf numFmtId="0" fontId="1" fillId="0" borderId="4" xfId="0" applyFont="1" applyBorder="1" applyAlignment="1">
      <alignment horizontal="right" vertical="top" wrapText="1"/>
    </xf>
    <xf numFmtId="0" fontId="1" fillId="12" borderId="4" xfId="0" applyFont="1" applyFill="1" applyBorder="1" applyAlignment="1">
      <alignment vertical="top" wrapText="1"/>
    </xf>
    <xf numFmtId="0" fontId="6" fillId="0" borderId="4" xfId="0" applyFont="1" applyBorder="1" applyAlignment="1">
      <alignment horizontal="center" vertical="top" wrapText="1"/>
    </xf>
    <xf numFmtId="0" fontId="1" fillId="12" borderId="6" xfId="0" applyFont="1" applyFill="1" applyBorder="1" applyAlignment="1">
      <alignment vertical="top" wrapText="1"/>
    </xf>
    <xf numFmtId="0" fontId="9" fillId="0" borderId="6" xfId="0" applyFont="1" applyBorder="1" applyAlignment="1">
      <alignment wrapText="1"/>
    </xf>
    <xf numFmtId="0" fontId="10" fillId="13" borderId="1" xfId="0" applyFont="1" applyFill="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0" xfId="0" applyFont="1" applyAlignment="1">
      <alignment wrapText="1"/>
    </xf>
    <xf numFmtId="0" fontId="13" fillId="11" borderId="0" xfId="0" applyFont="1" applyFill="1" applyAlignment="1">
      <alignment wrapText="1"/>
    </xf>
    <xf numFmtId="0" fontId="2" fillId="9" borderId="12" xfId="0" applyFont="1" applyFill="1" applyBorder="1" applyAlignment="1">
      <alignment wrapText="1"/>
    </xf>
    <xf numFmtId="0" fontId="2" fillId="0" borderId="14" xfId="0" applyFont="1" applyBorder="1" applyAlignment="1">
      <alignment wrapText="1"/>
    </xf>
    <xf numFmtId="0" fontId="5" fillId="10" borderId="0" xfId="0" applyFont="1" applyFill="1" applyAlignment="1">
      <alignment horizontal="right" wrapText="1"/>
    </xf>
    <xf numFmtId="0" fontId="2" fillId="9" borderId="6" xfId="0" applyFont="1" applyFill="1" applyBorder="1" applyAlignment="1">
      <alignment vertical="top" wrapText="1"/>
    </xf>
    <xf numFmtId="0" fontId="2" fillId="0" borderId="12" xfId="0" applyFont="1" applyBorder="1" applyAlignment="1">
      <alignment wrapText="1"/>
    </xf>
    <xf numFmtId="0" fontId="5" fillId="9" borderId="6" xfId="0" applyFont="1" applyFill="1" applyBorder="1" applyAlignment="1">
      <alignment wrapText="1"/>
    </xf>
    <xf numFmtId="0" fontId="2" fillId="9" borderId="6" xfId="0" applyFont="1" applyFill="1" applyBorder="1" applyAlignment="1">
      <alignment wrapText="1"/>
    </xf>
  </cellXfs>
  <cellStyles count="1">
    <cellStyle name="Normal" xfId="0" builtinId="0"/>
  </cellStyles>
  <dxfs count="4">
    <dxf>
      <font>
        <color rgb="FFFFFFFF"/>
      </font>
      <fill>
        <patternFill patternType="solid">
          <fgColor rgb="FFFF0000"/>
          <bgColor rgb="FFFF0000"/>
        </patternFill>
      </fill>
    </dxf>
    <dxf>
      <fill>
        <patternFill patternType="solid">
          <fgColor rgb="FFB7E1CD"/>
          <bgColor rgb="FFB7E1CD"/>
        </patternFill>
      </fill>
    </dxf>
    <dxf>
      <font>
        <color rgb="FFD9D9D9"/>
      </font>
      <fill>
        <patternFill patternType="solid">
          <fgColor rgb="FFFFFFFF"/>
          <bgColor rgb="FFFFFFFF"/>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000000"/>
                </a:solidFill>
                <a:latin typeface="Roboto"/>
              </a:defRPr>
            </a:pPr>
            <a:r>
              <a:rPr lang="es-ES"/>
              <a:t>Float Approximation Error</a:t>
            </a:r>
          </a:p>
        </c:rich>
      </c:tx>
      <c:overlay val="0"/>
    </c:title>
    <c:autoTitleDeleted val="0"/>
    <c:plotArea>
      <c:layout>
        <c:manualLayout>
          <c:xMode val="edge"/>
          <c:yMode val="edge"/>
          <c:x val="0.19016"/>
          <c:y val="0.19047999999999998"/>
          <c:w val="0.75409999999999999"/>
          <c:h val="0.61904999999999999"/>
        </c:manualLayout>
      </c:layout>
      <c:areaChart>
        <c:grouping val="stacked"/>
        <c:varyColors val="1"/>
        <c:ser>
          <c:idx val="0"/>
          <c:order val="0"/>
          <c:tx>
            <c:strRef>
              <c:f>Sheet0!$I$54</c:f>
              <c:strCache>
                <c:ptCount val="1"/>
                <c:pt idx="0">
                  <c:v>Signed Float Error</c:v>
                </c:pt>
              </c:strCache>
            </c:strRef>
          </c:tx>
          <c:spPr>
            <a:solidFill>
              <a:srgbClr val="3366CC">
                <a:alpha val="30000"/>
              </a:srgbClr>
            </a:solidFill>
            <a:ln w="19050" cmpd="sng">
              <a:solidFill>
                <a:srgbClr val="3366CC"/>
              </a:solidFill>
              <a:prstDash val="solid"/>
            </a:ln>
          </c:spPr>
          <c:cat>
            <c:numRef>
              <c:f>Sheet0!$H$55:$H$155</c:f>
              <c:numCache>
                <c:formatCode>General</c:formatCode>
                <c:ptCount val="101"/>
                <c:pt idx="0">
                  <c:v>1</c:v>
                </c:pt>
                <c:pt idx="1">
                  <c:v>1.3900000000000001</c:v>
                </c:pt>
                <c:pt idx="2">
                  <c:v>1.7800000000000002</c:v>
                </c:pt>
                <c:pt idx="3">
                  <c:v>2.1700000000000004</c:v>
                </c:pt>
                <c:pt idx="4">
                  <c:v>2.5600000000000005</c:v>
                </c:pt>
                <c:pt idx="5">
                  <c:v>2.9500000000000006</c:v>
                </c:pt>
                <c:pt idx="6">
                  <c:v>3.3400000000000007</c:v>
                </c:pt>
                <c:pt idx="7">
                  <c:v>3.7300000000000009</c:v>
                </c:pt>
                <c:pt idx="8">
                  <c:v>4.120000000000001</c:v>
                </c:pt>
                <c:pt idx="9">
                  <c:v>4.5100000000000007</c:v>
                </c:pt>
                <c:pt idx="10">
                  <c:v>4.9000000000000004</c:v>
                </c:pt>
                <c:pt idx="11">
                  <c:v>5.29</c:v>
                </c:pt>
                <c:pt idx="12">
                  <c:v>5.68</c:v>
                </c:pt>
                <c:pt idx="13">
                  <c:v>6.0699999999999994</c:v>
                </c:pt>
                <c:pt idx="14">
                  <c:v>6.4599999999999991</c:v>
                </c:pt>
                <c:pt idx="15">
                  <c:v>6.8499999999999988</c:v>
                </c:pt>
                <c:pt idx="16">
                  <c:v>7.2399999999999984</c:v>
                </c:pt>
                <c:pt idx="17">
                  <c:v>7.6299999999999981</c:v>
                </c:pt>
                <c:pt idx="18">
                  <c:v>8.0199999999999978</c:v>
                </c:pt>
                <c:pt idx="19">
                  <c:v>8.4099999999999984</c:v>
                </c:pt>
                <c:pt idx="20">
                  <c:v>8.7999999999999989</c:v>
                </c:pt>
                <c:pt idx="21">
                  <c:v>9.19</c:v>
                </c:pt>
                <c:pt idx="22">
                  <c:v>9.58</c:v>
                </c:pt>
                <c:pt idx="23">
                  <c:v>9.9700000000000006</c:v>
                </c:pt>
                <c:pt idx="24">
                  <c:v>10.360000000000001</c:v>
                </c:pt>
                <c:pt idx="25">
                  <c:v>10.750000000000002</c:v>
                </c:pt>
                <c:pt idx="26">
                  <c:v>11.140000000000002</c:v>
                </c:pt>
                <c:pt idx="27">
                  <c:v>11.530000000000003</c:v>
                </c:pt>
                <c:pt idx="28">
                  <c:v>11.920000000000003</c:v>
                </c:pt>
                <c:pt idx="29">
                  <c:v>12.310000000000004</c:v>
                </c:pt>
                <c:pt idx="30">
                  <c:v>12.700000000000005</c:v>
                </c:pt>
                <c:pt idx="31">
                  <c:v>13.090000000000005</c:v>
                </c:pt>
                <c:pt idx="32">
                  <c:v>13.480000000000006</c:v>
                </c:pt>
                <c:pt idx="33">
                  <c:v>13.870000000000006</c:v>
                </c:pt>
                <c:pt idx="34">
                  <c:v>14.260000000000007</c:v>
                </c:pt>
                <c:pt idx="35">
                  <c:v>14.650000000000007</c:v>
                </c:pt>
                <c:pt idx="36">
                  <c:v>15.040000000000008</c:v>
                </c:pt>
                <c:pt idx="37">
                  <c:v>15.430000000000009</c:v>
                </c:pt>
                <c:pt idx="38">
                  <c:v>15.820000000000009</c:v>
                </c:pt>
                <c:pt idx="39">
                  <c:v>16.210000000000008</c:v>
                </c:pt>
                <c:pt idx="40">
                  <c:v>16.600000000000009</c:v>
                </c:pt>
                <c:pt idx="41">
                  <c:v>16.990000000000009</c:v>
                </c:pt>
                <c:pt idx="42">
                  <c:v>17.38000000000001</c:v>
                </c:pt>
                <c:pt idx="43">
                  <c:v>17.77000000000001</c:v>
                </c:pt>
                <c:pt idx="44">
                  <c:v>18.160000000000011</c:v>
                </c:pt>
                <c:pt idx="45">
                  <c:v>18.550000000000011</c:v>
                </c:pt>
                <c:pt idx="46">
                  <c:v>18.940000000000012</c:v>
                </c:pt>
                <c:pt idx="47">
                  <c:v>19.330000000000013</c:v>
                </c:pt>
                <c:pt idx="48">
                  <c:v>19.720000000000013</c:v>
                </c:pt>
                <c:pt idx="49">
                  <c:v>20.110000000000014</c:v>
                </c:pt>
                <c:pt idx="50">
                  <c:v>20.500000000000014</c:v>
                </c:pt>
                <c:pt idx="51">
                  <c:v>20.890000000000015</c:v>
                </c:pt>
                <c:pt idx="52">
                  <c:v>21.280000000000015</c:v>
                </c:pt>
                <c:pt idx="53">
                  <c:v>21.670000000000016</c:v>
                </c:pt>
                <c:pt idx="54">
                  <c:v>22.060000000000016</c:v>
                </c:pt>
                <c:pt idx="55">
                  <c:v>22.450000000000017</c:v>
                </c:pt>
                <c:pt idx="56">
                  <c:v>22.840000000000018</c:v>
                </c:pt>
                <c:pt idx="57">
                  <c:v>23.230000000000018</c:v>
                </c:pt>
                <c:pt idx="58">
                  <c:v>23.620000000000019</c:v>
                </c:pt>
                <c:pt idx="59">
                  <c:v>24.010000000000019</c:v>
                </c:pt>
                <c:pt idx="60">
                  <c:v>24.40000000000002</c:v>
                </c:pt>
                <c:pt idx="61">
                  <c:v>24.79000000000002</c:v>
                </c:pt>
                <c:pt idx="62">
                  <c:v>25.180000000000021</c:v>
                </c:pt>
                <c:pt idx="63">
                  <c:v>25.570000000000022</c:v>
                </c:pt>
                <c:pt idx="64">
                  <c:v>25.960000000000022</c:v>
                </c:pt>
                <c:pt idx="65">
                  <c:v>26.350000000000023</c:v>
                </c:pt>
                <c:pt idx="66">
                  <c:v>26.740000000000023</c:v>
                </c:pt>
                <c:pt idx="67">
                  <c:v>27.130000000000024</c:v>
                </c:pt>
                <c:pt idx="68">
                  <c:v>27.520000000000024</c:v>
                </c:pt>
                <c:pt idx="69">
                  <c:v>27.910000000000025</c:v>
                </c:pt>
                <c:pt idx="70">
                  <c:v>28.300000000000026</c:v>
                </c:pt>
                <c:pt idx="71">
                  <c:v>28.690000000000026</c:v>
                </c:pt>
                <c:pt idx="72">
                  <c:v>29.080000000000027</c:v>
                </c:pt>
                <c:pt idx="73">
                  <c:v>29.470000000000027</c:v>
                </c:pt>
                <c:pt idx="74">
                  <c:v>29.860000000000028</c:v>
                </c:pt>
                <c:pt idx="75">
                  <c:v>30.250000000000028</c:v>
                </c:pt>
                <c:pt idx="76">
                  <c:v>30.640000000000029</c:v>
                </c:pt>
                <c:pt idx="77">
                  <c:v>31.03000000000003</c:v>
                </c:pt>
                <c:pt idx="78">
                  <c:v>31.42000000000003</c:v>
                </c:pt>
                <c:pt idx="79">
                  <c:v>31.810000000000031</c:v>
                </c:pt>
                <c:pt idx="80">
                  <c:v>32.200000000000031</c:v>
                </c:pt>
                <c:pt idx="81">
                  <c:v>32.590000000000032</c:v>
                </c:pt>
                <c:pt idx="82">
                  <c:v>32.980000000000032</c:v>
                </c:pt>
                <c:pt idx="83">
                  <c:v>33.370000000000033</c:v>
                </c:pt>
                <c:pt idx="84">
                  <c:v>33.760000000000034</c:v>
                </c:pt>
                <c:pt idx="85">
                  <c:v>34.150000000000034</c:v>
                </c:pt>
                <c:pt idx="86">
                  <c:v>34.540000000000035</c:v>
                </c:pt>
                <c:pt idx="87">
                  <c:v>34.930000000000035</c:v>
                </c:pt>
                <c:pt idx="88">
                  <c:v>35.320000000000036</c:v>
                </c:pt>
                <c:pt idx="89">
                  <c:v>35.710000000000036</c:v>
                </c:pt>
                <c:pt idx="90">
                  <c:v>36.100000000000037</c:v>
                </c:pt>
                <c:pt idx="91">
                  <c:v>36.490000000000038</c:v>
                </c:pt>
                <c:pt idx="92">
                  <c:v>36.880000000000038</c:v>
                </c:pt>
                <c:pt idx="93">
                  <c:v>37.270000000000039</c:v>
                </c:pt>
                <c:pt idx="94">
                  <c:v>37.660000000000039</c:v>
                </c:pt>
                <c:pt idx="95">
                  <c:v>38.05000000000004</c:v>
                </c:pt>
                <c:pt idx="96">
                  <c:v>38.44000000000004</c:v>
                </c:pt>
                <c:pt idx="97">
                  <c:v>38.830000000000041</c:v>
                </c:pt>
                <c:pt idx="98">
                  <c:v>39.220000000000041</c:v>
                </c:pt>
                <c:pt idx="99">
                  <c:v>39.610000000000042</c:v>
                </c:pt>
                <c:pt idx="100">
                  <c:v>40.000000000000043</c:v>
                </c:pt>
              </c:numCache>
            </c:numRef>
          </c:cat>
          <c:val>
            <c:numRef>
              <c:f>Sheet0!$I$55:$I$155</c:f>
              <c:numCache>
                <c:formatCode>0.00</c:formatCode>
                <c:ptCount val="101"/>
                <c:pt idx="0">
                  <c:v>3.4037089890452581</c:v>
                </c:pt>
                <c:pt idx="1">
                  <c:v>3.2362647595121339</c:v>
                </c:pt>
                <c:pt idx="2">
                  <c:v>3.0243093758856334</c:v>
                </c:pt>
                <c:pt idx="3">
                  <c:v>2.8568651463525092</c:v>
                </c:pt>
                <c:pt idx="4">
                  <c:v>2.6894209168193832</c:v>
                </c:pt>
                <c:pt idx="5">
                  <c:v>2.521976687286259</c:v>
                </c:pt>
                <c:pt idx="6">
                  <c:v>2.3545324577531348</c:v>
                </c:pt>
                <c:pt idx="7">
                  <c:v>2.1870882282200088</c:v>
                </c:pt>
                <c:pt idx="8">
                  <c:v>2.0196439986868846</c:v>
                </c:pt>
                <c:pt idx="9">
                  <c:v>1.8521997691537591</c:v>
                </c:pt>
                <c:pt idx="10">
                  <c:v>1.6847555396206353</c:v>
                </c:pt>
                <c:pt idx="11">
                  <c:v>1.5173113100875115</c:v>
                </c:pt>
                <c:pt idx="12">
                  <c:v>1.3943782346477605</c:v>
                </c:pt>
                <c:pt idx="13">
                  <c:v>1.2269340051146367</c:v>
                </c:pt>
                <c:pt idx="14">
                  <c:v>1.1040009296748874</c:v>
                </c:pt>
                <c:pt idx="15">
                  <c:v>0.93655670014176362</c:v>
                </c:pt>
                <c:pt idx="16">
                  <c:v>0.81362362470201433</c:v>
                </c:pt>
                <c:pt idx="17">
                  <c:v>0.69069054926226325</c:v>
                </c:pt>
                <c:pt idx="18">
                  <c:v>0.56775747382251396</c:v>
                </c:pt>
                <c:pt idx="19">
                  <c:v>0.44482439838276377</c:v>
                </c:pt>
                <c:pt idx="20">
                  <c:v>0.32189132294301359</c:v>
                </c:pt>
                <c:pt idx="21">
                  <c:v>0.19895824750326341</c:v>
                </c:pt>
                <c:pt idx="22">
                  <c:v>7.6025172063513224E-2</c:v>
                </c:pt>
                <c:pt idx="23">
                  <c:v>-4.6907903376236959E-2</c:v>
                </c:pt>
                <c:pt idx="24">
                  <c:v>-0.16984097881598892</c:v>
                </c:pt>
                <c:pt idx="25">
                  <c:v>-0.24826290016236108</c:v>
                </c:pt>
                <c:pt idx="26">
                  <c:v>-0.37119597560211126</c:v>
                </c:pt>
                <c:pt idx="27">
                  <c:v>-0.44961789694848697</c:v>
                </c:pt>
                <c:pt idx="28">
                  <c:v>-0.52803981829486268</c:v>
                </c:pt>
                <c:pt idx="29">
                  <c:v>-0.65097289373461287</c:v>
                </c:pt>
                <c:pt idx="30">
                  <c:v>-0.72939481508098858</c:v>
                </c:pt>
                <c:pt idx="31">
                  <c:v>-0.80781673642736429</c:v>
                </c:pt>
                <c:pt idx="32">
                  <c:v>-0.88623865777374</c:v>
                </c:pt>
                <c:pt idx="33">
                  <c:v>-0.96466057912011571</c:v>
                </c:pt>
                <c:pt idx="34">
                  <c:v>-1.0430825004664914</c:v>
                </c:pt>
                <c:pt idx="35">
                  <c:v>-1.0769932677194891</c:v>
                </c:pt>
                <c:pt idx="36">
                  <c:v>-1.1554151890658648</c:v>
                </c:pt>
                <c:pt idx="37">
                  <c:v>-1.2338371104122405</c:v>
                </c:pt>
                <c:pt idx="38">
                  <c:v>-1.2677478776652418</c:v>
                </c:pt>
                <c:pt idx="39">
                  <c:v>-1.3461697990116157</c:v>
                </c:pt>
                <c:pt idx="40">
                  <c:v>-1.3800805662646134</c:v>
                </c:pt>
                <c:pt idx="41">
                  <c:v>-1.4139913335176146</c:v>
                </c:pt>
                <c:pt idx="42">
                  <c:v>-1.4479021007706159</c:v>
                </c:pt>
                <c:pt idx="43">
                  <c:v>-1.4818128680236171</c:v>
                </c:pt>
                <c:pt idx="44">
                  <c:v>-1.5157236352766148</c:v>
                </c:pt>
                <c:pt idx="45">
                  <c:v>-1.549634402529616</c:v>
                </c:pt>
                <c:pt idx="46">
                  <c:v>-1.5835451697826173</c:v>
                </c:pt>
                <c:pt idx="47">
                  <c:v>-1.617455937035615</c:v>
                </c:pt>
                <c:pt idx="48">
                  <c:v>-1.6068555501952417</c:v>
                </c:pt>
                <c:pt idx="49">
                  <c:v>-1.640766317448243</c:v>
                </c:pt>
                <c:pt idx="50">
                  <c:v>-1.6301659306078662</c:v>
                </c:pt>
                <c:pt idx="51">
                  <c:v>-1.619565543767493</c:v>
                </c:pt>
                <c:pt idx="52">
                  <c:v>-1.6534763110204942</c:v>
                </c:pt>
                <c:pt idx="53">
                  <c:v>-1.6428759241801174</c:v>
                </c:pt>
                <c:pt idx="54">
                  <c:v>-1.6322755373397442</c:v>
                </c:pt>
                <c:pt idx="55">
                  <c:v>-1.6216751504993674</c:v>
                </c:pt>
                <c:pt idx="56">
                  <c:v>-1.6110747636589942</c:v>
                </c:pt>
                <c:pt idx="57">
                  <c:v>-1.6004743768186174</c:v>
                </c:pt>
                <c:pt idx="58">
                  <c:v>-1.5453628358848697</c:v>
                </c:pt>
                <c:pt idx="59">
                  <c:v>-1.5347624490444929</c:v>
                </c:pt>
                <c:pt idx="60">
                  <c:v>-1.4796509081107452</c:v>
                </c:pt>
                <c:pt idx="61">
                  <c:v>-1.4690505212703684</c:v>
                </c:pt>
                <c:pt idx="62">
                  <c:v>-1.4139389803366207</c:v>
                </c:pt>
                <c:pt idx="63">
                  <c:v>-1.3588274394028694</c:v>
                </c:pt>
                <c:pt idx="64">
                  <c:v>-1.3482270525624962</c:v>
                </c:pt>
                <c:pt idx="65">
                  <c:v>-1.2931155116287449</c:v>
                </c:pt>
                <c:pt idx="66">
                  <c:v>-1.2380039706949937</c:v>
                </c:pt>
                <c:pt idx="67">
                  <c:v>-1.182892429761246</c:v>
                </c:pt>
                <c:pt idx="68">
                  <c:v>-1.1277808888274947</c:v>
                </c:pt>
                <c:pt idx="69">
                  <c:v>-1.0281581938003725</c:v>
                </c:pt>
                <c:pt idx="70">
                  <c:v>-0.97304665286662129</c:v>
                </c:pt>
                <c:pt idx="71">
                  <c:v>-0.91793511193287003</c:v>
                </c:pt>
                <c:pt idx="72">
                  <c:v>-0.81831241690574785</c:v>
                </c:pt>
                <c:pt idx="73">
                  <c:v>-0.71868972187861857</c:v>
                </c:pt>
                <c:pt idx="74">
                  <c:v>-0.66357818094487442</c:v>
                </c:pt>
                <c:pt idx="75">
                  <c:v>-0.56395548591774514</c:v>
                </c:pt>
                <c:pt idx="76">
                  <c:v>-0.46433279089062296</c:v>
                </c:pt>
                <c:pt idx="77">
                  <c:v>-0.36471009586349368</c:v>
                </c:pt>
                <c:pt idx="78">
                  <c:v>-0.2650874008363715</c:v>
                </c:pt>
                <c:pt idx="79">
                  <c:v>-0.16546470580924932</c:v>
                </c:pt>
                <c:pt idx="80">
                  <c:v>-6.5842010782120042E-2</c:v>
                </c:pt>
                <c:pt idx="81">
                  <c:v>3.3780684245002135E-2</c:v>
                </c:pt>
                <c:pt idx="82">
                  <c:v>0.13340337927212431</c:v>
                </c:pt>
                <c:pt idx="83">
                  <c:v>0.27753722839262451</c:v>
                </c:pt>
                <c:pt idx="84">
                  <c:v>0.3771599234197538</c:v>
                </c:pt>
                <c:pt idx="85">
                  <c:v>0.521293772540254</c:v>
                </c:pt>
                <c:pt idx="86">
                  <c:v>0.62091646756737617</c:v>
                </c:pt>
                <c:pt idx="87">
                  <c:v>0.76505031668787637</c:v>
                </c:pt>
                <c:pt idx="88">
                  <c:v>0.90918416580837658</c:v>
                </c:pt>
                <c:pt idx="89">
                  <c:v>1.0533180149288768</c:v>
                </c:pt>
                <c:pt idx="90">
                  <c:v>1.197451864049377</c:v>
                </c:pt>
                <c:pt idx="91">
                  <c:v>1.3415857131698772</c:v>
                </c:pt>
                <c:pt idx="92">
                  <c:v>1.4857195622903774</c:v>
                </c:pt>
                <c:pt idx="93">
                  <c:v>1.6298534114108776</c:v>
                </c:pt>
                <c:pt idx="94">
                  <c:v>1.7739872605313778</c:v>
                </c:pt>
                <c:pt idx="95">
                  <c:v>1.918121109651878</c:v>
                </c:pt>
                <c:pt idx="96">
                  <c:v>2.1067661128657491</c:v>
                </c:pt>
                <c:pt idx="97">
                  <c:v>2.2508999619862493</c:v>
                </c:pt>
                <c:pt idx="98">
                  <c:v>2.3950338111067495</c:v>
                </c:pt>
                <c:pt idx="99">
                  <c:v>2.5836788143206277</c:v>
                </c:pt>
                <c:pt idx="100">
                  <c:v>2.7278126634411279</c:v>
                </c:pt>
              </c:numCache>
            </c:numRef>
          </c:val>
          <c:extLst>
            <c:ext xmlns:c16="http://schemas.microsoft.com/office/drawing/2014/chart" uri="{C3380CC4-5D6E-409C-BE32-E72D297353CC}">
              <c16:uniqueId val="{00000000-A8CD-4ED2-86A1-F21197D0856C}"/>
            </c:ext>
          </c:extLst>
        </c:ser>
        <c:dLbls>
          <c:showLegendKey val="0"/>
          <c:showVal val="0"/>
          <c:showCatName val="0"/>
          <c:showSerName val="0"/>
          <c:showPercent val="0"/>
          <c:showBubbleSize val="0"/>
        </c:dLbls>
        <c:axId val="1921494670"/>
        <c:axId val="2111105979"/>
      </c:areaChart>
      <c:catAx>
        <c:axId val="1921494670"/>
        <c:scaling>
          <c:orientation val="minMax"/>
        </c:scaling>
        <c:delete val="0"/>
        <c:axPos val="b"/>
        <c:title>
          <c:tx>
            <c:rich>
              <a:bodyPr/>
              <a:lstStyle/>
              <a:p>
                <a:pPr lvl="0">
                  <a:defRPr b="0" i="0">
                    <a:solidFill>
                      <a:srgbClr val="000000"/>
                    </a:solidFill>
                    <a:latin typeface="Roboto"/>
                  </a:defRPr>
                </a:pPr>
                <a:r>
                  <a:rPr lang="es-ES"/>
                  <a:t>°C</a:t>
                </a:r>
              </a:p>
            </c:rich>
          </c:tx>
          <c:overlay val="0"/>
        </c:title>
        <c:numFmt formatCode="General" sourceLinked="1"/>
        <c:majorTickMark val="cross"/>
        <c:minorTickMark val="cross"/>
        <c:tickLblPos val="nextTo"/>
        <c:txPr>
          <a:bodyPr/>
          <a:lstStyle/>
          <a:p>
            <a:pPr lvl="0">
              <a:defRPr b="0" i="0">
                <a:solidFill>
                  <a:srgbClr val="000000"/>
                </a:solidFill>
                <a:latin typeface="Roboto"/>
              </a:defRPr>
            </a:pPr>
            <a:endParaRPr lang="es-ES"/>
          </a:p>
        </c:txPr>
        <c:crossAx val="2111105979"/>
        <c:crosses val="autoZero"/>
        <c:auto val="1"/>
        <c:lblAlgn val="ctr"/>
        <c:lblOffset val="100"/>
        <c:noMultiLvlLbl val="1"/>
      </c:catAx>
      <c:valAx>
        <c:axId val="2111105979"/>
        <c:scaling>
          <c:orientation val="minMax"/>
          <c:max val="2.5"/>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Roboto"/>
                  </a:defRPr>
                </a:pPr>
                <a:r>
                  <a:rPr lang="es-ES"/>
                  <a:t>Error °C</a:t>
                </a:r>
              </a:p>
            </c:rich>
          </c:tx>
          <c:overlay val="0"/>
        </c:title>
        <c:numFmt formatCode="0.00" sourceLinked="1"/>
        <c:majorTickMark val="cross"/>
        <c:minorTickMark val="cross"/>
        <c:tickLblPos val="nextTo"/>
        <c:spPr>
          <a:ln w="47625">
            <a:noFill/>
          </a:ln>
        </c:spPr>
        <c:txPr>
          <a:bodyPr/>
          <a:lstStyle/>
          <a:p>
            <a:pPr lvl="0">
              <a:defRPr b="0" i="0">
                <a:solidFill>
                  <a:srgbClr val="000000"/>
                </a:solidFill>
                <a:latin typeface="Roboto"/>
              </a:defRPr>
            </a:pPr>
            <a:endParaRPr lang="es-ES"/>
          </a:p>
        </c:txPr>
        <c:crossAx val="1921494670"/>
        <c:crosses val="autoZero"/>
        <c:crossBetween val="midCat"/>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000000"/>
                </a:solidFill>
                <a:latin typeface="Roboto"/>
              </a:defRPr>
            </a:pPr>
            <a:r>
              <a:rPr lang="es-ES"/>
              <a:t>Standard Conversion Additional Error Due ADC Resolution</a:t>
            </a:r>
          </a:p>
        </c:rich>
      </c:tx>
      <c:overlay val="0"/>
    </c:title>
    <c:autoTitleDeleted val="0"/>
    <c:plotArea>
      <c:layout>
        <c:manualLayout>
          <c:xMode val="edge"/>
          <c:yMode val="edge"/>
          <c:x val="0.19016"/>
          <c:y val="0.19047999999999998"/>
          <c:w val="0.75409999999999999"/>
          <c:h val="0.61904999999999999"/>
        </c:manualLayout>
      </c:layout>
      <c:areaChart>
        <c:grouping val="stacked"/>
        <c:varyColors val="1"/>
        <c:ser>
          <c:idx val="0"/>
          <c:order val="0"/>
          <c:tx>
            <c:strRef>
              <c:f>Sheet0!$R$54</c:f>
              <c:strCache>
                <c:ptCount val="1"/>
                <c:pt idx="0">
                  <c:v>Standard Conversion Error</c:v>
                </c:pt>
              </c:strCache>
            </c:strRef>
          </c:tx>
          <c:spPr>
            <a:solidFill>
              <a:srgbClr val="3366CC">
                <a:alpha val="30000"/>
              </a:srgbClr>
            </a:solidFill>
            <a:ln w="19050" cmpd="sng">
              <a:solidFill>
                <a:srgbClr val="3366CC"/>
              </a:solidFill>
              <a:prstDash val="solid"/>
            </a:ln>
          </c:spPr>
          <c:cat>
            <c:numRef>
              <c:f>Sheet0!$Q$55:$Q$155</c:f>
              <c:numCache>
                <c:formatCode>General</c:formatCode>
                <c:ptCount val="101"/>
                <c:pt idx="0">
                  <c:v>1</c:v>
                </c:pt>
                <c:pt idx="1">
                  <c:v>1.3900000000000001</c:v>
                </c:pt>
                <c:pt idx="2">
                  <c:v>1.7800000000000002</c:v>
                </c:pt>
                <c:pt idx="3">
                  <c:v>2.1700000000000004</c:v>
                </c:pt>
                <c:pt idx="4">
                  <c:v>2.5600000000000005</c:v>
                </c:pt>
                <c:pt idx="5">
                  <c:v>2.9500000000000006</c:v>
                </c:pt>
                <c:pt idx="6">
                  <c:v>3.3400000000000007</c:v>
                </c:pt>
                <c:pt idx="7">
                  <c:v>3.7300000000000009</c:v>
                </c:pt>
                <c:pt idx="8">
                  <c:v>4.120000000000001</c:v>
                </c:pt>
                <c:pt idx="9">
                  <c:v>4.5100000000000007</c:v>
                </c:pt>
                <c:pt idx="10">
                  <c:v>4.9000000000000004</c:v>
                </c:pt>
                <c:pt idx="11">
                  <c:v>5.29</c:v>
                </c:pt>
                <c:pt idx="12">
                  <c:v>5.68</c:v>
                </c:pt>
                <c:pt idx="13">
                  <c:v>6.0699999999999994</c:v>
                </c:pt>
                <c:pt idx="14">
                  <c:v>6.4599999999999991</c:v>
                </c:pt>
                <c:pt idx="15">
                  <c:v>6.8499999999999988</c:v>
                </c:pt>
                <c:pt idx="16">
                  <c:v>7.2399999999999984</c:v>
                </c:pt>
                <c:pt idx="17">
                  <c:v>7.6299999999999981</c:v>
                </c:pt>
                <c:pt idx="18">
                  <c:v>8.0199999999999978</c:v>
                </c:pt>
                <c:pt idx="19">
                  <c:v>8.4099999999999984</c:v>
                </c:pt>
                <c:pt idx="20">
                  <c:v>8.7999999999999989</c:v>
                </c:pt>
                <c:pt idx="21">
                  <c:v>9.19</c:v>
                </c:pt>
                <c:pt idx="22">
                  <c:v>9.58</c:v>
                </c:pt>
                <c:pt idx="23">
                  <c:v>9.9700000000000006</c:v>
                </c:pt>
                <c:pt idx="24">
                  <c:v>10.360000000000001</c:v>
                </c:pt>
                <c:pt idx="25">
                  <c:v>10.750000000000002</c:v>
                </c:pt>
                <c:pt idx="26">
                  <c:v>11.140000000000002</c:v>
                </c:pt>
                <c:pt idx="27">
                  <c:v>11.530000000000003</c:v>
                </c:pt>
                <c:pt idx="28">
                  <c:v>11.920000000000003</c:v>
                </c:pt>
                <c:pt idx="29">
                  <c:v>12.310000000000004</c:v>
                </c:pt>
                <c:pt idx="30">
                  <c:v>12.700000000000005</c:v>
                </c:pt>
                <c:pt idx="31">
                  <c:v>13.090000000000005</c:v>
                </c:pt>
                <c:pt idx="32">
                  <c:v>13.480000000000006</c:v>
                </c:pt>
                <c:pt idx="33">
                  <c:v>13.870000000000006</c:v>
                </c:pt>
                <c:pt idx="34">
                  <c:v>14.260000000000007</c:v>
                </c:pt>
                <c:pt idx="35">
                  <c:v>14.650000000000007</c:v>
                </c:pt>
                <c:pt idx="36">
                  <c:v>15.040000000000008</c:v>
                </c:pt>
                <c:pt idx="37">
                  <c:v>15.430000000000009</c:v>
                </c:pt>
                <c:pt idx="38">
                  <c:v>15.820000000000009</c:v>
                </c:pt>
                <c:pt idx="39">
                  <c:v>16.210000000000008</c:v>
                </c:pt>
                <c:pt idx="40">
                  <c:v>16.600000000000009</c:v>
                </c:pt>
                <c:pt idx="41">
                  <c:v>16.990000000000009</c:v>
                </c:pt>
                <c:pt idx="42">
                  <c:v>17.38000000000001</c:v>
                </c:pt>
                <c:pt idx="43">
                  <c:v>17.77000000000001</c:v>
                </c:pt>
                <c:pt idx="44">
                  <c:v>18.160000000000011</c:v>
                </c:pt>
                <c:pt idx="45">
                  <c:v>18.550000000000011</c:v>
                </c:pt>
                <c:pt idx="46">
                  <c:v>18.940000000000012</c:v>
                </c:pt>
                <c:pt idx="47">
                  <c:v>19.330000000000013</c:v>
                </c:pt>
                <c:pt idx="48">
                  <c:v>19.720000000000013</c:v>
                </c:pt>
                <c:pt idx="49">
                  <c:v>20.110000000000014</c:v>
                </c:pt>
                <c:pt idx="50">
                  <c:v>20.500000000000014</c:v>
                </c:pt>
                <c:pt idx="51">
                  <c:v>20.890000000000015</c:v>
                </c:pt>
                <c:pt idx="52">
                  <c:v>21.280000000000015</c:v>
                </c:pt>
                <c:pt idx="53">
                  <c:v>21.670000000000016</c:v>
                </c:pt>
                <c:pt idx="54">
                  <c:v>22.060000000000016</c:v>
                </c:pt>
                <c:pt idx="55">
                  <c:v>22.450000000000017</c:v>
                </c:pt>
                <c:pt idx="56">
                  <c:v>22.840000000000018</c:v>
                </c:pt>
                <c:pt idx="57">
                  <c:v>23.230000000000018</c:v>
                </c:pt>
                <c:pt idx="58">
                  <c:v>23.620000000000019</c:v>
                </c:pt>
                <c:pt idx="59">
                  <c:v>24.010000000000019</c:v>
                </c:pt>
                <c:pt idx="60">
                  <c:v>24.40000000000002</c:v>
                </c:pt>
                <c:pt idx="61">
                  <c:v>24.79000000000002</c:v>
                </c:pt>
                <c:pt idx="62">
                  <c:v>25.180000000000021</c:v>
                </c:pt>
                <c:pt idx="63">
                  <c:v>25.570000000000022</c:v>
                </c:pt>
                <c:pt idx="64">
                  <c:v>25.960000000000022</c:v>
                </c:pt>
                <c:pt idx="65">
                  <c:v>26.350000000000023</c:v>
                </c:pt>
                <c:pt idx="66">
                  <c:v>26.740000000000023</c:v>
                </c:pt>
                <c:pt idx="67">
                  <c:v>27.130000000000024</c:v>
                </c:pt>
                <c:pt idx="68">
                  <c:v>27.520000000000024</c:v>
                </c:pt>
                <c:pt idx="69">
                  <c:v>27.910000000000025</c:v>
                </c:pt>
                <c:pt idx="70">
                  <c:v>28.300000000000026</c:v>
                </c:pt>
                <c:pt idx="71">
                  <c:v>28.690000000000026</c:v>
                </c:pt>
                <c:pt idx="72">
                  <c:v>29.080000000000027</c:v>
                </c:pt>
                <c:pt idx="73">
                  <c:v>29.470000000000027</c:v>
                </c:pt>
                <c:pt idx="74">
                  <c:v>29.860000000000028</c:v>
                </c:pt>
                <c:pt idx="75">
                  <c:v>30.250000000000028</c:v>
                </c:pt>
                <c:pt idx="76">
                  <c:v>30.640000000000029</c:v>
                </c:pt>
                <c:pt idx="77">
                  <c:v>31.03000000000003</c:v>
                </c:pt>
                <c:pt idx="78">
                  <c:v>31.42000000000003</c:v>
                </c:pt>
                <c:pt idx="79">
                  <c:v>31.810000000000031</c:v>
                </c:pt>
                <c:pt idx="80">
                  <c:v>32.200000000000031</c:v>
                </c:pt>
                <c:pt idx="81">
                  <c:v>32.590000000000032</c:v>
                </c:pt>
                <c:pt idx="82">
                  <c:v>32.980000000000032</c:v>
                </c:pt>
                <c:pt idx="83">
                  <c:v>33.370000000000033</c:v>
                </c:pt>
                <c:pt idx="84">
                  <c:v>33.760000000000034</c:v>
                </c:pt>
                <c:pt idx="85">
                  <c:v>34.150000000000034</c:v>
                </c:pt>
                <c:pt idx="86">
                  <c:v>34.540000000000035</c:v>
                </c:pt>
                <c:pt idx="87">
                  <c:v>34.930000000000035</c:v>
                </c:pt>
                <c:pt idx="88">
                  <c:v>35.320000000000036</c:v>
                </c:pt>
                <c:pt idx="89">
                  <c:v>35.710000000000036</c:v>
                </c:pt>
                <c:pt idx="90">
                  <c:v>36.100000000000037</c:v>
                </c:pt>
                <c:pt idx="91">
                  <c:v>36.490000000000038</c:v>
                </c:pt>
                <c:pt idx="92">
                  <c:v>36.880000000000038</c:v>
                </c:pt>
                <c:pt idx="93">
                  <c:v>37.270000000000039</c:v>
                </c:pt>
                <c:pt idx="94">
                  <c:v>37.660000000000039</c:v>
                </c:pt>
                <c:pt idx="95">
                  <c:v>38.05000000000004</c:v>
                </c:pt>
                <c:pt idx="96">
                  <c:v>38.44000000000004</c:v>
                </c:pt>
                <c:pt idx="97">
                  <c:v>38.830000000000041</c:v>
                </c:pt>
                <c:pt idx="98">
                  <c:v>39.220000000000041</c:v>
                </c:pt>
                <c:pt idx="99">
                  <c:v>39.610000000000042</c:v>
                </c:pt>
                <c:pt idx="100">
                  <c:v>40.000000000000043</c:v>
                </c:pt>
              </c:numCache>
            </c:numRef>
          </c:cat>
          <c:val>
            <c:numRef>
              <c:f>Sheet0!$R$55:$R$155</c:f>
              <c:numCache>
                <c:formatCode>0.00</c:formatCode>
                <c:ptCount val="101"/>
                <c:pt idx="0">
                  <c:v>-1.147128463600211E-2</c:v>
                </c:pt>
                <c:pt idx="1">
                  <c:v>2.4948788390859011E-2</c:v>
                </c:pt>
                <c:pt idx="2">
                  <c:v>-2.8939744413519541E-2</c:v>
                </c:pt>
                <c:pt idx="3">
                  <c:v>-4.8552162677837352E-3</c:v>
                </c:pt>
                <c:pt idx="4">
                  <c:v>1.2739123745463488E-2</c:v>
                </c:pt>
                <c:pt idx="5">
                  <c:v>2.4084030601260853E-2</c:v>
                </c:pt>
                <c:pt idx="6">
                  <c:v>2.940699003491698E-2</c:v>
                </c:pt>
                <c:pt idx="7">
                  <c:v>2.8923186282969748E-2</c:v>
                </c:pt>
                <c:pt idx="8">
                  <c:v>2.2836382687106749E-2</c:v>
                </c:pt>
                <c:pt idx="9">
                  <c:v>1.1339724445851296E-2</c:v>
                </c:pt>
                <c:pt idx="10">
                  <c:v>-5.3835283419179092E-3</c:v>
                </c:pt>
                <c:pt idx="11">
                  <c:v>-2.7159330172403351E-2</c:v>
                </c:pt>
                <c:pt idx="12">
                  <c:v>1.8272717962652507E-2</c:v>
                </c:pt>
                <c:pt idx="13">
                  <c:v>-1.4047603373462003E-2</c:v>
                </c:pt>
                <c:pt idx="14">
                  <c:v>1.917367271810555E-2</c:v>
                </c:pt>
                <c:pt idx="15">
                  <c:v>-2.2971970282616105E-2</c:v>
                </c:pt>
                <c:pt idx="16">
                  <c:v>-1.1427269667372286E-3</c:v>
                </c:pt>
                <c:pt idx="17">
                  <c:v>1.4788765617763211E-2</c:v>
                </c:pt>
                <c:pt idx="18">
                  <c:v>2.5030514330962816E-2</c:v>
                </c:pt>
                <c:pt idx="19">
                  <c:v>2.9779702981469924E-2</c:v>
                </c:pt>
                <c:pt idx="20">
                  <c:v>2.9223439018791098E-2</c:v>
                </c:pt>
                <c:pt idx="21">
                  <c:v>2.3539436567942218E-2</c:v>
                </c:pt>
                <c:pt idx="22">
                  <c:v>1.2896642234620614E-2</c:v>
                </c:pt>
                <c:pt idx="23">
                  <c:v>-2.5441906388739E-3</c:v>
                </c:pt>
                <c:pt idx="24">
                  <c:v>-2.2629974234790851E-2</c:v>
                </c:pt>
                <c:pt idx="25">
                  <c:v>1.3260188373747539E-2</c:v>
                </c:pt>
                <c:pt idx="26">
                  <c:v>-1.6398067916229664E-2</c:v>
                </c:pt>
                <c:pt idx="27">
                  <c:v>8.6943329625039922E-3</c:v>
                </c:pt>
                <c:pt idx="28">
                  <c:v>2.8261701984389376E-2</c:v>
                </c:pt>
                <c:pt idx="29">
                  <c:v>-1.4934381910451933E-2</c:v>
                </c:pt>
                <c:pt idx="30">
                  <c:v>-5.1331218304699888E-3</c:v>
                </c:pt>
                <c:pt idx="31">
                  <c:v>-3.410494546489673E-4</c:v>
                </c:pt>
                <c:pt idx="32">
                  <c:v>-3.9439521184370108E-4</c:v>
                </c:pt>
                <c:pt idx="33">
                  <c:v>-5.1371834768492164E-3</c:v>
                </c:pt>
                <c:pt idx="34">
                  <c:v>-1.4420738873711869E-2</c:v>
                </c:pt>
                <c:pt idx="35">
                  <c:v>2.5305288269604986E-2</c:v>
                </c:pt>
                <c:pt idx="36">
                  <c:v>6.7608844963285009E-3</c:v>
                </c:pt>
                <c:pt idx="37">
                  <c:v>-1.5899674382753304E-2</c:v>
                </c:pt>
                <c:pt idx="38">
                  <c:v>9.0340580654082459E-3</c:v>
                </c:pt>
                <c:pt idx="39">
                  <c:v>-2.2039751328094326E-2</c:v>
                </c:pt>
                <c:pt idx="40">
                  <c:v>-6.4206560092969767E-3</c:v>
                </c:pt>
                <c:pt idx="41">
                  <c:v>4.4634258825908546E-3</c:v>
                </c:pt>
                <c:pt idx="42">
                  <c:v>1.0764649778920443E-2</c:v>
                </c:pt>
                <c:pt idx="43">
                  <c:v>1.2628170488341084E-2</c:v>
                </c:pt>
                <c:pt idx="44">
                  <c:v>1.0192572544340806E-2</c:v>
                </c:pt>
                <c:pt idx="45">
                  <c:v>3.5902678324077897E-3</c:v>
                </c:pt>
                <c:pt idx="46">
                  <c:v>-7.0521365501718947E-3</c:v>
                </c:pt>
                <c:pt idx="47">
                  <c:v>-2.1613497556899119E-2</c:v>
                </c:pt>
                <c:pt idx="48">
                  <c:v>6.21483002665002E-3</c:v>
                </c:pt>
                <c:pt idx="49">
                  <c:v>-1.6295208115650439E-2</c:v>
                </c:pt>
                <c:pt idx="50">
                  <c:v>2.866151428506214E-3</c:v>
                </c:pt>
                <c:pt idx="51">
                  <c:v>1.7650710109563761E-2</c:v>
                </c:pt>
                <c:pt idx="52">
                  <c:v>-1.6103456086497658E-2</c:v>
                </c:pt>
                <c:pt idx="53">
                  <c:v>-9.214626230743761E-3</c:v>
                </c:pt>
                <c:pt idx="54">
                  <c:v>-6.3202562415227703E-3</c:v>
                </c:pt>
                <c:pt idx="55">
                  <c:v>-7.2989528498794698E-3</c:v>
                </c:pt>
                <c:pt idx="56">
                  <c:v>-1.2034429582897133E-2</c:v>
                </c:pt>
                <c:pt idx="57">
                  <c:v>-2.0415216950937065E-2</c:v>
                </c:pt>
                <c:pt idx="58">
                  <c:v>9.4606663613348019E-3</c:v>
                </c:pt>
                <c:pt idx="59">
                  <c:v>-6.2698681688573288E-3</c:v>
                </c:pt>
                <c:pt idx="60">
                  <c:v>1.5687785872458448E-2</c:v>
                </c:pt>
                <c:pt idx="61">
                  <c:v>-6.9548965492458592E-3</c:v>
                </c:pt>
                <c:pt idx="62">
                  <c:v>7.5507922552304763E-3</c:v>
                </c:pt>
                <c:pt idx="63">
                  <c:v>1.8309108503416383E-2</c:v>
                </c:pt>
                <c:pt idx="64">
                  <c:v>-1.4118065589329376E-2</c:v>
                </c:pt>
                <c:pt idx="65">
                  <c:v>-1.0169427185417135E-2</c:v>
                </c:pt>
                <c:pt idx="66">
                  <c:v>-9.6500032904742739E-3</c:v>
                </c:pt>
                <c:pt idx="67">
                  <c:v>-1.2458489755687197E-2</c:v>
                </c:pt>
                <c:pt idx="68">
                  <c:v>-1.8497514034592655E-2</c:v>
                </c:pt>
                <c:pt idx="69">
                  <c:v>1.0239953392897405E-2</c:v>
                </c:pt>
                <c:pt idx="70">
                  <c:v>-2.2825724857540308E-3</c:v>
                </c:pt>
                <c:pt idx="71">
                  <c:v>-1.7756582142197885E-2</c:v>
                </c:pt>
                <c:pt idx="72">
                  <c:v>9.1237028352963989E-4</c:v>
                </c:pt>
                <c:pt idx="73">
                  <c:v>1.6217448533950574E-2</c:v>
                </c:pt>
                <c:pt idx="74">
                  <c:v>-8.1560887760048217E-3</c:v>
                </c:pt>
                <c:pt idx="75">
                  <c:v>1.0084959416474248E-3</c:v>
                </c:pt>
                <c:pt idx="76">
                  <c:v>7.0968004025786513E-3</c:v>
                </c:pt>
                <c:pt idx="77">
                  <c:v>1.0200524329434302E-2</c:v>
                </c:pt>
                <c:pt idx="78">
                  <c:v>1.0408014988556147E-2</c:v>
                </c:pt>
                <c:pt idx="79">
                  <c:v>7.8044394798268968E-3</c:v>
                </c:pt>
                <c:pt idx="80">
                  <c:v>2.4719462071658427E-3</c:v>
                </c:pt>
                <c:pt idx="81">
                  <c:v>-5.5101836600783827E-3</c:v>
                </c:pt>
                <c:pt idx="82">
                  <c:v>-1.6065393991155474E-2</c:v>
                </c:pt>
                <c:pt idx="83">
                  <c:v>5.0266351740049231E-3</c:v>
                </c:pt>
                <c:pt idx="84">
                  <c:v>-1.0672536845717673E-2</c:v>
                </c:pt>
                <c:pt idx="85">
                  <c:v>4.9751831265325563E-3</c:v>
                </c:pt>
                <c:pt idx="86">
                  <c:v>-1.5566400066646224E-2</c:v>
                </c:pt>
                <c:pt idx="87">
                  <c:v>-5.0451190382716504E-3</c:v>
                </c:pt>
                <c:pt idx="88">
                  <c:v>2.9207319464745751E-3</c:v>
                </c:pt>
                <c:pt idx="89">
                  <c:v>8.4093308880142104E-3</c:v>
                </c:pt>
                <c:pt idx="90">
                  <c:v>1.149627854532298E-2</c:v>
                </c:pt>
                <c:pt idx="91">
                  <c:v>1.2254724494283664E-2</c:v>
                </c:pt>
                <c:pt idx="92">
                  <c:v>1.0755485810094001E-2</c:v>
                </c:pt>
                <c:pt idx="93">
                  <c:v>7.0671588934487772E-3</c:v>
                </c:pt>
                <c:pt idx="94">
                  <c:v>1.2562249192882291E-3</c:v>
                </c:pt>
                <c:pt idx="95">
                  <c:v>-6.6128506525444664E-3</c:v>
                </c:pt>
                <c:pt idx="96">
                  <c:v>1.5112256565615212E-2</c:v>
                </c:pt>
                <c:pt idx="97">
                  <c:v>3.1541404701442843E-3</c:v>
                </c:pt>
                <c:pt idx="98">
                  <c:v>-1.0675063741487634E-2</c:v>
                </c:pt>
                <c:pt idx="99">
                  <c:v>4.7980802436029535E-3</c:v>
                </c:pt>
                <c:pt idx="100">
                  <c:v>-1.274748772617329E-2</c:v>
                </c:pt>
              </c:numCache>
            </c:numRef>
          </c:val>
          <c:extLst>
            <c:ext xmlns:c16="http://schemas.microsoft.com/office/drawing/2014/chart" uri="{C3380CC4-5D6E-409C-BE32-E72D297353CC}">
              <c16:uniqueId val="{00000000-64DE-4646-A805-F5A14ABDCEC0}"/>
            </c:ext>
          </c:extLst>
        </c:ser>
        <c:dLbls>
          <c:showLegendKey val="0"/>
          <c:showVal val="0"/>
          <c:showCatName val="0"/>
          <c:showSerName val="0"/>
          <c:showPercent val="0"/>
          <c:showBubbleSize val="0"/>
        </c:dLbls>
        <c:axId val="956099424"/>
        <c:axId val="301305415"/>
      </c:areaChart>
      <c:catAx>
        <c:axId val="956099424"/>
        <c:scaling>
          <c:orientation val="minMax"/>
        </c:scaling>
        <c:delete val="0"/>
        <c:axPos val="b"/>
        <c:title>
          <c:tx>
            <c:rich>
              <a:bodyPr/>
              <a:lstStyle/>
              <a:p>
                <a:pPr lvl="0">
                  <a:defRPr b="0" i="0">
                    <a:solidFill>
                      <a:srgbClr val="000000"/>
                    </a:solidFill>
                    <a:latin typeface="Roboto"/>
                  </a:defRPr>
                </a:pPr>
                <a:r>
                  <a:rPr lang="es-ES"/>
                  <a:t>°C</a:t>
                </a:r>
              </a:p>
            </c:rich>
          </c:tx>
          <c:overlay val="0"/>
        </c:title>
        <c:numFmt formatCode="General" sourceLinked="1"/>
        <c:majorTickMark val="cross"/>
        <c:minorTickMark val="cross"/>
        <c:tickLblPos val="nextTo"/>
        <c:txPr>
          <a:bodyPr/>
          <a:lstStyle/>
          <a:p>
            <a:pPr lvl="0">
              <a:defRPr b="0" i="0">
                <a:solidFill>
                  <a:srgbClr val="000000"/>
                </a:solidFill>
                <a:latin typeface="Roboto"/>
              </a:defRPr>
            </a:pPr>
            <a:endParaRPr lang="es-ES"/>
          </a:p>
        </c:txPr>
        <c:crossAx val="301305415"/>
        <c:crosses val="autoZero"/>
        <c:auto val="1"/>
        <c:lblAlgn val="ctr"/>
        <c:lblOffset val="100"/>
        <c:noMultiLvlLbl val="1"/>
      </c:catAx>
      <c:valAx>
        <c:axId val="301305415"/>
        <c:scaling>
          <c:orientation val="minMax"/>
          <c:max val="2.5"/>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Roboto"/>
                  </a:defRPr>
                </a:pPr>
                <a:r>
                  <a:rPr lang="es-ES"/>
                  <a:t>Error °C</a:t>
                </a:r>
              </a:p>
            </c:rich>
          </c:tx>
          <c:overlay val="0"/>
        </c:title>
        <c:numFmt formatCode="0.00" sourceLinked="1"/>
        <c:majorTickMark val="cross"/>
        <c:minorTickMark val="cross"/>
        <c:tickLblPos val="nextTo"/>
        <c:spPr>
          <a:ln w="47625">
            <a:noFill/>
          </a:ln>
        </c:spPr>
        <c:txPr>
          <a:bodyPr/>
          <a:lstStyle/>
          <a:p>
            <a:pPr lvl="0">
              <a:defRPr b="0" i="0">
                <a:solidFill>
                  <a:srgbClr val="000000"/>
                </a:solidFill>
                <a:latin typeface="Roboto"/>
              </a:defRPr>
            </a:pPr>
            <a:endParaRPr lang="es-ES"/>
          </a:p>
        </c:txPr>
        <c:crossAx val="956099424"/>
        <c:crosses val="autoZero"/>
        <c:crossBetween val="midCat"/>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000000"/>
                </a:solidFill>
                <a:latin typeface="Roboto"/>
              </a:defRPr>
            </a:pPr>
            <a:r>
              <a:rPr lang="es-ES"/>
              <a:t>Comparison of Conversion Results (Click and Hover To See Numbers)</a:t>
            </a:r>
          </a:p>
        </c:rich>
      </c:tx>
      <c:overlay val="0"/>
    </c:title>
    <c:autoTitleDeleted val="0"/>
    <c:plotArea>
      <c:layout>
        <c:manualLayout>
          <c:xMode val="edge"/>
          <c:yMode val="edge"/>
          <c:x val="8.5359999999999991E-2"/>
          <c:y val="9.7070000000000004E-2"/>
          <c:w val="0.88566999999999996"/>
          <c:h val="0.78059000000000001"/>
        </c:manualLayout>
      </c:layout>
      <c:lineChart>
        <c:grouping val="standard"/>
        <c:varyColors val="1"/>
        <c:ser>
          <c:idx val="0"/>
          <c:order val="0"/>
          <c:tx>
            <c:strRef>
              <c:f>Sheet0!$P$54</c:f>
              <c:strCache>
                <c:ptCount val="1"/>
                <c:pt idx="0">
                  <c:v>Standard Conversion</c:v>
                </c:pt>
              </c:strCache>
            </c:strRef>
          </c:tx>
          <c:spPr>
            <a:ln w="19050" cmpd="sng">
              <a:solidFill>
                <a:srgbClr val="3366CC"/>
              </a:solidFill>
              <a:prstDash val="solid"/>
            </a:ln>
          </c:spPr>
          <c:marker>
            <c:symbol val="none"/>
          </c:marker>
          <c:cat>
            <c:numRef>
              <c:f>Sheet0!$A$55:$A$155</c:f>
              <c:numCache>
                <c:formatCode>General</c:formatCode>
                <c:ptCount val="101"/>
                <c:pt idx="0">
                  <c:v>1</c:v>
                </c:pt>
                <c:pt idx="1">
                  <c:v>1.3900000000000001</c:v>
                </c:pt>
                <c:pt idx="2">
                  <c:v>1.7800000000000002</c:v>
                </c:pt>
                <c:pt idx="3">
                  <c:v>2.1700000000000004</c:v>
                </c:pt>
                <c:pt idx="4">
                  <c:v>2.5600000000000005</c:v>
                </c:pt>
                <c:pt idx="5">
                  <c:v>2.9500000000000006</c:v>
                </c:pt>
                <c:pt idx="6">
                  <c:v>3.3400000000000007</c:v>
                </c:pt>
                <c:pt idx="7">
                  <c:v>3.7300000000000009</c:v>
                </c:pt>
                <c:pt idx="8">
                  <c:v>4.120000000000001</c:v>
                </c:pt>
                <c:pt idx="9">
                  <c:v>4.5100000000000007</c:v>
                </c:pt>
                <c:pt idx="10">
                  <c:v>4.9000000000000004</c:v>
                </c:pt>
                <c:pt idx="11">
                  <c:v>5.29</c:v>
                </c:pt>
                <c:pt idx="12">
                  <c:v>5.68</c:v>
                </c:pt>
                <c:pt idx="13">
                  <c:v>6.0699999999999994</c:v>
                </c:pt>
                <c:pt idx="14">
                  <c:v>6.4599999999999991</c:v>
                </c:pt>
                <c:pt idx="15">
                  <c:v>6.8499999999999988</c:v>
                </c:pt>
                <c:pt idx="16">
                  <c:v>7.2399999999999984</c:v>
                </c:pt>
                <c:pt idx="17">
                  <c:v>7.6299999999999981</c:v>
                </c:pt>
                <c:pt idx="18">
                  <c:v>8.0199999999999978</c:v>
                </c:pt>
                <c:pt idx="19">
                  <c:v>8.4099999999999984</c:v>
                </c:pt>
                <c:pt idx="20">
                  <c:v>8.7999999999999989</c:v>
                </c:pt>
                <c:pt idx="21">
                  <c:v>9.19</c:v>
                </c:pt>
                <c:pt idx="22">
                  <c:v>9.58</c:v>
                </c:pt>
                <c:pt idx="23">
                  <c:v>9.9700000000000006</c:v>
                </c:pt>
                <c:pt idx="24">
                  <c:v>10.360000000000001</c:v>
                </c:pt>
                <c:pt idx="25">
                  <c:v>10.750000000000002</c:v>
                </c:pt>
                <c:pt idx="26">
                  <c:v>11.140000000000002</c:v>
                </c:pt>
                <c:pt idx="27">
                  <c:v>11.530000000000003</c:v>
                </c:pt>
                <c:pt idx="28">
                  <c:v>11.920000000000003</c:v>
                </c:pt>
                <c:pt idx="29">
                  <c:v>12.310000000000004</c:v>
                </c:pt>
                <c:pt idx="30">
                  <c:v>12.700000000000005</c:v>
                </c:pt>
                <c:pt idx="31">
                  <c:v>13.090000000000005</c:v>
                </c:pt>
                <c:pt idx="32">
                  <c:v>13.480000000000006</c:v>
                </c:pt>
                <c:pt idx="33">
                  <c:v>13.870000000000006</c:v>
                </c:pt>
                <c:pt idx="34">
                  <c:v>14.260000000000007</c:v>
                </c:pt>
                <c:pt idx="35">
                  <c:v>14.650000000000007</c:v>
                </c:pt>
                <c:pt idx="36">
                  <c:v>15.040000000000008</c:v>
                </c:pt>
                <c:pt idx="37">
                  <c:v>15.430000000000009</c:v>
                </c:pt>
                <c:pt idx="38">
                  <c:v>15.820000000000009</c:v>
                </c:pt>
                <c:pt idx="39">
                  <c:v>16.210000000000008</c:v>
                </c:pt>
                <c:pt idx="40">
                  <c:v>16.600000000000009</c:v>
                </c:pt>
                <c:pt idx="41">
                  <c:v>16.990000000000009</c:v>
                </c:pt>
                <c:pt idx="42">
                  <c:v>17.38000000000001</c:v>
                </c:pt>
                <c:pt idx="43">
                  <c:v>17.77000000000001</c:v>
                </c:pt>
                <c:pt idx="44">
                  <c:v>18.160000000000011</c:v>
                </c:pt>
                <c:pt idx="45">
                  <c:v>18.550000000000011</c:v>
                </c:pt>
                <c:pt idx="46">
                  <c:v>18.940000000000012</c:v>
                </c:pt>
                <c:pt idx="47">
                  <c:v>19.330000000000013</c:v>
                </c:pt>
                <c:pt idx="48">
                  <c:v>19.720000000000013</c:v>
                </c:pt>
                <c:pt idx="49">
                  <c:v>20.110000000000014</c:v>
                </c:pt>
                <c:pt idx="50">
                  <c:v>20.500000000000014</c:v>
                </c:pt>
                <c:pt idx="51">
                  <c:v>20.890000000000015</c:v>
                </c:pt>
                <c:pt idx="52">
                  <c:v>21.280000000000015</c:v>
                </c:pt>
                <c:pt idx="53">
                  <c:v>21.670000000000016</c:v>
                </c:pt>
                <c:pt idx="54">
                  <c:v>22.060000000000016</c:v>
                </c:pt>
                <c:pt idx="55">
                  <c:v>22.450000000000017</c:v>
                </c:pt>
                <c:pt idx="56">
                  <c:v>22.840000000000018</c:v>
                </c:pt>
                <c:pt idx="57">
                  <c:v>23.230000000000018</c:v>
                </c:pt>
                <c:pt idx="58">
                  <c:v>23.620000000000019</c:v>
                </c:pt>
                <c:pt idx="59">
                  <c:v>24.010000000000019</c:v>
                </c:pt>
                <c:pt idx="60">
                  <c:v>24.40000000000002</c:v>
                </c:pt>
                <c:pt idx="61">
                  <c:v>24.79000000000002</c:v>
                </c:pt>
                <c:pt idx="62">
                  <c:v>25.180000000000021</c:v>
                </c:pt>
                <c:pt idx="63">
                  <c:v>25.570000000000022</c:v>
                </c:pt>
                <c:pt idx="64">
                  <c:v>25.960000000000022</c:v>
                </c:pt>
                <c:pt idx="65">
                  <c:v>26.350000000000023</c:v>
                </c:pt>
                <c:pt idx="66">
                  <c:v>26.740000000000023</c:v>
                </c:pt>
                <c:pt idx="67">
                  <c:v>27.130000000000024</c:v>
                </c:pt>
                <c:pt idx="68">
                  <c:v>27.520000000000024</c:v>
                </c:pt>
                <c:pt idx="69">
                  <c:v>27.910000000000025</c:v>
                </c:pt>
                <c:pt idx="70">
                  <c:v>28.300000000000026</c:v>
                </c:pt>
                <c:pt idx="71">
                  <c:v>28.690000000000026</c:v>
                </c:pt>
                <c:pt idx="72">
                  <c:v>29.080000000000027</c:v>
                </c:pt>
                <c:pt idx="73">
                  <c:v>29.470000000000027</c:v>
                </c:pt>
                <c:pt idx="74">
                  <c:v>29.860000000000028</c:v>
                </c:pt>
                <c:pt idx="75">
                  <c:v>30.250000000000028</c:v>
                </c:pt>
                <c:pt idx="76">
                  <c:v>30.640000000000029</c:v>
                </c:pt>
                <c:pt idx="77">
                  <c:v>31.03000000000003</c:v>
                </c:pt>
                <c:pt idx="78">
                  <c:v>31.42000000000003</c:v>
                </c:pt>
                <c:pt idx="79">
                  <c:v>31.810000000000031</c:v>
                </c:pt>
                <c:pt idx="80">
                  <c:v>32.200000000000031</c:v>
                </c:pt>
                <c:pt idx="81">
                  <c:v>32.590000000000032</c:v>
                </c:pt>
                <c:pt idx="82">
                  <c:v>32.980000000000032</c:v>
                </c:pt>
                <c:pt idx="83">
                  <c:v>33.370000000000033</c:v>
                </c:pt>
                <c:pt idx="84">
                  <c:v>33.760000000000034</c:v>
                </c:pt>
                <c:pt idx="85">
                  <c:v>34.150000000000034</c:v>
                </c:pt>
                <c:pt idx="86">
                  <c:v>34.540000000000035</c:v>
                </c:pt>
                <c:pt idx="87">
                  <c:v>34.930000000000035</c:v>
                </c:pt>
                <c:pt idx="88">
                  <c:v>35.320000000000036</c:v>
                </c:pt>
                <c:pt idx="89">
                  <c:v>35.710000000000036</c:v>
                </c:pt>
                <c:pt idx="90">
                  <c:v>36.100000000000037</c:v>
                </c:pt>
                <c:pt idx="91">
                  <c:v>36.490000000000038</c:v>
                </c:pt>
                <c:pt idx="92">
                  <c:v>36.880000000000038</c:v>
                </c:pt>
                <c:pt idx="93">
                  <c:v>37.270000000000039</c:v>
                </c:pt>
                <c:pt idx="94">
                  <c:v>37.660000000000039</c:v>
                </c:pt>
                <c:pt idx="95">
                  <c:v>38.05000000000004</c:v>
                </c:pt>
                <c:pt idx="96">
                  <c:v>38.44000000000004</c:v>
                </c:pt>
                <c:pt idx="97">
                  <c:v>38.830000000000041</c:v>
                </c:pt>
                <c:pt idx="98">
                  <c:v>39.220000000000041</c:v>
                </c:pt>
                <c:pt idx="99">
                  <c:v>39.610000000000042</c:v>
                </c:pt>
                <c:pt idx="100">
                  <c:v>40.000000000000043</c:v>
                </c:pt>
              </c:numCache>
            </c:numRef>
          </c:cat>
          <c:val>
            <c:numRef>
              <c:f>Sheet0!$P$55:$P$155</c:f>
              <c:numCache>
                <c:formatCode>0.00</c:formatCode>
                <c:ptCount val="101"/>
                <c:pt idx="0">
                  <c:v>0.98852871536399789</c:v>
                </c:pt>
                <c:pt idx="1">
                  <c:v>1.4149487883908591</c:v>
                </c:pt>
                <c:pt idx="2">
                  <c:v>1.7510602555864807</c:v>
                </c:pt>
                <c:pt idx="3">
                  <c:v>2.1651447837322166</c:v>
                </c:pt>
                <c:pt idx="4">
                  <c:v>2.572739123745464</c:v>
                </c:pt>
                <c:pt idx="5">
                  <c:v>2.9740840306012615</c:v>
                </c:pt>
                <c:pt idx="6">
                  <c:v>3.3694069900349177</c:v>
                </c:pt>
                <c:pt idx="7">
                  <c:v>3.7589231862829706</c:v>
                </c:pt>
                <c:pt idx="8">
                  <c:v>4.1428363826871077</c:v>
                </c:pt>
                <c:pt idx="9">
                  <c:v>4.521339724445852</c:v>
                </c:pt>
                <c:pt idx="10">
                  <c:v>4.8946164716580824</c:v>
                </c:pt>
                <c:pt idx="11">
                  <c:v>5.2628406698275967</c:v>
                </c:pt>
                <c:pt idx="12">
                  <c:v>5.6982727179626522</c:v>
                </c:pt>
                <c:pt idx="13">
                  <c:v>6.0559523966265374</c:v>
                </c:pt>
                <c:pt idx="14">
                  <c:v>6.4791736727181046</c:v>
                </c:pt>
                <c:pt idx="15">
                  <c:v>6.8270280297173827</c:v>
                </c:pt>
                <c:pt idx="16">
                  <c:v>7.2388572730332612</c:v>
                </c:pt>
                <c:pt idx="17">
                  <c:v>7.6447887656177613</c:v>
                </c:pt>
                <c:pt idx="18">
                  <c:v>8.0450305143309606</c:v>
                </c:pt>
                <c:pt idx="19">
                  <c:v>8.4397797029814683</c:v>
                </c:pt>
                <c:pt idx="20">
                  <c:v>8.82922343901879</c:v>
                </c:pt>
                <c:pt idx="21">
                  <c:v>9.2135394365679417</c:v>
                </c:pt>
                <c:pt idx="22">
                  <c:v>9.5928966422346207</c:v>
                </c:pt>
                <c:pt idx="23">
                  <c:v>9.9674558093611267</c:v>
                </c:pt>
                <c:pt idx="24">
                  <c:v>10.33737002576521</c:v>
                </c:pt>
                <c:pt idx="25">
                  <c:v>10.763260188373749</c:v>
                </c:pt>
                <c:pt idx="26">
                  <c:v>11.123601932083773</c:v>
                </c:pt>
                <c:pt idx="27">
                  <c:v>11.538694332962507</c:v>
                </c:pt>
                <c:pt idx="28">
                  <c:v>11.948261701984393</c:v>
                </c:pt>
                <c:pt idx="29">
                  <c:v>12.295065618089552</c:v>
                </c:pt>
                <c:pt idx="30">
                  <c:v>12.694866878169535</c:v>
                </c:pt>
                <c:pt idx="31">
                  <c:v>13.089658950545356</c:v>
                </c:pt>
                <c:pt idx="32">
                  <c:v>13.479605604788162</c:v>
                </c:pt>
                <c:pt idx="33">
                  <c:v>13.864862816523157</c:v>
                </c:pt>
                <c:pt idx="34">
                  <c:v>14.245579261126295</c:v>
                </c:pt>
                <c:pt idx="35">
                  <c:v>14.675305288269612</c:v>
                </c:pt>
                <c:pt idx="36">
                  <c:v>15.046760884496337</c:v>
                </c:pt>
                <c:pt idx="37">
                  <c:v>15.414100325617255</c:v>
                </c:pt>
                <c:pt idx="38">
                  <c:v>15.829034058065417</c:v>
                </c:pt>
                <c:pt idx="39">
                  <c:v>16.187960248671914</c:v>
                </c:pt>
                <c:pt idx="40">
                  <c:v>16.593579343990712</c:v>
                </c:pt>
                <c:pt idx="41">
                  <c:v>16.9944634258826</c:v>
                </c:pt>
                <c:pt idx="42">
                  <c:v>17.39076464977893</c:v>
                </c:pt>
                <c:pt idx="43">
                  <c:v>17.782628170488351</c:v>
                </c:pt>
                <c:pt idx="44">
                  <c:v>18.170192572544352</c:v>
                </c:pt>
                <c:pt idx="45">
                  <c:v>18.553590267832419</c:v>
                </c:pt>
                <c:pt idx="46">
                  <c:v>18.93294786344984</c:v>
                </c:pt>
                <c:pt idx="47">
                  <c:v>19.308386502443113</c:v>
                </c:pt>
                <c:pt idx="48">
                  <c:v>19.726214830026663</c:v>
                </c:pt>
                <c:pt idx="49">
                  <c:v>20.093704791884363</c:v>
                </c:pt>
                <c:pt idx="50">
                  <c:v>20.50286615142852</c:v>
                </c:pt>
                <c:pt idx="51">
                  <c:v>20.907650710109579</c:v>
                </c:pt>
                <c:pt idx="52">
                  <c:v>21.263896543913518</c:v>
                </c:pt>
                <c:pt idx="53">
                  <c:v>21.660785373769272</c:v>
                </c:pt>
                <c:pt idx="54">
                  <c:v>22.053679743758494</c:v>
                </c:pt>
                <c:pt idx="55">
                  <c:v>22.442701047150138</c:v>
                </c:pt>
                <c:pt idx="56">
                  <c:v>22.82796557041712</c:v>
                </c:pt>
                <c:pt idx="57">
                  <c:v>23.209584783049081</c:v>
                </c:pt>
                <c:pt idx="58">
                  <c:v>23.629460666361354</c:v>
                </c:pt>
                <c:pt idx="59">
                  <c:v>24.003730131831162</c:v>
                </c:pt>
                <c:pt idx="60">
                  <c:v>24.415687785872478</c:v>
                </c:pt>
                <c:pt idx="61">
                  <c:v>24.783045103450775</c:v>
                </c:pt>
                <c:pt idx="62">
                  <c:v>25.187550792255252</c:v>
                </c:pt>
                <c:pt idx="63">
                  <c:v>25.588309108503438</c:v>
                </c:pt>
                <c:pt idx="64">
                  <c:v>25.945881934410693</c:v>
                </c:pt>
                <c:pt idx="65">
                  <c:v>26.339830572814606</c:v>
                </c:pt>
                <c:pt idx="66">
                  <c:v>26.730349996709549</c:v>
                </c:pt>
                <c:pt idx="67">
                  <c:v>27.117541510244337</c:v>
                </c:pt>
                <c:pt idx="68">
                  <c:v>27.501502485965432</c:v>
                </c:pt>
                <c:pt idx="69">
                  <c:v>27.920239953392922</c:v>
                </c:pt>
                <c:pt idx="70">
                  <c:v>28.297717427514272</c:v>
                </c:pt>
                <c:pt idx="71">
                  <c:v>28.672243417857828</c:v>
                </c:pt>
                <c:pt idx="72">
                  <c:v>29.080912370283556</c:v>
                </c:pt>
                <c:pt idx="73">
                  <c:v>29.486217448533978</c:v>
                </c:pt>
                <c:pt idx="74">
                  <c:v>29.851843911224023</c:v>
                </c:pt>
                <c:pt idx="75">
                  <c:v>30.251008495941676</c:v>
                </c:pt>
                <c:pt idx="76">
                  <c:v>30.647096800402608</c:v>
                </c:pt>
                <c:pt idx="77">
                  <c:v>31.040200524329464</c:v>
                </c:pt>
                <c:pt idx="78">
                  <c:v>31.430408014988586</c:v>
                </c:pt>
                <c:pt idx="79">
                  <c:v>31.817804439479858</c:v>
                </c:pt>
                <c:pt idx="80">
                  <c:v>32.202471946207197</c:v>
                </c:pt>
                <c:pt idx="81">
                  <c:v>32.584489816339953</c:v>
                </c:pt>
                <c:pt idx="82">
                  <c:v>32.963934606008877</c:v>
                </c:pt>
                <c:pt idx="83">
                  <c:v>33.375026635174038</c:v>
                </c:pt>
                <c:pt idx="84">
                  <c:v>33.749327463154316</c:v>
                </c:pt>
                <c:pt idx="85">
                  <c:v>34.154975183126567</c:v>
                </c:pt>
                <c:pt idx="86">
                  <c:v>34.524433599933388</c:v>
                </c:pt>
                <c:pt idx="87">
                  <c:v>34.924954880961764</c:v>
                </c:pt>
                <c:pt idx="88">
                  <c:v>35.32292073194651</c:v>
                </c:pt>
                <c:pt idx="89">
                  <c:v>35.718409330888051</c:v>
                </c:pt>
                <c:pt idx="90">
                  <c:v>36.11149627854536</c:v>
                </c:pt>
                <c:pt idx="91">
                  <c:v>36.502254724494321</c:v>
                </c:pt>
                <c:pt idx="92">
                  <c:v>36.890755485810132</c:v>
                </c:pt>
                <c:pt idx="93">
                  <c:v>37.277067158893487</c:v>
                </c:pt>
                <c:pt idx="94">
                  <c:v>37.661256224919327</c:v>
                </c:pt>
                <c:pt idx="95">
                  <c:v>38.043387149347495</c:v>
                </c:pt>
                <c:pt idx="96">
                  <c:v>38.455112256565656</c:v>
                </c:pt>
                <c:pt idx="97">
                  <c:v>38.833154140470185</c:v>
                </c:pt>
                <c:pt idx="98">
                  <c:v>39.209324936258554</c:v>
                </c:pt>
                <c:pt idx="99">
                  <c:v>39.614798080243645</c:v>
                </c:pt>
                <c:pt idx="100">
                  <c:v>39.987252512273869</c:v>
                </c:pt>
              </c:numCache>
            </c:numRef>
          </c:val>
          <c:smooth val="0"/>
          <c:extLst>
            <c:ext xmlns:c16="http://schemas.microsoft.com/office/drawing/2014/chart" uri="{C3380CC4-5D6E-409C-BE32-E72D297353CC}">
              <c16:uniqueId val="{00000000-97D3-4C34-94A4-AEA6DFBF2EBC}"/>
            </c:ext>
          </c:extLst>
        </c:ser>
        <c:ser>
          <c:idx val="1"/>
          <c:order val="1"/>
          <c:tx>
            <c:strRef>
              <c:f>Sheet0!$D$54</c:f>
              <c:strCache>
                <c:ptCount val="1"/>
                <c:pt idx="0">
                  <c:v>Float Approximation</c:v>
                </c:pt>
              </c:strCache>
            </c:strRef>
          </c:tx>
          <c:spPr>
            <a:ln w="19050" cmpd="sng">
              <a:solidFill>
                <a:srgbClr val="DC3912"/>
              </a:solidFill>
              <a:prstDash val="solid"/>
            </a:ln>
          </c:spPr>
          <c:marker>
            <c:symbol val="none"/>
          </c:marker>
          <c:cat>
            <c:numRef>
              <c:f>Sheet0!$A$55:$A$155</c:f>
              <c:numCache>
                <c:formatCode>General</c:formatCode>
                <c:ptCount val="101"/>
                <c:pt idx="0">
                  <c:v>1</c:v>
                </c:pt>
                <c:pt idx="1">
                  <c:v>1.3900000000000001</c:v>
                </c:pt>
                <c:pt idx="2">
                  <c:v>1.7800000000000002</c:v>
                </c:pt>
                <c:pt idx="3">
                  <c:v>2.1700000000000004</c:v>
                </c:pt>
                <c:pt idx="4">
                  <c:v>2.5600000000000005</c:v>
                </c:pt>
                <c:pt idx="5">
                  <c:v>2.9500000000000006</c:v>
                </c:pt>
                <c:pt idx="6">
                  <c:v>3.3400000000000007</c:v>
                </c:pt>
                <c:pt idx="7">
                  <c:v>3.7300000000000009</c:v>
                </c:pt>
                <c:pt idx="8">
                  <c:v>4.120000000000001</c:v>
                </c:pt>
                <c:pt idx="9">
                  <c:v>4.5100000000000007</c:v>
                </c:pt>
                <c:pt idx="10">
                  <c:v>4.9000000000000004</c:v>
                </c:pt>
                <c:pt idx="11">
                  <c:v>5.29</c:v>
                </c:pt>
                <c:pt idx="12">
                  <c:v>5.68</c:v>
                </c:pt>
                <c:pt idx="13">
                  <c:v>6.0699999999999994</c:v>
                </c:pt>
                <c:pt idx="14">
                  <c:v>6.4599999999999991</c:v>
                </c:pt>
                <c:pt idx="15">
                  <c:v>6.8499999999999988</c:v>
                </c:pt>
                <c:pt idx="16">
                  <c:v>7.2399999999999984</c:v>
                </c:pt>
                <c:pt idx="17">
                  <c:v>7.6299999999999981</c:v>
                </c:pt>
                <c:pt idx="18">
                  <c:v>8.0199999999999978</c:v>
                </c:pt>
                <c:pt idx="19">
                  <c:v>8.4099999999999984</c:v>
                </c:pt>
                <c:pt idx="20">
                  <c:v>8.7999999999999989</c:v>
                </c:pt>
                <c:pt idx="21">
                  <c:v>9.19</c:v>
                </c:pt>
                <c:pt idx="22">
                  <c:v>9.58</c:v>
                </c:pt>
                <c:pt idx="23">
                  <c:v>9.9700000000000006</c:v>
                </c:pt>
                <c:pt idx="24">
                  <c:v>10.360000000000001</c:v>
                </c:pt>
                <c:pt idx="25">
                  <c:v>10.750000000000002</c:v>
                </c:pt>
                <c:pt idx="26">
                  <c:v>11.140000000000002</c:v>
                </c:pt>
                <c:pt idx="27">
                  <c:v>11.530000000000003</c:v>
                </c:pt>
                <c:pt idx="28">
                  <c:v>11.920000000000003</c:v>
                </c:pt>
                <c:pt idx="29">
                  <c:v>12.310000000000004</c:v>
                </c:pt>
                <c:pt idx="30">
                  <c:v>12.700000000000005</c:v>
                </c:pt>
                <c:pt idx="31">
                  <c:v>13.090000000000005</c:v>
                </c:pt>
                <c:pt idx="32">
                  <c:v>13.480000000000006</c:v>
                </c:pt>
                <c:pt idx="33">
                  <c:v>13.870000000000006</c:v>
                </c:pt>
                <c:pt idx="34">
                  <c:v>14.260000000000007</c:v>
                </c:pt>
                <c:pt idx="35">
                  <c:v>14.650000000000007</c:v>
                </c:pt>
                <c:pt idx="36">
                  <c:v>15.040000000000008</c:v>
                </c:pt>
                <c:pt idx="37">
                  <c:v>15.430000000000009</c:v>
                </c:pt>
                <c:pt idx="38">
                  <c:v>15.820000000000009</c:v>
                </c:pt>
                <c:pt idx="39">
                  <c:v>16.210000000000008</c:v>
                </c:pt>
                <c:pt idx="40">
                  <c:v>16.600000000000009</c:v>
                </c:pt>
                <c:pt idx="41">
                  <c:v>16.990000000000009</c:v>
                </c:pt>
                <c:pt idx="42">
                  <c:v>17.38000000000001</c:v>
                </c:pt>
                <c:pt idx="43">
                  <c:v>17.77000000000001</c:v>
                </c:pt>
                <c:pt idx="44">
                  <c:v>18.160000000000011</c:v>
                </c:pt>
                <c:pt idx="45">
                  <c:v>18.550000000000011</c:v>
                </c:pt>
                <c:pt idx="46">
                  <c:v>18.940000000000012</c:v>
                </c:pt>
                <c:pt idx="47">
                  <c:v>19.330000000000013</c:v>
                </c:pt>
                <c:pt idx="48">
                  <c:v>19.720000000000013</c:v>
                </c:pt>
                <c:pt idx="49">
                  <c:v>20.110000000000014</c:v>
                </c:pt>
                <c:pt idx="50">
                  <c:v>20.500000000000014</c:v>
                </c:pt>
                <c:pt idx="51">
                  <c:v>20.890000000000015</c:v>
                </c:pt>
                <c:pt idx="52">
                  <c:v>21.280000000000015</c:v>
                </c:pt>
                <c:pt idx="53">
                  <c:v>21.670000000000016</c:v>
                </c:pt>
                <c:pt idx="54">
                  <c:v>22.060000000000016</c:v>
                </c:pt>
                <c:pt idx="55">
                  <c:v>22.450000000000017</c:v>
                </c:pt>
                <c:pt idx="56">
                  <c:v>22.840000000000018</c:v>
                </c:pt>
                <c:pt idx="57">
                  <c:v>23.230000000000018</c:v>
                </c:pt>
                <c:pt idx="58">
                  <c:v>23.620000000000019</c:v>
                </c:pt>
                <c:pt idx="59">
                  <c:v>24.010000000000019</c:v>
                </c:pt>
                <c:pt idx="60">
                  <c:v>24.40000000000002</c:v>
                </c:pt>
                <c:pt idx="61">
                  <c:v>24.79000000000002</c:v>
                </c:pt>
                <c:pt idx="62">
                  <c:v>25.180000000000021</c:v>
                </c:pt>
                <c:pt idx="63">
                  <c:v>25.570000000000022</c:v>
                </c:pt>
                <c:pt idx="64">
                  <c:v>25.960000000000022</c:v>
                </c:pt>
                <c:pt idx="65">
                  <c:v>26.350000000000023</c:v>
                </c:pt>
                <c:pt idx="66">
                  <c:v>26.740000000000023</c:v>
                </c:pt>
                <c:pt idx="67">
                  <c:v>27.130000000000024</c:v>
                </c:pt>
                <c:pt idx="68">
                  <c:v>27.520000000000024</c:v>
                </c:pt>
                <c:pt idx="69">
                  <c:v>27.910000000000025</c:v>
                </c:pt>
                <c:pt idx="70">
                  <c:v>28.300000000000026</c:v>
                </c:pt>
                <c:pt idx="71">
                  <c:v>28.690000000000026</c:v>
                </c:pt>
                <c:pt idx="72">
                  <c:v>29.080000000000027</c:v>
                </c:pt>
                <c:pt idx="73">
                  <c:v>29.470000000000027</c:v>
                </c:pt>
                <c:pt idx="74">
                  <c:v>29.860000000000028</c:v>
                </c:pt>
                <c:pt idx="75">
                  <c:v>30.250000000000028</c:v>
                </c:pt>
                <c:pt idx="76">
                  <c:v>30.640000000000029</c:v>
                </c:pt>
                <c:pt idx="77">
                  <c:v>31.03000000000003</c:v>
                </c:pt>
                <c:pt idx="78">
                  <c:v>31.42000000000003</c:v>
                </c:pt>
                <c:pt idx="79">
                  <c:v>31.810000000000031</c:v>
                </c:pt>
                <c:pt idx="80">
                  <c:v>32.200000000000031</c:v>
                </c:pt>
                <c:pt idx="81">
                  <c:v>32.590000000000032</c:v>
                </c:pt>
                <c:pt idx="82">
                  <c:v>32.980000000000032</c:v>
                </c:pt>
                <c:pt idx="83">
                  <c:v>33.370000000000033</c:v>
                </c:pt>
                <c:pt idx="84">
                  <c:v>33.760000000000034</c:v>
                </c:pt>
                <c:pt idx="85">
                  <c:v>34.150000000000034</c:v>
                </c:pt>
                <c:pt idx="86">
                  <c:v>34.540000000000035</c:v>
                </c:pt>
                <c:pt idx="87">
                  <c:v>34.930000000000035</c:v>
                </c:pt>
                <c:pt idx="88">
                  <c:v>35.320000000000036</c:v>
                </c:pt>
                <c:pt idx="89">
                  <c:v>35.710000000000036</c:v>
                </c:pt>
                <c:pt idx="90">
                  <c:v>36.100000000000037</c:v>
                </c:pt>
                <c:pt idx="91">
                  <c:v>36.490000000000038</c:v>
                </c:pt>
                <c:pt idx="92">
                  <c:v>36.880000000000038</c:v>
                </c:pt>
                <c:pt idx="93">
                  <c:v>37.270000000000039</c:v>
                </c:pt>
                <c:pt idx="94">
                  <c:v>37.660000000000039</c:v>
                </c:pt>
                <c:pt idx="95">
                  <c:v>38.05000000000004</c:v>
                </c:pt>
                <c:pt idx="96">
                  <c:v>38.44000000000004</c:v>
                </c:pt>
                <c:pt idx="97">
                  <c:v>38.830000000000041</c:v>
                </c:pt>
                <c:pt idx="98">
                  <c:v>39.220000000000041</c:v>
                </c:pt>
                <c:pt idx="99">
                  <c:v>39.610000000000042</c:v>
                </c:pt>
                <c:pt idx="100">
                  <c:v>40.000000000000043</c:v>
                </c:pt>
              </c:numCache>
            </c:numRef>
          </c:cat>
          <c:val>
            <c:numRef>
              <c:f>Sheet0!$D$55:$D$155</c:f>
              <c:numCache>
                <c:formatCode>0.00</c:formatCode>
                <c:ptCount val="101"/>
                <c:pt idx="0">
                  <c:v>4.4037089890452581</c:v>
                </c:pt>
                <c:pt idx="1">
                  <c:v>4.626264759512134</c:v>
                </c:pt>
                <c:pt idx="2">
                  <c:v>4.8043093758856337</c:v>
                </c:pt>
                <c:pt idx="3">
                  <c:v>5.0268651463525096</c:v>
                </c:pt>
                <c:pt idx="4">
                  <c:v>5.2494209168193837</c:v>
                </c:pt>
                <c:pt idx="5">
                  <c:v>5.4719766872862596</c:v>
                </c:pt>
                <c:pt idx="6">
                  <c:v>5.6945324577531355</c:v>
                </c:pt>
                <c:pt idx="7">
                  <c:v>5.9170882282200097</c:v>
                </c:pt>
                <c:pt idx="8">
                  <c:v>6.1396439986868856</c:v>
                </c:pt>
                <c:pt idx="9">
                  <c:v>6.3621997691537597</c:v>
                </c:pt>
                <c:pt idx="10">
                  <c:v>6.5847555396206356</c:v>
                </c:pt>
                <c:pt idx="11">
                  <c:v>6.8073113100875116</c:v>
                </c:pt>
                <c:pt idx="12">
                  <c:v>7.0743782346477602</c:v>
                </c:pt>
                <c:pt idx="13">
                  <c:v>7.2969340051146361</c:v>
                </c:pt>
                <c:pt idx="14">
                  <c:v>7.5640009296748865</c:v>
                </c:pt>
                <c:pt idx="15">
                  <c:v>7.7865567001417624</c:v>
                </c:pt>
                <c:pt idx="16">
                  <c:v>8.0536236247020128</c:v>
                </c:pt>
                <c:pt idx="17">
                  <c:v>8.3206905492622614</c:v>
                </c:pt>
                <c:pt idx="18">
                  <c:v>8.5877574738225118</c:v>
                </c:pt>
                <c:pt idx="19">
                  <c:v>8.8548243983827621</c:v>
                </c:pt>
                <c:pt idx="20">
                  <c:v>9.1218913229430125</c:v>
                </c:pt>
                <c:pt idx="21">
                  <c:v>9.3889582475032629</c:v>
                </c:pt>
                <c:pt idx="22">
                  <c:v>9.6560251720635133</c:v>
                </c:pt>
                <c:pt idx="23">
                  <c:v>9.9230920966237637</c:v>
                </c:pt>
                <c:pt idx="24">
                  <c:v>10.190159021184012</c:v>
                </c:pt>
                <c:pt idx="25">
                  <c:v>10.501737099837641</c:v>
                </c:pt>
                <c:pt idx="26">
                  <c:v>10.768804024397891</c:v>
                </c:pt>
                <c:pt idx="27">
                  <c:v>11.080382103051516</c:v>
                </c:pt>
                <c:pt idx="28">
                  <c:v>11.391960181705141</c:v>
                </c:pt>
                <c:pt idx="29">
                  <c:v>11.659027106265391</c:v>
                </c:pt>
                <c:pt idx="30">
                  <c:v>11.970605184919016</c:v>
                </c:pt>
                <c:pt idx="31">
                  <c:v>12.282183263572641</c:v>
                </c:pt>
                <c:pt idx="32">
                  <c:v>12.593761342226266</c:v>
                </c:pt>
                <c:pt idx="33">
                  <c:v>12.905339420879891</c:v>
                </c:pt>
                <c:pt idx="34">
                  <c:v>13.216917499533515</c:v>
                </c:pt>
                <c:pt idx="35">
                  <c:v>13.573006732280518</c:v>
                </c:pt>
                <c:pt idx="36">
                  <c:v>13.884584810934143</c:v>
                </c:pt>
                <c:pt idx="37">
                  <c:v>14.196162889587768</c:v>
                </c:pt>
                <c:pt idx="38">
                  <c:v>14.552252122334767</c:v>
                </c:pt>
                <c:pt idx="39">
                  <c:v>14.863830200988392</c:v>
                </c:pt>
                <c:pt idx="40">
                  <c:v>15.219919433735395</c:v>
                </c:pt>
                <c:pt idx="41">
                  <c:v>15.576008666482394</c:v>
                </c:pt>
                <c:pt idx="42">
                  <c:v>15.932097899229394</c:v>
                </c:pt>
                <c:pt idx="43">
                  <c:v>16.288187131976393</c:v>
                </c:pt>
                <c:pt idx="44">
                  <c:v>16.644276364723396</c:v>
                </c:pt>
                <c:pt idx="45">
                  <c:v>17.000365597470395</c:v>
                </c:pt>
                <c:pt idx="46">
                  <c:v>17.356454830217395</c:v>
                </c:pt>
                <c:pt idx="47">
                  <c:v>17.712544062964398</c:v>
                </c:pt>
                <c:pt idx="48">
                  <c:v>18.113144449804771</c:v>
                </c:pt>
                <c:pt idx="49">
                  <c:v>18.469233682551771</c:v>
                </c:pt>
                <c:pt idx="50">
                  <c:v>18.869834069392148</c:v>
                </c:pt>
                <c:pt idx="51">
                  <c:v>19.270434456232522</c:v>
                </c:pt>
                <c:pt idx="52">
                  <c:v>19.626523688979521</c:v>
                </c:pt>
                <c:pt idx="53">
                  <c:v>20.027124075819899</c:v>
                </c:pt>
                <c:pt idx="54">
                  <c:v>20.427724462660272</c:v>
                </c:pt>
                <c:pt idx="55">
                  <c:v>20.82832484950065</c:v>
                </c:pt>
                <c:pt idx="56">
                  <c:v>21.228925236341023</c:v>
                </c:pt>
                <c:pt idx="57">
                  <c:v>21.629525623181401</c:v>
                </c:pt>
                <c:pt idx="58">
                  <c:v>22.074637164115149</c:v>
                </c:pt>
                <c:pt idx="59">
                  <c:v>22.475237550955526</c:v>
                </c:pt>
                <c:pt idx="60">
                  <c:v>22.920349091889275</c:v>
                </c:pt>
                <c:pt idx="61">
                  <c:v>23.320949478729652</c:v>
                </c:pt>
                <c:pt idx="62">
                  <c:v>23.7660610196634</c:v>
                </c:pt>
                <c:pt idx="63">
                  <c:v>24.211172560597152</c:v>
                </c:pt>
                <c:pt idx="64">
                  <c:v>24.611772947437526</c:v>
                </c:pt>
                <c:pt idx="65">
                  <c:v>25.056884488371278</c:v>
                </c:pt>
                <c:pt idx="66">
                  <c:v>25.50199602930503</c:v>
                </c:pt>
                <c:pt idx="67">
                  <c:v>25.947107570238778</c:v>
                </c:pt>
                <c:pt idx="68">
                  <c:v>26.39221911117253</c:v>
                </c:pt>
                <c:pt idx="69">
                  <c:v>26.881841806199652</c:v>
                </c:pt>
                <c:pt idx="70">
                  <c:v>27.326953347133404</c:v>
                </c:pt>
                <c:pt idx="71">
                  <c:v>27.772064888067156</c:v>
                </c:pt>
                <c:pt idx="72">
                  <c:v>28.261687583094279</c:v>
                </c:pt>
                <c:pt idx="73">
                  <c:v>28.751310278121409</c:v>
                </c:pt>
                <c:pt idx="74">
                  <c:v>29.196421819055153</c:v>
                </c:pt>
                <c:pt idx="75">
                  <c:v>29.686044514082283</c:v>
                </c:pt>
                <c:pt idx="76">
                  <c:v>30.175667209109406</c:v>
                </c:pt>
                <c:pt idx="77">
                  <c:v>30.665289904136536</c:v>
                </c:pt>
                <c:pt idx="78">
                  <c:v>31.154912599163659</c:v>
                </c:pt>
                <c:pt idx="79">
                  <c:v>31.644535294190781</c:v>
                </c:pt>
                <c:pt idx="80">
                  <c:v>32.134157989217911</c:v>
                </c:pt>
                <c:pt idx="81">
                  <c:v>32.623780684245034</c:v>
                </c:pt>
                <c:pt idx="82">
                  <c:v>33.113403379272157</c:v>
                </c:pt>
                <c:pt idx="83">
                  <c:v>33.647537228392657</c:v>
                </c:pt>
                <c:pt idx="84">
                  <c:v>34.137159923419787</c:v>
                </c:pt>
                <c:pt idx="85">
                  <c:v>34.671293772540288</c:v>
                </c:pt>
                <c:pt idx="86">
                  <c:v>35.160916467567411</c:v>
                </c:pt>
                <c:pt idx="87">
                  <c:v>35.695050316687912</c:v>
                </c:pt>
                <c:pt idx="88">
                  <c:v>36.229184165808412</c:v>
                </c:pt>
                <c:pt idx="89">
                  <c:v>36.763318014928913</c:v>
                </c:pt>
                <c:pt idx="90">
                  <c:v>37.297451864049414</c:v>
                </c:pt>
                <c:pt idx="91">
                  <c:v>37.831585713169915</c:v>
                </c:pt>
                <c:pt idx="92">
                  <c:v>38.365719562290415</c:v>
                </c:pt>
                <c:pt idx="93">
                  <c:v>38.899853411410916</c:v>
                </c:pt>
                <c:pt idx="94">
                  <c:v>39.433987260531417</c:v>
                </c:pt>
                <c:pt idx="95">
                  <c:v>39.968121109651918</c:v>
                </c:pt>
                <c:pt idx="96">
                  <c:v>40.546766112865789</c:v>
                </c:pt>
                <c:pt idx="97">
                  <c:v>41.08089996198629</c:v>
                </c:pt>
                <c:pt idx="98">
                  <c:v>41.615033811106791</c:v>
                </c:pt>
                <c:pt idx="99">
                  <c:v>42.19367881432067</c:v>
                </c:pt>
                <c:pt idx="100">
                  <c:v>42.727812663441171</c:v>
                </c:pt>
              </c:numCache>
            </c:numRef>
          </c:val>
          <c:smooth val="0"/>
          <c:extLst>
            <c:ext xmlns:c16="http://schemas.microsoft.com/office/drawing/2014/chart" uri="{C3380CC4-5D6E-409C-BE32-E72D297353CC}">
              <c16:uniqueId val="{00000001-97D3-4C34-94A4-AEA6DFBF2EBC}"/>
            </c:ext>
          </c:extLst>
        </c:ser>
        <c:ser>
          <c:idx val="2"/>
          <c:order val="2"/>
          <c:tx>
            <c:strRef>
              <c:f>Sheet0!$U$54</c:f>
              <c:strCache>
                <c:ptCount val="1"/>
                <c:pt idx="0">
                  <c:v> Integer Approximation</c:v>
                </c:pt>
              </c:strCache>
            </c:strRef>
          </c:tx>
          <c:spPr>
            <a:ln w="19050" cmpd="sng">
              <a:solidFill>
                <a:srgbClr val="FF9900"/>
              </a:solidFill>
              <a:prstDash val="solid"/>
            </a:ln>
          </c:spPr>
          <c:marker>
            <c:symbol val="none"/>
          </c:marker>
          <c:cat>
            <c:numRef>
              <c:f>Sheet0!$A$55:$A$155</c:f>
              <c:numCache>
                <c:formatCode>General</c:formatCode>
                <c:ptCount val="101"/>
                <c:pt idx="0">
                  <c:v>1</c:v>
                </c:pt>
                <c:pt idx="1">
                  <c:v>1.3900000000000001</c:v>
                </c:pt>
                <c:pt idx="2">
                  <c:v>1.7800000000000002</c:v>
                </c:pt>
                <c:pt idx="3">
                  <c:v>2.1700000000000004</c:v>
                </c:pt>
                <c:pt idx="4">
                  <c:v>2.5600000000000005</c:v>
                </c:pt>
                <c:pt idx="5">
                  <c:v>2.9500000000000006</c:v>
                </c:pt>
                <c:pt idx="6">
                  <c:v>3.3400000000000007</c:v>
                </c:pt>
                <c:pt idx="7">
                  <c:v>3.7300000000000009</c:v>
                </c:pt>
                <c:pt idx="8">
                  <c:v>4.120000000000001</c:v>
                </c:pt>
                <c:pt idx="9">
                  <c:v>4.5100000000000007</c:v>
                </c:pt>
                <c:pt idx="10">
                  <c:v>4.9000000000000004</c:v>
                </c:pt>
                <c:pt idx="11">
                  <c:v>5.29</c:v>
                </c:pt>
                <c:pt idx="12">
                  <c:v>5.68</c:v>
                </c:pt>
                <c:pt idx="13">
                  <c:v>6.0699999999999994</c:v>
                </c:pt>
                <c:pt idx="14">
                  <c:v>6.4599999999999991</c:v>
                </c:pt>
                <c:pt idx="15">
                  <c:v>6.8499999999999988</c:v>
                </c:pt>
                <c:pt idx="16">
                  <c:v>7.2399999999999984</c:v>
                </c:pt>
                <c:pt idx="17">
                  <c:v>7.6299999999999981</c:v>
                </c:pt>
                <c:pt idx="18">
                  <c:v>8.0199999999999978</c:v>
                </c:pt>
                <c:pt idx="19">
                  <c:v>8.4099999999999984</c:v>
                </c:pt>
                <c:pt idx="20">
                  <c:v>8.7999999999999989</c:v>
                </c:pt>
                <c:pt idx="21">
                  <c:v>9.19</c:v>
                </c:pt>
                <c:pt idx="22">
                  <c:v>9.58</c:v>
                </c:pt>
                <c:pt idx="23">
                  <c:v>9.9700000000000006</c:v>
                </c:pt>
                <c:pt idx="24">
                  <c:v>10.360000000000001</c:v>
                </c:pt>
                <c:pt idx="25">
                  <c:v>10.750000000000002</c:v>
                </c:pt>
                <c:pt idx="26">
                  <c:v>11.140000000000002</c:v>
                </c:pt>
                <c:pt idx="27">
                  <c:v>11.530000000000003</c:v>
                </c:pt>
                <c:pt idx="28">
                  <c:v>11.920000000000003</c:v>
                </c:pt>
                <c:pt idx="29">
                  <c:v>12.310000000000004</c:v>
                </c:pt>
                <c:pt idx="30">
                  <c:v>12.700000000000005</c:v>
                </c:pt>
                <c:pt idx="31">
                  <c:v>13.090000000000005</c:v>
                </c:pt>
                <c:pt idx="32">
                  <c:v>13.480000000000006</c:v>
                </c:pt>
                <c:pt idx="33">
                  <c:v>13.870000000000006</c:v>
                </c:pt>
                <c:pt idx="34">
                  <c:v>14.260000000000007</c:v>
                </c:pt>
                <c:pt idx="35">
                  <c:v>14.650000000000007</c:v>
                </c:pt>
                <c:pt idx="36">
                  <c:v>15.040000000000008</c:v>
                </c:pt>
                <c:pt idx="37">
                  <c:v>15.430000000000009</c:v>
                </c:pt>
                <c:pt idx="38">
                  <c:v>15.820000000000009</c:v>
                </c:pt>
                <c:pt idx="39">
                  <c:v>16.210000000000008</c:v>
                </c:pt>
                <c:pt idx="40">
                  <c:v>16.600000000000009</c:v>
                </c:pt>
                <c:pt idx="41">
                  <c:v>16.990000000000009</c:v>
                </c:pt>
                <c:pt idx="42">
                  <c:v>17.38000000000001</c:v>
                </c:pt>
                <c:pt idx="43">
                  <c:v>17.77000000000001</c:v>
                </c:pt>
                <c:pt idx="44">
                  <c:v>18.160000000000011</c:v>
                </c:pt>
                <c:pt idx="45">
                  <c:v>18.550000000000011</c:v>
                </c:pt>
                <c:pt idx="46">
                  <c:v>18.940000000000012</c:v>
                </c:pt>
                <c:pt idx="47">
                  <c:v>19.330000000000013</c:v>
                </c:pt>
                <c:pt idx="48">
                  <c:v>19.720000000000013</c:v>
                </c:pt>
                <c:pt idx="49">
                  <c:v>20.110000000000014</c:v>
                </c:pt>
                <c:pt idx="50">
                  <c:v>20.500000000000014</c:v>
                </c:pt>
                <c:pt idx="51">
                  <c:v>20.890000000000015</c:v>
                </c:pt>
                <c:pt idx="52">
                  <c:v>21.280000000000015</c:v>
                </c:pt>
                <c:pt idx="53">
                  <c:v>21.670000000000016</c:v>
                </c:pt>
                <c:pt idx="54">
                  <c:v>22.060000000000016</c:v>
                </c:pt>
                <c:pt idx="55">
                  <c:v>22.450000000000017</c:v>
                </c:pt>
                <c:pt idx="56">
                  <c:v>22.840000000000018</c:v>
                </c:pt>
                <c:pt idx="57">
                  <c:v>23.230000000000018</c:v>
                </c:pt>
                <c:pt idx="58">
                  <c:v>23.620000000000019</c:v>
                </c:pt>
                <c:pt idx="59">
                  <c:v>24.010000000000019</c:v>
                </c:pt>
                <c:pt idx="60">
                  <c:v>24.40000000000002</c:v>
                </c:pt>
                <c:pt idx="61">
                  <c:v>24.79000000000002</c:v>
                </c:pt>
                <c:pt idx="62">
                  <c:v>25.180000000000021</c:v>
                </c:pt>
                <c:pt idx="63">
                  <c:v>25.570000000000022</c:v>
                </c:pt>
                <c:pt idx="64">
                  <c:v>25.960000000000022</c:v>
                </c:pt>
                <c:pt idx="65">
                  <c:v>26.350000000000023</c:v>
                </c:pt>
                <c:pt idx="66">
                  <c:v>26.740000000000023</c:v>
                </c:pt>
                <c:pt idx="67">
                  <c:v>27.130000000000024</c:v>
                </c:pt>
                <c:pt idx="68">
                  <c:v>27.520000000000024</c:v>
                </c:pt>
                <c:pt idx="69">
                  <c:v>27.910000000000025</c:v>
                </c:pt>
                <c:pt idx="70">
                  <c:v>28.300000000000026</c:v>
                </c:pt>
                <c:pt idx="71">
                  <c:v>28.690000000000026</c:v>
                </c:pt>
                <c:pt idx="72">
                  <c:v>29.080000000000027</c:v>
                </c:pt>
                <c:pt idx="73">
                  <c:v>29.470000000000027</c:v>
                </c:pt>
                <c:pt idx="74">
                  <c:v>29.860000000000028</c:v>
                </c:pt>
                <c:pt idx="75">
                  <c:v>30.250000000000028</c:v>
                </c:pt>
                <c:pt idx="76">
                  <c:v>30.640000000000029</c:v>
                </c:pt>
                <c:pt idx="77">
                  <c:v>31.03000000000003</c:v>
                </c:pt>
                <c:pt idx="78">
                  <c:v>31.42000000000003</c:v>
                </c:pt>
                <c:pt idx="79">
                  <c:v>31.810000000000031</c:v>
                </c:pt>
                <c:pt idx="80">
                  <c:v>32.200000000000031</c:v>
                </c:pt>
                <c:pt idx="81">
                  <c:v>32.590000000000032</c:v>
                </c:pt>
                <c:pt idx="82">
                  <c:v>32.980000000000032</c:v>
                </c:pt>
                <c:pt idx="83">
                  <c:v>33.370000000000033</c:v>
                </c:pt>
                <c:pt idx="84">
                  <c:v>33.760000000000034</c:v>
                </c:pt>
                <c:pt idx="85">
                  <c:v>34.150000000000034</c:v>
                </c:pt>
                <c:pt idx="86">
                  <c:v>34.540000000000035</c:v>
                </c:pt>
                <c:pt idx="87">
                  <c:v>34.930000000000035</c:v>
                </c:pt>
                <c:pt idx="88">
                  <c:v>35.320000000000036</c:v>
                </c:pt>
                <c:pt idx="89">
                  <c:v>35.710000000000036</c:v>
                </c:pt>
                <c:pt idx="90">
                  <c:v>36.100000000000037</c:v>
                </c:pt>
                <c:pt idx="91">
                  <c:v>36.490000000000038</c:v>
                </c:pt>
                <c:pt idx="92">
                  <c:v>36.880000000000038</c:v>
                </c:pt>
                <c:pt idx="93">
                  <c:v>37.270000000000039</c:v>
                </c:pt>
                <c:pt idx="94">
                  <c:v>37.660000000000039</c:v>
                </c:pt>
                <c:pt idx="95">
                  <c:v>38.05000000000004</c:v>
                </c:pt>
                <c:pt idx="96">
                  <c:v>38.44000000000004</c:v>
                </c:pt>
                <c:pt idx="97">
                  <c:v>38.830000000000041</c:v>
                </c:pt>
                <c:pt idx="98">
                  <c:v>39.220000000000041</c:v>
                </c:pt>
                <c:pt idx="99">
                  <c:v>39.610000000000042</c:v>
                </c:pt>
                <c:pt idx="100">
                  <c:v>40.000000000000043</c:v>
                </c:pt>
              </c:numCache>
            </c:numRef>
          </c:cat>
          <c:val>
            <c:numRef>
              <c:f>Sheet0!$U$55:$U$155</c:f>
              <c:numCache>
                <c:formatCode>General</c:formatCode>
                <c:ptCount val="101"/>
                <c:pt idx="0">
                  <c:v>4</c:v>
                </c:pt>
                <c:pt idx="1">
                  <c:v>4</c:v>
                </c:pt>
                <c:pt idx="2">
                  <c:v>4</c:v>
                </c:pt>
                <c:pt idx="3">
                  <c:v>5</c:v>
                </c:pt>
                <c:pt idx="4">
                  <c:v>5</c:v>
                </c:pt>
                <c:pt idx="5">
                  <c:v>5</c:v>
                </c:pt>
                <c:pt idx="6">
                  <c:v>5</c:v>
                </c:pt>
                <c:pt idx="7">
                  <c:v>5</c:v>
                </c:pt>
                <c:pt idx="8">
                  <c:v>6</c:v>
                </c:pt>
                <c:pt idx="9">
                  <c:v>6</c:v>
                </c:pt>
                <c:pt idx="10">
                  <c:v>6</c:v>
                </c:pt>
                <c:pt idx="11">
                  <c:v>6</c:v>
                </c:pt>
                <c:pt idx="12">
                  <c:v>7</c:v>
                </c:pt>
                <c:pt idx="13">
                  <c:v>7</c:v>
                </c:pt>
                <c:pt idx="14">
                  <c:v>7</c:v>
                </c:pt>
                <c:pt idx="15">
                  <c:v>7</c:v>
                </c:pt>
                <c:pt idx="16">
                  <c:v>8</c:v>
                </c:pt>
                <c:pt idx="17">
                  <c:v>8</c:v>
                </c:pt>
                <c:pt idx="18">
                  <c:v>8</c:v>
                </c:pt>
                <c:pt idx="19">
                  <c:v>8</c:v>
                </c:pt>
                <c:pt idx="20">
                  <c:v>9</c:v>
                </c:pt>
                <c:pt idx="21">
                  <c:v>9</c:v>
                </c:pt>
                <c:pt idx="22">
                  <c:v>9</c:v>
                </c:pt>
                <c:pt idx="23">
                  <c:v>9</c:v>
                </c:pt>
                <c:pt idx="24">
                  <c:v>10</c:v>
                </c:pt>
                <c:pt idx="25">
                  <c:v>10</c:v>
                </c:pt>
                <c:pt idx="26">
                  <c:v>10</c:v>
                </c:pt>
                <c:pt idx="27">
                  <c:v>11</c:v>
                </c:pt>
                <c:pt idx="28">
                  <c:v>11</c:v>
                </c:pt>
                <c:pt idx="29">
                  <c:v>11</c:v>
                </c:pt>
                <c:pt idx="30">
                  <c:v>12</c:v>
                </c:pt>
                <c:pt idx="31">
                  <c:v>12</c:v>
                </c:pt>
                <c:pt idx="32">
                  <c:v>12</c:v>
                </c:pt>
                <c:pt idx="33">
                  <c:v>12</c:v>
                </c:pt>
                <c:pt idx="34">
                  <c:v>13</c:v>
                </c:pt>
                <c:pt idx="35">
                  <c:v>13</c:v>
                </c:pt>
                <c:pt idx="36">
                  <c:v>13</c:v>
                </c:pt>
                <c:pt idx="37">
                  <c:v>14</c:v>
                </c:pt>
                <c:pt idx="38">
                  <c:v>14</c:v>
                </c:pt>
                <c:pt idx="39">
                  <c:v>14</c:v>
                </c:pt>
                <c:pt idx="40">
                  <c:v>15</c:v>
                </c:pt>
                <c:pt idx="41">
                  <c:v>15</c:v>
                </c:pt>
                <c:pt idx="42">
                  <c:v>15</c:v>
                </c:pt>
                <c:pt idx="43">
                  <c:v>16</c:v>
                </c:pt>
                <c:pt idx="44">
                  <c:v>16</c:v>
                </c:pt>
                <c:pt idx="45">
                  <c:v>17</c:v>
                </c:pt>
                <c:pt idx="46">
                  <c:v>17</c:v>
                </c:pt>
                <c:pt idx="47">
                  <c:v>17</c:v>
                </c:pt>
                <c:pt idx="48">
                  <c:v>18</c:v>
                </c:pt>
                <c:pt idx="49">
                  <c:v>18</c:v>
                </c:pt>
                <c:pt idx="50">
                  <c:v>18</c:v>
                </c:pt>
                <c:pt idx="51">
                  <c:v>19</c:v>
                </c:pt>
                <c:pt idx="52">
                  <c:v>19</c:v>
                </c:pt>
                <c:pt idx="53">
                  <c:v>20</c:v>
                </c:pt>
                <c:pt idx="54">
                  <c:v>20</c:v>
                </c:pt>
                <c:pt idx="55">
                  <c:v>20</c:v>
                </c:pt>
                <c:pt idx="56">
                  <c:v>21</c:v>
                </c:pt>
                <c:pt idx="57">
                  <c:v>21</c:v>
                </c:pt>
                <c:pt idx="58">
                  <c:v>22</c:v>
                </c:pt>
                <c:pt idx="59">
                  <c:v>22</c:v>
                </c:pt>
                <c:pt idx="60">
                  <c:v>22</c:v>
                </c:pt>
                <c:pt idx="61">
                  <c:v>23</c:v>
                </c:pt>
                <c:pt idx="62">
                  <c:v>23</c:v>
                </c:pt>
                <c:pt idx="63">
                  <c:v>24</c:v>
                </c:pt>
                <c:pt idx="64">
                  <c:v>24</c:v>
                </c:pt>
                <c:pt idx="65">
                  <c:v>25</c:v>
                </c:pt>
                <c:pt idx="66">
                  <c:v>25</c:v>
                </c:pt>
                <c:pt idx="67">
                  <c:v>25</c:v>
                </c:pt>
                <c:pt idx="68">
                  <c:v>26</c:v>
                </c:pt>
                <c:pt idx="69">
                  <c:v>26</c:v>
                </c:pt>
                <c:pt idx="70">
                  <c:v>27</c:v>
                </c:pt>
                <c:pt idx="71">
                  <c:v>27</c:v>
                </c:pt>
                <c:pt idx="72">
                  <c:v>28</c:v>
                </c:pt>
                <c:pt idx="73">
                  <c:v>28</c:v>
                </c:pt>
                <c:pt idx="74">
                  <c:v>29</c:v>
                </c:pt>
                <c:pt idx="75">
                  <c:v>29</c:v>
                </c:pt>
                <c:pt idx="76">
                  <c:v>30</c:v>
                </c:pt>
                <c:pt idx="77">
                  <c:v>30</c:v>
                </c:pt>
                <c:pt idx="78">
                  <c:v>31</c:v>
                </c:pt>
                <c:pt idx="79">
                  <c:v>31</c:v>
                </c:pt>
                <c:pt idx="80">
                  <c:v>32</c:v>
                </c:pt>
                <c:pt idx="81">
                  <c:v>32</c:v>
                </c:pt>
                <c:pt idx="82">
                  <c:v>33</c:v>
                </c:pt>
                <c:pt idx="83">
                  <c:v>33</c:v>
                </c:pt>
                <c:pt idx="84">
                  <c:v>34</c:v>
                </c:pt>
                <c:pt idx="85">
                  <c:v>34</c:v>
                </c:pt>
                <c:pt idx="86">
                  <c:v>35</c:v>
                </c:pt>
                <c:pt idx="87">
                  <c:v>35</c:v>
                </c:pt>
                <c:pt idx="88">
                  <c:v>36</c:v>
                </c:pt>
                <c:pt idx="89">
                  <c:v>36</c:v>
                </c:pt>
                <c:pt idx="90">
                  <c:v>37</c:v>
                </c:pt>
                <c:pt idx="91">
                  <c:v>37</c:v>
                </c:pt>
                <c:pt idx="92">
                  <c:v>38</c:v>
                </c:pt>
                <c:pt idx="93">
                  <c:v>38</c:v>
                </c:pt>
                <c:pt idx="94">
                  <c:v>39</c:v>
                </c:pt>
                <c:pt idx="95">
                  <c:v>39</c:v>
                </c:pt>
                <c:pt idx="96">
                  <c:v>40</c:v>
                </c:pt>
                <c:pt idx="97">
                  <c:v>41</c:v>
                </c:pt>
                <c:pt idx="98">
                  <c:v>41</c:v>
                </c:pt>
                <c:pt idx="99">
                  <c:v>42</c:v>
                </c:pt>
                <c:pt idx="100">
                  <c:v>42</c:v>
                </c:pt>
              </c:numCache>
            </c:numRef>
          </c:val>
          <c:smooth val="0"/>
          <c:extLst>
            <c:ext xmlns:c16="http://schemas.microsoft.com/office/drawing/2014/chart" uri="{C3380CC4-5D6E-409C-BE32-E72D297353CC}">
              <c16:uniqueId val="{00000002-97D3-4C34-94A4-AEA6DFBF2EBC}"/>
            </c:ext>
          </c:extLst>
        </c:ser>
        <c:dLbls>
          <c:showLegendKey val="0"/>
          <c:showVal val="0"/>
          <c:showCatName val="0"/>
          <c:showSerName val="0"/>
          <c:showPercent val="0"/>
          <c:showBubbleSize val="0"/>
        </c:dLbls>
        <c:smooth val="0"/>
        <c:axId val="434723489"/>
        <c:axId val="1069052229"/>
      </c:lineChart>
      <c:catAx>
        <c:axId val="434723489"/>
        <c:scaling>
          <c:orientation val="minMax"/>
        </c:scaling>
        <c:delete val="0"/>
        <c:axPos val="b"/>
        <c:title>
          <c:tx>
            <c:rich>
              <a:bodyPr/>
              <a:lstStyle/>
              <a:p>
                <a:pPr lvl="0">
                  <a:defRPr b="0" i="0">
                    <a:solidFill>
                      <a:srgbClr val="000000"/>
                    </a:solidFill>
                    <a:latin typeface="Roboto"/>
                  </a:defRPr>
                </a:pPr>
                <a:r>
                  <a:rPr lang="es-ES"/>
                  <a:t>Actual Temperature °C (</a:t>
                </a:r>
                <a:r>
                  <a:rPr lang="el-GR"/>
                  <a:t>β </a:t>
                </a:r>
                <a:r>
                  <a:rPr lang="es-ES"/>
                  <a:t>parameter equation Steinhart-Hart variant)</a:t>
                </a:r>
              </a:p>
            </c:rich>
          </c:tx>
          <c:overlay val="0"/>
        </c:title>
        <c:numFmt formatCode="General" sourceLinked="1"/>
        <c:majorTickMark val="cross"/>
        <c:minorTickMark val="cross"/>
        <c:tickLblPos val="nextTo"/>
        <c:txPr>
          <a:bodyPr/>
          <a:lstStyle/>
          <a:p>
            <a:pPr lvl="0">
              <a:defRPr b="0" i="0">
                <a:solidFill>
                  <a:srgbClr val="000000"/>
                </a:solidFill>
                <a:latin typeface="Roboto"/>
              </a:defRPr>
            </a:pPr>
            <a:endParaRPr lang="es-ES"/>
          </a:p>
        </c:txPr>
        <c:crossAx val="1069052229"/>
        <c:crosses val="autoZero"/>
        <c:auto val="1"/>
        <c:lblAlgn val="ctr"/>
        <c:lblOffset val="100"/>
        <c:noMultiLvlLbl val="1"/>
      </c:catAx>
      <c:valAx>
        <c:axId val="1069052229"/>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Roboto"/>
                  </a:defRPr>
                </a:pPr>
                <a:r>
                  <a:rPr lang="es-ES"/>
                  <a:t>Approximation Result °C</a:t>
                </a:r>
              </a:p>
            </c:rich>
          </c:tx>
          <c:overlay val="0"/>
        </c:title>
        <c:numFmt formatCode="0.00" sourceLinked="1"/>
        <c:majorTickMark val="cross"/>
        <c:minorTickMark val="cross"/>
        <c:tickLblPos val="nextTo"/>
        <c:spPr>
          <a:ln w="47625">
            <a:noFill/>
          </a:ln>
        </c:spPr>
        <c:txPr>
          <a:bodyPr/>
          <a:lstStyle/>
          <a:p>
            <a:pPr lvl="0">
              <a:defRPr b="0" i="0">
                <a:solidFill>
                  <a:srgbClr val="000000"/>
                </a:solidFill>
                <a:latin typeface="Roboto"/>
              </a:defRPr>
            </a:pPr>
            <a:endParaRPr lang="es-ES"/>
          </a:p>
        </c:txPr>
        <c:crossAx val="434723489"/>
        <c:crosses val="autoZero"/>
        <c:crossBetween val="between"/>
      </c:valAx>
      <c:spPr>
        <a:solidFill>
          <a:srgbClr val="FFFFFF"/>
        </a:solidFill>
      </c:spPr>
    </c:plotArea>
    <c:legend>
      <c:legendPos val="r"/>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000000"/>
                </a:solidFill>
                <a:latin typeface="Roboto"/>
              </a:defRPr>
            </a:pPr>
            <a:r>
              <a:rPr lang="es-ES"/>
              <a:t>Integer Approximation Error</a:t>
            </a:r>
          </a:p>
        </c:rich>
      </c:tx>
      <c:overlay val="0"/>
    </c:title>
    <c:autoTitleDeleted val="0"/>
    <c:plotArea>
      <c:layout>
        <c:manualLayout>
          <c:xMode val="edge"/>
          <c:yMode val="edge"/>
          <c:x val="0.19016"/>
          <c:y val="0.19047999999999998"/>
          <c:w val="0.75409999999999999"/>
          <c:h val="0.61904999999999999"/>
        </c:manualLayout>
      </c:layout>
      <c:areaChart>
        <c:grouping val="stacked"/>
        <c:varyColors val="1"/>
        <c:ser>
          <c:idx val="0"/>
          <c:order val="0"/>
          <c:tx>
            <c:strRef>
              <c:f>Sheet0!$X$54</c:f>
              <c:strCache>
                <c:ptCount val="1"/>
                <c:pt idx="0">
                  <c:v>Corrected Signed  Integer Error</c:v>
                </c:pt>
              </c:strCache>
            </c:strRef>
          </c:tx>
          <c:spPr>
            <a:solidFill>
              <a:srgbClr val="3366CC">
                <a:alpha val="30000"/>
              </a:srgbClr>
            </a:solidFill>
            <a:ln w="19050" cmpd="sng">
              <a:solidFill>
                <a:srgbClr val="3366CC"/>
              </a:solidFill>
              <a:prstDash val="solid"/>
            </a:ln>
          </c:spPr>
          <c:cat>
            <c:numRef>
              <c:f>Sheet0!$W$55:$W$155</c:f>
              <c:numCache>
                <c:formatCode>General</c:formatCode>
                <c:ptCount val="101"/>
                <c:pt idx="0">
                  <c:v>1</c:v>
                </c:pt>
                <c:pt idx="1">
                  <c:v>1.3900000000000001</c:v>
                </c:pt>
                <c:pt idx="2">
                  <c:v>1.7800000000000002</c:v>
                </c:pt>
                <c:pt idx="3">
                  <c:v>2.1700000000000004</c:v>
                </c:pt>
                <c:pt idx="4">
                  <c:v>2.5600000000000005</c:v>
                </c:pt>
                <c:pt idx="5">
                  <c:v>2.9500000000000006</c:v>
                </c:pt>
                <c:pt idx="6">
                  <c:v>3.3400000000000007</c:v>
                </c:pt>
                <c:pt idx="7">
                  <c:v>3.7300000000000009</c:v>
                </c:pt>
                <c:pt idx="8">
                  <c:v>4.120000000000001</c:v>
                </c:pt>
                <c:pt idx="9">
                  <c:v>4.5100000000000007</c:v>
                </c:pt>
                <c:pt idx="10">
                  <c:v>4.9000000000000004</c:v>
                </c:pt>
                <c:pt idx="11">
                  <c:v>5.29</c:v>
                </c:pt>
                <c:pt idx="12">
                  <c:v>5.68</c:v>
                </c:pt>
                <c:pt idx="13">
                  <c:v>6.0699999999999994</c:v>
                </c:pt>
                <c:pt idx="14">
                  <c:v>6.4599999999999991</c:v>
                </c:pt>
                <c:pt idx="15">
                  <c:v>6.8499999999999988</c:v>
                </c:pt>
                <c:pt idx="16">
                  <c:v>7.2399999999999984</c:v>
                </c:pt>
                <c:pt idx="17">
                  <c:v>7.6299999999999981</c:v>
                </c:pt>
                <c:pt idx="18">
                  <c:v>8.0199999999999978</c:v>
                </c:pt>
                <c:pt idx="19">
                  <c:v>8.4099999999999984</c:v>
                </c:pt>
                <c:pt idx="20">
                  <c:v>8.7999999999999989</c:v>
                </c:pt>
                <c:pt idx="21">
                  <c:v>9.19</c:v>
                </c:pt>
                <c:pt idx="22">
                  <c:v>9.58</c:v>
                </c:pt>
                <c:pt idx="23">
                  <c:v>9.9700000000000006</c:v>
                </c:pt>
                <c:pt idx="24">
                  <c:v>10.360000000000001</c:v>
                </c:pt>
                <c:pt idx="25">
                  <c:v>10.750000000000002</c:v>
                </c:pt>
                <c:pt idx="26">
                  <c:v>11.140000000000002</c:v>
                </c:pt>
                <c:pt idx="27">
                  <c:v>11.530000000000003</c:v>
                </c:pt>
                <c:pt idx="28">
                  <c:v>11.920000000000003</c:v>
                </c:pt>
                <c:pt idx="29">
                  <c:v>12.310000000000004</c:v>
                </c:pt>
                <c:pt idx="30">
                  <c:v>12.700000000000005</c:v>
                </c:pt>
                <c:pt idx="31">
                  <c:v>13.090000000000005</c:v>
                </c:pt>
                <c:pt idx="32">
                  <c:v>13.480000000000006</c:v>
                </c:pt>
                <c:pt idx="33">
                  <c:v>13.870000000000006</c:v>
                </c:pt>
                <c:pt idx="34">
                  <c:v>14.260000000000007</c:v>
                </c:pt>
                <c:pt idx="35">
                  <c:v>14.650000000000007</c:v>
                </c:pt>
                <c:pt idx="36">
                  <c:v>15.040000000000008</c:v>
                </c:pt>
                <c:pt idx="37">
                  <c:v>15.430000000000009</c:v>
                </c:pt>
                <c:pt idx="38">
                  <c:v>15.820000000000009</c:v>
                </c:pt>
                <c:pt idx="39">
                  <c:v>16.210000000000008</c:v>
                </c:pt>
                <c:pt idx="40">
                  <c:v>16.600000000000009</c:v>
                </c:pt>
                <c:pt idx="41">
                  <c:v>16.990000000000009</c:v>
                </c:pt>
                <c:pt idx="42">
                  <c:v>17.38000000000001</c:v>
                </c:pt>
                <c:pt idx="43">
                  <c:v>17.77000000000001</c:v>
                </c:pt>
                <c:pt idx="44">
                  <c:v>18.160000000000011</c:v>
                </c:pt>
                <c:pt idx="45">
                  <c:v>18.550000000000011</c:v>
                </c:pt>
                <c:pt idx="46">
                  <c:v>18.940000000000012</c:v>
                </c:pt>
                <c:pt idx="47">
                  <c:v>19.330000000000013</c:v>
                </c:pt>
                <c:pt idx="48">
                  <c:v>19.720000000000013</c:v>
                </c:pt>
                <c:pt idx="49">
                  <c:v>20.110000000000014</c:v>
                </c:pt>
                <c:pt idx="50">
                  <c:v>20.500000000000014</c:v>
                </c:pt>
                <c:pt idx="51">
                  <c:v>20.890000000000015</c:v>
                </c:pt>
                <c:pt idx="52">
                  <c:v>21.280000000000015</c:v>
                </c:pt>
                <c:pt idx="53">
                  <c:v>21.670000000000016</c:v>
                </c:pt>
                <c:pt idx="54">
                  <c:v>22.060000000000016</c:v>
                </c:pt>
                <c:pt idx="55">
                  <c:v>22.450000000000017</c:v>
                </c:pt>
                <c:pt idx="56">
                  <c:v>22.840000000000018</c:v>
                </c:pt>
                <c:pt idx="57">
                  <c:v>23.230000000000018</c:v>
                </c:pt>
                <c:pt idx="58">
                  <c:v>23.620000000000019</c:v>
                </c:pt>
                <c:pt idx="59">
                  <c:v>24.010000000000019</c:v>
                </c:pt>
                <c:pt idx="60">
                  <c:v>24.40000000000002</c:v>
                </c:pt>
                <c:pt idx="61">
                  <c:v>24.79000000000002</c:v>
                </c:pt>
                <c:pt idx="62">
                  <c:v>25.180000000000021</c:v>
                </c:pt>
                <c:pt idx="63">
                  <c:v>25.570000000000022</c:v>
                </c:pt>
                <c:pt idx="64">
                  <c:v>25.960000000000022</c:v>
                </c:pt>
                <c:pt idx="65">
                  <c:v>26.350000000000023</c:v>
                </c:pt>
                <c:pt idx="66">
                  <c:v>26.740000000000023</c:v>
                </c:pt>
                <c:pt idx="67">
                  <c:v>27.130000000000024</c:v>
                </c:pt>
                <c:pt idx="68">
                  <c:v>27.520000000000024</c:v>
                </c:pt>
                <c:pt idx="69">
                  <c:v>27.910000000000025</c:v>
                </c:pt>
                <c:pt idx="70">
                  <c:v>28.300000000000026</c:v>
                </c:pt>
                <c:pt idx="71">
                  <c:v>28.690000000000026</c:v>
                </c:pt>
                <c:pt idx="72">
                  <c:v>29.080000000000027</c:v>
                </c:pt>
                <c:pt idx="73">
                  <c:v>29.470000000000027</c:v>
                </c:pt>
                <c:pt idx="74">
                  <c:v>29.860000000000028</c:v>
                </c:pt>
                <c:pt idx="75">
                  <c:v>30.250000000000028</c:v>
                </c:pt>
                <c:pt idx="76">
                  <c:v>30.640000000000029</c:v>
                </c:pt>
                <c:pt idx="77">
                  <c:v>31.03000000000003</c:v>
                </c:pt>
                <c:pt idx="78">
                  <c:v>31.42000000000003</c:v>
                </c:pt>
                <c:pt idx="79">
                  <c:v>31.810000000000031</c:v>
                </c:pt>
                <c:pt idx="80">
                  <c:v>32.200000000000031</c:v>
                </c:pt>
                <c:pt idx="81">
                  <c:v>32.590000000000032</c:v>
                </c:pt>
                <c:pt idx="82">
                  <c:v>32.980000000000032</c:v>
                </c:pt>
                <c:pt idx="83">
                  <c:v>33.370000000000033</c:v>
                </c:pt>
                <c:pt idx="84">
                  <c:v>33.760000000000034</c:v>
                </c:pt>
                <c:pt idx="85">
                  <c:v>34.150000000000034</c:v>
                </c:pt>
                <c:pt idx="86">
                  <c:v>34.540000000000035</c:v>
                </c:pt>
                <c:pt idx="87">
                  <c:v>34.930000000000035</c:v>
                </c:pt>
                <c:pt idx="88">
                  <c:v>35.320000000000036</c:v>
                </c:pt>
                <c:pt idx="89">
                  <c:v>35.710000000000036</c:v>
                </c:pt>
                <c:pt idx="90">
                  <c:v>36.100000000000037</c:v>
                </c:pt>
                <c:pt idx="91">
                  <c:v>36.490000000000038</c:v>
                </c:pt>
                <c:pt idx="92">
                  <c:v>36.880000000000038</c:v>
                </c:pt>
                <c:pt idx="93">
                  <c:v>37.270000000000039</c:v>
                </c:pt>
                <c:pt idx="94">
                  <c:v>37.660000000000039</c:v>
                </c:pt>
                <c:pt idx="95">
                  <c:v>38.05000000000004</c:v>
                </c:pt>
                <c:pt idx="96">
                  <c:v>38.44000000000004</c:v>
                </c:pt>
                <c:pt idx="97">
                  <c:v>38.830000000000041</c:v>
                </c:pt>
                <c:pt idx="98">
                  <c:v>39.220000000000041</c:v>
                </c:pt>
                <c:pt idx="99">
                  <c:v>39.610000000000042</c:v>
                </c:pt>
                <c:pt idx="100">
                  <c:v>40.000000000000043</c:v>
                </c:pt>
              </c:numCache>
            </c:numRef>
          </c:cat>
          <c:val>
            <c:numRef>
              <c:f>Sheet0!$X$55:$X$155</c:f>
              <c:numCache>
                <c:formatCode>General</c:formatCode>
                <c:ptCount val="101"/>
                <c:pt idx="0">
                  <c:v>3</c:v>
                </c:pt>
                <c:pt idx="1">
                  <c:v>2.61</c:v>
                </c:pt>
                <c:pt idx="2">
                  <c:v>2.2199999999999998</c:v>
                </c:pt>
                <c:pt idx="3">
                  <c:v>2.8299999999999996</c:v>
                </c:pt>
                <c:pt idx="4">
                  <c:v>2.4399999999999995</c:v>
                </c:pt>
                <c:pt idx="5">
                  <c:v>2.0499999999999994</c:v>
                </c:pt>
                <c:pt idx="6">
                  <c:v>1.6599999999999993</c:v>
                </c:pt>
                <c:pt idx="7">
                  <c:v>1.2699999999999991</c:v>
                </c:pt>
                <c:pt idx="8">
                  <c:v>1.879999999999999</c:v>
                </c:pt>
                <c:pt idx="9">
                  <c:v>1.4899999999999993</c:v>
                </c:pt>
                <c:pt idx="10">
                  <c:v>1.0999999999999996</c:v>
                </c:pt>
                <c:pt idx="11">
                  <c:v>0.71</c:v>
                </c:pt>
                <c:pt idx="12">
                  <c:v>1.3200000000000003</c:v>
                </c:pt>
                <c:pt idx="13">
                  <c:v>0.9300000000000006</c:v>
                </c:pt>
                <c:pt idx="14">
                  <c:v>0.54000000000000092</c:v>
                </c:pt>
                <c:pt idx="15">
                  <c:v>0.15000000000000124</c:v>
                </c:pt>
                <c:pt idx="16">
                  <c:v>0.76000000000000156</c:v>
                </c:pt>
                <c:pt idx="17">
                  <c:v>0.37000000000000188</c:v>
                </c:pt>
                <c:pt idx="18">
                  <c:v>-1.9999999999997797E-2</c:v>
                </c:pt>
                <c:pt idx="19">
                  <c:v>-0.40999999999999837</c:v>
                </c:pt>
                <c:pt idx="20">
                  <c:v>0.20000000000000107</c:v>
                </c:pt>
                <c:pt idx="21">
                  <c:v>-0.1899999999999995</c:v>
                </c:pt>
                <c:pt idx="22">
                  <c:v>-0.58000000000000007</c:v>
                </c:pt>
                <c:pt idx="23">
                  <c:v>-0.97000000000000064</c:v>
                </c:pt>
                <c:pt idx="24">
                  <c:v>-0.36000000000000121</c:v>
                </c:pt>
                <c:pt idx="25">
                  <c:v>-0.75000000000000178</c:v>
                </c:pt>
                <c:pt idx="26">
                  <c:v>-1.1400000000000023</c:v>
                </c:pt>
                <c:pt idx="27">
                  <c:v>-0.53000000000000291</c:v>
                </c:pt>
                <c:pt idx="28">
                  <c:v>-0.92000000000000348</c:v>
                </c:pt>
                <c:pt idx="29">
                  <c:v>-1.3100000000000041</c:v>
                </c:pt>
                <c:pt idx="30">
                  <c:v>-0.70000000000000462</c:v>
                </c:pt>
                <c:pt idx="31">
                  <c:v>-1.0900000000000052</c:v>
                </c:pt>
                <c:pt idx="32">
                  <c:v>-1.4800000000000058</c:v>
                </c:pt>
                <c:pt idx="33">
                  <c:v>-1.8700000000000063</c:v>
                </c:pt>
                <c:pt idx="34">
                  <c:v>-1.2600000000000069</c:v>
                </c:pt>
                <c:pt idx="35">
                  <c:v>-1.6500000000000075</c:v>
                </c:pt>
                <c:pt idx="36">
                  <c:v>-2.040000000000008</c:v>
                </c:pt>
                <c:pt idx="37">
                  <c:v>-1.4300000000000086</c:v>
                </c:pt>
                <c:pt idx="38">
                  <c:v>-1.8200000000000092</c:v>
                </c:pt>
                <c:pt idx="39">
                  <c:v>-2.210000000000008</c:v>
                </c:pt>
                <c:pt idx="40">
                  <c:v>-1.6000000000000085</c:v>
                </c:pt>
                <c:pt idx="41">
                  <c:v>-1.9900000000000091</c:v>
                </c:pt>
                <c:pt idx="42">
                  <c:v>-2.3800000000000097</c:v>
                </c:pt>
                <c:pt idx="43">
                  <c:v>-1.7700000000000102</c:v>
                </c:pt>
                <c:pt idx="44">
                  <c:v>-2.1600000000000108</c:v>
                </c:pt>
                <c:pt idx="45">
                  <c:v>-1.5500000000000114</c:v>
                </c:pt>
                <c:pt idx="46">
                  <c:v>-1.9400000000000119</c:v>
                </c:pt>
                <c:pt idx="47">
                  <c:v>-2.3300000000000125</c:v>
                </c:pt>
                <c:pt idx="48">
                  <c:v>-1.7200000000000131</c:v>
                </c:pt>
                <c:pt idx="49">
                  <c:v>-2.1100000000000136</c:v>
                </c:pt>
                <c:pt idx="50">
                  <c:v>-2.5000000000000142</c:v>
                </c:pt>
                <c:pt idx="51">
                  <c:v>-1.8900000000000148</c:v>
                </c:pt>
                <c:pt idx="52">
                  <c:v>-2.2800000000000153</c:v>
                </c:pt>
                <c:pt idx="53">
                  <c:v>-1.6700000000000159</c:v>
                </c:pt>
                <c:pt idx="54">
                  <c:v>-2.0600000000000165</c:v>
                </c:pt>
                <c:pt idx="55">
                  <c:v>-2.4500000000000171</c:v>
                </c:pt>
                <c:pt idx="56">
                  <c:v>-1.8400000000000176</c:v>
                </c:pt>
                <c:pt idx="57">
                  <c:v>-2.2300000000000182</c:v>
                </c:pt>
                <c:pt idx="58">
                  <c:v>-1.6200000000000188</c:v>
                </c:pt>
                <c:pt idx="59">
                  <c:v>-2.0100000000000193</c:v>
                </c:pt>
                <c:pt idx="60">
                  <c:v>-2.4000000000000199</c:v>
                </c:pt>
                <c:pt idx="61">
                  <c:v>-1.7900000000000205</c:v>
                </c:pt>
                <c:pt idx="62">
                  <c:v>-2.180000000000021</c:v>
                </c:pt>
                <c:pt idx="63">
                  <c:v>-1.5700000000000216</c:v>
                </c:pt>
                <c:pt idx="64">
                  <c:v>-1.9600000000000222</c:v>
                </c:pt>
                <c:pt idx="65">
                  <c:v>-1.3500000000000227</c:v>
                </c:pt>
                <c:pt idx="66">
                  <c:v>-1.7400000000000233</c:v>
                </c:pt>
                <c:pt idx="67">
                  <c:v>-2.1300000000000239</c:v>
                </c:pt>
                <c:pt idx="68">
                  <c:v>-1.5200000000000244</c:v>
                </c:pt>
                <c:pt idx="69">
                  <c:v>-1.910000000000025</c:v>
                </c:pt>
                <c:pt idx="70">
                  <c:v>-1.3000000000000256</c:v>
                </c:pt>
                <c:pt idx="71">
                  <c:v>-1.6900000000000261</c:v>
                </c:pt>
                <c:pt idx="72">
                  <c:v>-1.0800000000000267</c:v>
                </c:pt>
                <c:pt idx="73">
                  <c:v>-1.4700000000000273</c:v>
                </c:pt>
                <c:pt idx="74">
                  <c:v>-0.86000000000002785</c:v>
                </c:pt>
                <c:pt idx="75">
                  <c:v>-1.2500000000000284</c:v>
                </c:pt>
                <c:pt idx="76">
                  <c:v>-0.64000000000002899</c:v>
                </c:pt>
                <c:pt idx="77">
                  <c:v>-1.0300000000000296</c:v>
                </c:pt>
                <c:pt idx="78">
                  <c:v>-0.42000000000003013</c:v>
                </c:pt>
                <c:pt idx="79">
                  <c:v>-0.8100000000000307</c:v>
                </c:pt>
                <c:pt idx="80">
                  <c:v>-0.20000000000003126</c:v>
                </c:pt>
                <c:pt idx="81">
                  <c:v>-0.59000000000003183</c:v>
                </c:pt>
                <c:pt idx="82">
                  <c:v>1.9999999999967599E-2</c:v>
                </c:pt>
                <c:pt idx="83">
                  <c:v>-0.37000000000003297</c:v>
                </c:pt>
                <c:pt idx="84">
                  <c:v>0.23999999999996646</c:v>
                </c:pt>
                <c:pt idx="85">
                  <c:v>-0.15000000000003411</c:v>
                </c:pt>
                <c:pt idx="86">
                  <c:v>0.45999999999996533</c:v>
                </c:pt>
                <c:pt idx="87">
                  <c:v>6.9999999999964757E-2</c:v>
                </c:pt>
                <c:pt idx="88">
                  <c:v>0.67999999999996419</c:v>
                </c:pt>
                <c:pt idx="89">
                  <c:v>0.28999999999996362</c:v>
                </c:pt>
                <c:pt idx="90">
                  <c:v>0.89999999999996305</c:v>
                </c:pt>
                <c:pt idx="91">
                  <c:v>0.50999999999996248</c:v>
                </c:pt>
                <c:pt idx="92">
                  <c:v>1.1199999999999619</c:v>
                </c:pt>
                <c:pt idx="93">
                  <c:v>0.72999999999996135</c:v>
                </c:pt>
                <c:pt idx="94">
                  <c:v>1.3399999999999608</c:v>
                </c:pt>
                <c:pt idx="95">
                  <c:v>0.94999999999996021</c:v>
                </c:pt>
                <c:pt idx="96">
                  <c:v>1.5599999999999596</c:v>
                </c:pt>
                <c:pt idx="97">
                  <c:v>2.1699999999999591</c:v>
                </c:pt>
                <c:pt idx="98">
                  <c:v>1.7799999999999585</c:v>
                </c:pt>
                <c:pt idx="99">
                  <c:v>2.3899999999999579</c:v>
                </c:pt>
                <c:pt idx="100">
                  <c:v>1.9999999999999574</c:v>
                </c:pt>
              </c:numCache>
            </c:numRef>
          </c:val>
          <c:extLst>
            <c:ext xmlns:c16="http://schemas.microsoft.com/office/drawing/2014/chart" uri="{C3380CC4-5D6E-409C-BE32-E72D297353CC}">
              <c16:uniqueId val="{00000000-9E45-41E8-A8A1-0FF37E97D87C}"/>
            </c:ext>
          </c:extLst>
        </c:ser>
        <c:dLbls>
          <c:showLegendKey val="0"/>
          <c:showVal val="0"/>
          <c:showCatName val="0"/>
          <c:showSerName val="0"/>
          <c:showPercent val="0"/>
          <c:showBubbleSize val="0"/>
        </c:dLbls>
        <c:axId val="963843789"/>
        <c:axId val="156030063"/>
      </c:areaChart>
      <c:catAx>
        <c:axId val="963843789"/>
        <c:scaling>
          <c:orientation val="minMax"/>
        </c:scaling>
        <c:delete val="0"/>
        <c:axPos val="b"/>
        <c:title>
          <c:tx>
            <c:rich>
              <a:bodyPr/>
              <a:lstStyle/>
              <a:p>
                <a:pPr lvl="0">
                  <a:defRPr b="0" i="0">
                    <a:solidFill>
                      <a:srgbClr val="000000"/>
                    </a:solidFill>
                    <a:latin typeface="Roboto"/>
                  </a:defRPr>
                </a:pPr>
                <a:r>
                  <a:rPr lang="es-ES"/>
                  <a:t>°C</a:t>
                </a:r>
              </a:p>
            </c:rich>
          </c:tx>
          <c:overlay val="0"/>
        </c:title>
        <c:numFmt formatCode="General" sourceLinked="1"/>
        <c:majorTickMark val="cross"/>
        <c:minorTickMark val="cross"/>
        <c:tickLblPos val="nextTo"/>
        <c:txPr>
          <a:bodyPr/>
          <a:lstStyle/>
          <a:p>
            <a:pPr lvl="0">
              <a:defRPr b="0" i="0">
                <a:solidFill>
                  <a:srgbClr val="000000"/>
                </a:solidFill>
                <a:latin typeface="Roboto"/>
              </a:defRPr>
            </a:pPr>
            <a:endParaRPr lang="es-ES"/>
          </a:p>
        </c:txPr>
        <c:crossAx val="156030063"/>
        <c:crosses val="autoZero"/>
        <c:auto val="1"/>
        <c:lblAlgn val="ctr"/>
        <c:lblOffset val="100"/>
        <c:noMultiLvlLbl val="1"/>
      </c:catAx>
      <c:valAx>
        <c:axId val="156030063"/>
        <c:scaling>
          <c:orientation val="minMax"/>
          <c:max val="2.5"/>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Roboto"/>
                  </a:defRPr>
                </a:pPr>
                <a:r>
                  <a:rPr lang="es-ES"/>
                  <a:t>Error °C</a:t>
                </a:r>
              </a:p>
            </c:rich>
          </c:tx>
          <c:overlay val="0"/>
        </c:title>
        <c:numFmt formatCode="General" sourceLinked="1"/>
        <c:majorTickMark val="cross"/>
        <c:minorTickMark val="cross"/>
        <c:tickLblPos val="nextTo"/>
        <c:spPr>
          <a:ln w="47625">
            <a:noFill/>
          </a:ln>
        </c:spPr>
        <c:txPr>
          <a:bodyPr/>
          <a:lstStyle/>
          <a:p>
            <a:pPr lvl="0">
              <a:defRPr b="0" i="0">
                <a:solidFill>
                  <a:srgbClr val="000000"/>
                </a:solidFill>
                <a:latin typeface="Roboto"/>
              </a:defRPr>
            </a:pPr>
            <a:endParaRPr lang="es-ES"/>
          </a:p>
        </c:txPr>
        <c:crossAx val="963843789"/>
        <c:crosses val="autoZero"/>
        <c:crossBetween val="midCat"/>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18</xdr:col>
      <xdr:colOff>28575</xdr:colOff>
      <xdr:row>42</xdr:row>
      <xdr:rowOff>19050</xdr:rowOff>
    </xdr:from>
    <xdr:ext cx="3390900" cy="19621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19050</xdr:colOff>
      <xdr:row>42</xdr:row>
      <xdr:rowOff>2009775</xdr:rowOff>
    </xdr:from>
    <xdr:ext cx="6848475" cy="1962150"/>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12</xdr:col>
      <xdr:colOff>504825</xdr:colOff>
      <xdr:row>41</xdr:row>
      <xdr:rowOff>209550</xdr:rowOff>
    </xdr:from>
    <xdr:ext cx="6372225" cy="39528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20</xdr:col>
      <xdr:colOff>1133475</xdr:colOff>
      <xdr:row>42</xdr:row>
      <xdr:rowOff>9525</xdr:rowOff>
    </xdr:from>
    <xdr:ext cx="3400425" cy="1971675"/>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62"/>
  <sheetViews>
    <sheetView tabSelected="1" zoomScaleNormal="100" workbookViewId="0">
      <selection sqref="A1:O1"/>
    </sheetView>
  </sheetViews>
  <sheetFormatPr baseColWidth="10" defaultColWidth="14.453125" defaultRowHeight="15" customHeight="1" x14ac:dyDescent="0.25"/>
  <cols>
    <col min="1" max="1" width="5.54296875" customWidth="1"/>
    <col min="2" max="2" width="8" customWidth="1"/>
    <col min="3" max="3" width="12.08984375" customWidth="1"/>
    <col min="4" max="4" width="5.54296875" customWidth="1"/>
    <col min="5" max="5" width="8" customWidth="1"/>
    <col min="6" max="6" width="12.08984375" customWidth="1"/>
    <col min="7" max="7" width="5.54296875" customWidth="1"/>
    <col min="8" max="8" width="8" customWidth="1"/>
    <col min="9" max="9" width="12.08984375" customWidth="1"/>
    <col min="10" max="10" width="5.54296875" customWidth="1"/>
    <col min="11" max="11" width="8" customWidth="1"/>
    <col min="12" max="12" width="12.08984375" customWidth="1"/>
    <col min="13" max="13" width="6.81640625" customWidth="1"/>
    <col min="14" max="14" width="20.7265625" customWidth="1"/>
    <col min="15" max="15" width="17.453125" customWidth="1"/>
    <col min="16" max="24" width="15.08984375" customWidth="1"/>
    <col min="25" max="25" width="12.54296875" customWidth="1"/>
  </cols>
  <sheetData>
    <row r="1" spans="1:24" ht="12.75" customHeight="1" x14ac:dyDescent="0.3">
      <c r="A1" s="73" t="s">
        <v>0</v>
      </c>
      <c r="B1" s="69"/>
      <c r="C1" s="69"/>
      <c r="D1" s="69"/>
      <c r="E1" s="69"/>
      <c r="F1" s="69"/>
      <c r="G1" s="69"/>
      <c r="H1" s="69"/>
      <c r="I1" s="69"/>
      <c r="J1" s="69"/>
      <c r="K1" s="69"/>
      <c r="L1" s="69"/>
      <c r="M1" s="69"/>
      <c r="N1" s="69"/>
      <c r="O1" s="69"/>
    </row>
    <row r="2" spans="1:24" ht="12.75" customHeight="1" x14ac:dyDescent="0.25">
      <c r="A2" s="2" t="s">
        <v>1</v>
      </c>
      <c r="B2" s="2"/>
      <c r="C2" s="2"/>
      <c r="D2" s="2"/>
      <c r="E2" s="2"/>
      <c r="F2" s="2"/>
      <c r="G2" s="2"/>
      <c r="H2" s="2"/>
      <c r="I2" s="2"/>
      <c r="J2" s="2"/>
      <c r="K2" s="2"/>
      <c r="L2" s="2"/>
      <c r="M2" s="2"/>
      <c r="N2" s="3" t="s">
        <v>2</v>
      </c>
      <c r="O2" s="4" t="s">
        <v>3</v>
      </c>
      <c r="P2" s="5"/>
      <c r="Q2" s="5"/>
      <c r="R2" s="5"/>
      <c r="S2" s="5"/>
      <c r="T2" s="5"/>
      <c r="U2" s="5"/>
      <c r="V2" s="5"/>
      <c r="W2" s="5"/>
      <c r="X2" s="6"/>
    </row>
    <row r="3" spans="1:24" ht="12.75" customHeight="1" x14ac:dyDescent="0.35">
      <c r="A3" s="7" t="s">
        <v>4</v>
      </c>
      <c r="B3" s="8" t="s">
        <v>5</v>
      </c>
      <c r="C3" s="9" t="s">
        <v>6</v>
      </c>
      <c r="D3" s="10" t="s">
        <v>4</v>
      </c>
      <c r="E3" s="10" t="s">
        <v>5</v>
      </c>
      <c r="F3" s="11" t="s">
        <v>6</v>
      </c>
      <c r="G3" s="12" t="s">
        <v>4</v>
      </c>
      <c r="H3" s="12" t="s">
        <v>5</v>
      </c>
      <c r="I3" s="13" t="s">
        <v>6</v>
      </c>
      <c r="J3" s="14" t="s">
        <v>4</v>
      </c>
      <c r="K3" s="14" t="s">
        <v>5</v>
      </c>
      <c r="L3" s="14" t="s">
        <v>6</v>
      </c>
      <c r="M3" s="15"/>
      <c r="N3" s="74" t="s">
        <v>7</v>
      </c>
      <c r="O3" s="69"/>
      <c r="P3" s="69"/>
      <c r="Q3" s="69"/>
      <c r="R3" s="69"/>
      <c r="S3" s="69"/>
      <c r="T3" s="69"/>
      <c r="U3" s="69"/>
      <c r="V3" s="69"/>
      <c r="W3" s="69"/>
      <c r="X3" s="69"/>
    </row>
    <row r="4" spans="1:24" ht="12.75" customHeight="1" x14ac:dyDescent="0.3">
      <c r="A4" s="16">
        <f>O23</f>
        <v>-23</v>
      </c>
      <c r="B4" s="17" t="str">
        <f t="shared" ref="B4:B40" si="0">FIXED(ROUND($O$9*EXP(((1 / ( A4 + 273.15 )) - (1 / (273.15+$O$10)))*$O$8)/1000,3),3,1)</f>
        <v>1266,627</v>
      </c>
      <c r="C4" s="18">
        <f t="shared" ref="C4:C40" si="1">ABS(IF($O$15="Vcc",-$O$16,0)+ROUND(((B4*1000)/($O$17+(B4*1000))*$O$16),0))</f>
        <v>62</v>
      </c>
      <c r="D4" s="17">
        <f>A40+$O$24</f>
        <v>14</v>
      </c>
      <c r="E4" s="17" t="str">
        <f t="shared" ref="E4:E40" si="2">FIXED(ROUND($O$9*EXP(((1 / ( D4 + 273.15 )) - (1 / (273.15+$O$10)))*$O$8)/1000,3),3,1)</f>
        <v>166,009</v>
      </c>
      <c r="F4" s="18">
        <f t="shared" ref="F4:F40" si="3">ABS(IF($O$15="Vcc",-$O$16,0)+ROUND(((E4*1000)/($O$17+(E4*1000))*$O$16),0))</f>
        <v>428</v>
      </c>
      <c r="G4" s="17">
        <f>D40+$O$24</f>
        <v>51</v>
      </c>
      <c r="H4" s="17" t="str">
        <f t="shared" ref="H4:H40" si="4">FIXED(ROUND($O$9*EXP(((1 / ( G4 + 273.15 )) - (1 / (273.15+$O$10)))*$O$8)/1000,3),3,1)</f>
        <v>34,600</v>
      </c>
      <c r="I4" s="18">
        <f t="shared" ref="I4:I40" si="5">ABS(IF($O$15="Vcc",-$O$16,0)+ROUND(((H4*1000)/($O$17+(H4*1000))*$O$16),0))</f>
        <v>1471</v>
      </c>
      <c r="J4" s="17">
        <f>G40+$O$24</f>
        <v>88</v>
      </c>
      <c r="K4" s="17" t="str">
        <f t="shared" ref="K4:K40" si="6">FIXED(ROUND($O$9*EXP(((1 / ( J4 + 273.15 )) - (1 / (273.15+$O$10)))*$O$8)/1000,3),3,1)</f>
        <v>9,944</v>
      </c>
      <c r="L4" s="18">
        <f t="shared" ref="L4:L40" si="7">ABS(IF($O$15="Vcc",-$O$16,0)+ROUND(((K4*1000)/($O$17+(K4*1000))*$O$16),0))</f>
        <v>2707</v>
      </c>
      <c r="M4" s="15"/>
      <c r="N4" s="1"/>
    </row>
    <row r="5" spans="1:24" ht="12.75" customHeight="1" x14ac:dyDescent="0.3">
      <c r="A5" s="16">
        <f t="shared" ref="A5:A40" si="8">A4+$O$24</f>
        <v>-22</v>
      </c>
      <c r="B5" s="17" t="str">
        <f t="shared" si="0"/>
        <v>1189,537</v>
      </c>
      <c r="C5" s="18">
        <f t="shared" si="1"/>
        <v>66</v>
      </c>
      <c r="D5" s="17">
        <f t="shared" ref="D5:D40" si="9">D4+$O$24</f>
        <v>15</v>
      </c>
      <c r="E5" s="17" t="str">
        <f t="shared" si="2"/>
        <v>158,279</v>
      </c>
      <c r="F5" s="18">
        <f t="shared" si="3"/>
        <v>447</v>
      </c>
      <c r="G5" s="17">
        <f t="shared" ref="G5:G40" si="10">G4+$O$24</f>
        <v>52</v>
      </c>
      <c r="H5" s="17" t="str">
        <f t="shared" si="4"/>
        <v>33,329</v>
      </c>
      <c r="I5" s="18">
        <f t="shared" si="5"/>
        <v>1507</v>
      </c>
      <c r="J5" s="17">
        <f t="shared" ref="J5:J40" si="11">J4+$O$24</f>
        <v>89</v>
      </c>
      <c r="K5" s="17" t="str">
        <f t="shared" si="6"/>
        <v>9,649</v>
      </c>
      <c r="L5" s="18">
        <f t="shared" si="7"/>
        <v>2735</v>
      </c>
      <c r="M5" s="15"/>
      <c r="N5" s="75" t="s">
        <v>8</v>
      </c>
      <c r="O5" s="72"/>
      <c r="P5" s="76" t="s">
        <v>9</v>
      </c>
      <c r="Q5" s="77"/>
      <c r="R5" s="72"/>
      <c r="S5" s="79" t="s">
        <v>10</v>
      </c>
      <c r="T5" s="69"/>
      <c r="U5" s="69"/>
      <c r="V5" s="69"/>
      <c r="W5" s="69"/>
      <c r="X5" s="69"/>
    </row>
    <row r="6" spans="1:24" ht="12.75" customHeight="1" x14ac:dyDescent="0.25">
      <c r="A6" s="16">
        <f t="shared" si="8"/>
        <v>-21</v>
      </c>
      <c r="B6" s="17" t="str">
        <f t="shared" si="0"/>
        <v>1117,696</v>
      </c>
      <c r="C6" s="18">
        <f t="shared" si="1"/>
        <v>70</v>
      </c>
      <c r="D6" s="17">
        <f t="shared" si="9"/>
        <v>16</v>
      </c>
      <c r="E6" s="17" t="str">
        <f t="shared" si="2"/>
        <v>150,960</v>
      </c>
      <c r="F6" s="18">
        <f t="shared" si="3"/>
        <v>466</v>
      </c>
      <c r="G6" s="17">
        <f t="shared" si="10"/>
        <v>53</v>
      </c>
      <c r="H6" s="17" t="str">
        <f t="shared" si="4"/>
        <v>32,112</v>
      </c>
      <c r="I6" s="18">
        <f t="shared" si="5"/>
        <v>1542</v>
      </c>
      <c r="J6" s="17">
        <f t="shared" si="11"/>
        <v>90</v>
      </c>
      <c r="K6" s="17" t="str">
        <f t="shared" si="6"/>
        <v>9,364</v>
      </c>
      <c r="L6" s="18">
        <f t="shared" si="7"/>
        <v>2762</v>
      </c>
      <c r="M6" s="19"/>
      <c r="N6" s="2"/>
      <c r="P6" s="78"/>
      <c r="Q6" s="69"/>
      <c r="R6" s="70"/>
      <c r="S6" s="69"/>
      <c r="T6" s="69"/>
      <c r="U6" s="69"/>
      <c r="V6" s="69"/>
      <c r="W6" s="69"/>
      <c r="X6" s="69"/>
    </row>
    <row r="7" spans="1:24" ht="12.75" customHeight="1" x14ac:dyDescent="0.3">
      <c r="A7" s="16">
        <f t="shared" si="8"/>
        <v>-20</v>
      </c>
      <c r="B7" s="17" t="str">
        <f t="shared" si="0"/>
        <v>1050,710</v>
      </c>
      <c r="C7" s="18">
        <f t="shared" si="1"/>
        <v>74</v>
      </c>
      <c r="D7" s="17">
        <f t="shared" si="9"/>
        <v>17</v>
      </c>
      <c r="E7" s="17" t="str">
        <f t="shared" si="2"/>
        <v>144,026</v>
      </c>
      <c r="F7" s="18">
        <f t="shared" si="3"/>
        <v>486</v>
      </c>
      <c r="G7" s="17">
        <f t="shared" si="10"/>
        <v>54</v>
      </c>
      <c r="H7" s="17" t="str">
        <f t="shared" si="4"/>
        <v>30,947</v>
      </c>
      <c r="I7" s="18">
        <f t="shared" si="5"/>
        <v>1578</v>
      </c>
      <c r="J7" s="17">
        <f t="shared" si="11"/>
        <v>91</v>
      </c>
      <c r="K7" s="17" t="str">
        <f t="shared" si="6"/>
        <v>9,089</v>
      </c>
      <c r="L7" s="18">
        <f t="shared" si="7"/>
        <v>2789</v>
      </c>
      <c r="M7" s="19"/>
      <c r="N7" s="20" t="s">
        <v>11</v>
      </c>
      <c r="O7" s="21">
        <f>1/(((1/(O12+273.15)) - (1/(O10+273.15))) / LN((O11*1000) / (O9*1000)))</f>
        <v>12309.08098019494</v>
      </c>
      <c r="P7" s="78"/>
      <c r="Q7" s="69"/>
      <c r="R7" s="70"/>
      <c r="S7" s="69"/>
      <c r="T7" s="69"/>
      <c r="U7" s="69"/>
      <c r="V7" s="69"/>
      <c r="W7" s="69"/>
      <c r="X7" s="69"/>
    </row>
    <row r="8" spans="1:24" ht="12.75" customHeight="1" x14ac:dyDescent="0.3">
      <c r="A8" s="16">
        <f t="shared" si="8"/>
        <v>-19</v>
      </c>
      <c r="B8" s="17" t="str">
        <f t="shared" si="0"/>
        <v>988,219</v>
      </c>
      <c r="C8" s="18">
        <f t="shared" si="1"/>
        <v>79</v>
      </c>
      <c r="D8" s="17">
        <f t="shared" si="9"/>
        <v>18</v>
      </c>
      <c r="E8" s="17" t="str">
        <f t="shared" si="2"/>
        <v>137,454</v>
      </c>
      <c r="F8" s="18">
        <f t="shared" si="3"/>
        <v>506</v>
      </c>
      <c r="G8" s="17">
        <f t="shared" si="10"/>
        <v>55</v>
      </c>
      <c r="H8" s="17" t="str">
        <f t="shared" si="4"/>
        <v>29,830</v>
      </c>
      <c r="I8" s="18">
        <f t="shared" si="5"/>
        <v>1614</v>
      </c>
      <c r="J8" s="17">
        <f t="shared" si="11"/>
        <v>92</v>
      </c>
      <c r="K8" s="17" t="str">
        <f t="shared" si="6"/>
        <v>8,823</v>
      </c>
      <c r="L8" s="18">
        <f t="shared" si="7"/>
        <v>2815</v>
      </c>
      <c r="M8" s="19"/>
      <c r="N8" s="20" t="s">
        <v>12</v>
      </c>
      <c r="O8" s="22">
        <v>3945</v>
      </c>
      <c r="P8" s="68" t="s">
        <v>13</v>
      </c>
      <c r="Q8" s="69"/>
      <c r="R8" s="70"/>
      <c r="S8" s="69"/>
      <c r="T8" s="69"/>
      <c r="U8" s="69"/>
      <c r="V8" s="69"/>
      <c r="W8" s="69"/>
      <c r="X8" s="69"/>
    </row>
    <row r="9" spans="1:24" ht="12.75" customHeight="1" x14ac:dyDescent="0.3">
      <c r="A9" s="16">
        <f t="shared" si="8"/>
        <v>-18</v>
      </c>
      <c r="B9" s="17" t="str">
        <f t="shared" si="0"/>
        <v>929,892</v>
      </c>
      <c r="C9" s="18">
        <f t="shared" si="1"/>
        <v>84</v>
      </c>
      <c r="D9" s="17">
        <f t="shared" si="9"/>
        <v>19</v>
      </c>
      <c r="E9" s="17" t="str">
        <f t="shared" si="2"/>
        <v>131,225</v>
      </c>
      <c r="F9" s="18">
        <f t="shared" si="3"/>
        <v>527</v>
      </c>
      <c r="G9" s="17">
        <f t="shared" si="10"/>
        <v>56</v>
      </c>
      <c r="H9" s="17" t="str">
        <f t="shared" si="4"/>
        <v>28,760</v>
      </c>
      <c r="I9" s="18">
        <f t="shared" si="5"/>
        <v>1650</v>
      </c>
      <c r="J9" s="17">
        <f t="shared" si="11"/>
        <v>93</v>
      </c>
      <c r="K9" s="17" t="str">
        <f t="shared" si="6"/>
        <v>8,566</v>
      </c>
      <c r="L9" s="18">
        <f t="shared" si="7"/>
        <v>2841</v>
      </c>
      <c r="M9" s="19"/>
      <c r="N9" s="23" t="s">
        <v>14</v>
      </c>
      <c r="O9" s="22">
        <v>100000</v>
      </c>
      <c r="P9" s="68" t="s">
        <v>15</v>
      </c>
      <c r="Q9" s="69"/>
      <c r="R9" s="70"/>
      <c r="S9" s="69"/>
      <c r="T9" s="69"/>
      <c r="U9" s="69"/>
      <c r="V9" s="69"/>
      <c r="W9" s="69"/>
      <c r="X9" s="69"/>
    </row>
    <row r="10" spans="1:24" ht="12.75" customHeight="1" x14ac:dyDescent="0.3">
      <c r="A10" s="16">
        <f t="shared" si="8"/>
        <v>-17</v>
      </c>
      <c r="B10" s="17" t="str">
        <f t="shared" si="0"/>
        <v>875,423</v>
      </c>
      <c r="C10" s="18">
        <f t="shared" si="1"/>
        <v>89</v>
      </c>
      <c r="D10" s="17">
        <f t="shared" si="9"/>
        <v>20</v>
      </c>
      <c r="E10" s="17" t="str">
        <f t="shared" si="2"/>
        <v>125,317</v>
      </c>
      <c r="F10" s="18">
        <f t="shared" si="3"/>
        <v>549</v>
      </c>
      <c r="G10" s="17">
        <f t="shared" si="10"/>
        <v>57</v>
      </c>
      <c r="H10" s="17" t="str">
        <f t="shared" si="4"/>
        <v>27,735</v>
      </c>
      <c r="I10" s="18">
        <f t="shared" si="5"/>
        <v>1685</v>
      </c>
      <c r="J10" s="17">
        <f t="shared" si="11"/>
        <v>94</v>
      </c>
      <c r="K10" s="17" t="str">
        <f t="shared" si="6"/>
        <v>8,319</v>
      </c>
      <c r="L10" s="18">
        <f t="shared" si="7"/>
        <v>2866</v>
      </c>
      <c r="M10" s="19"/>
      <c r="N10" s="23" t="s">
        <v>16</v>
      </c>
      <c r="O10" s="22">
        <v>25</v>
      </c>
      <c r="P10" s="68" t="s">
        <v>17</v>
      </c>
      <c r="Q10" s="69"/>
      <c r="R10" s="70"/>
      <c r="S10" s="69"/>
      <c r="T10" s="69"/>
      <c r="U10" s="69"/>
      <c r="V10" s="69"/>
      <c r="W10" s="69"/>
      <c r="X10" s="69"/>
    </row>
    <row r="11" spans="1:24" ht="12.75" customHeight="1" x14ac:dyDescent="0.3">
      <c r="A11" s="16">
        <f t="shared" si="8"/>
        <v>-16</v>
      </c>
      <c r="B11" s="17" t="str">
        <f t="shared" si="0"/>
        <v>824,532</v>
      </c>
      <c r="C11" s="18">
        <f t="shared" si="1"/>
        <v>94</v>
      </c>
      <c r="D11" s="17">
        <f t="shared" si="9"/>
        <v>21</v>
      </c>
      <c r="E11" s="17" t="str">
        <f t="shared" si="2"/>
        <v>119,713</v>
      </c>
      <c r="F11" s="18">
        <f t="shared" si="3"/>
        <v>571</v>
      </c>
      <c r="G11" s="17">
        <f t="shared" si="10"/>
        <v>58</v>
      </c>
      <c r="H11" s="17" t="str">
        <f t="shared" si="4"/>
        <v>26,752</v>
      </c>
      <c r="I11" s="18">
        <f t="shared" si="5"/>
        <v>1721</v>
      </c>
      <c r="J11" s="17">
        <f t="shared" si="11"/>
        <v>95</v>
      </c>
      <c r="K11" s="17" t="str">
        <f t="shared" si="6"/>
        <v>8,079</v>
      </c>
      <c r="L11" s="18">
        <f t="shared" si="7"/>
        <v>2891</v>
      </c>
      <c r="M11" s="19"/>
      <c r="N11" s="23" t="s">
        <v>18</v>
      </c>
      <c r="O11" s="22">
        <v>4101</v>
      </c>
      <c r="P11" s="68" t="s">
        <v>19</v>
      </c>
      <c r="Q11" s="69"/>
      <c r="R11" s="70"/>
      <c r="S11" s="69"/>
      <c r="T11" s="69"/>
      <c r="U11" s="69"/>
      <c r="V11" s="69"/>
      <c r="W11" s="69"/>
      <c r="X11" s="69"/>
    </row>
    <row r="12" spans="1:24" ht="12.75" customHeight="1" x14ac:dyDescent="0.3">
      <c r="A12" s="16">
        <f t="shared" si="8"/>
        <v>-15</v>
      </c>
      <c r="B12" s="17" t="str">
        <f t="shared" si="0"/>
        <v>776,960</v>
      </c>
      <c r="C12" s="18">
        <f t="shared" si="1"/>
        <v>100</v>
      </c>
      <c r="D12" s="17">
        <f t="shared" si="9"/>
        <v>22</v>
      </c>
      <c r="E12" s="17" t="str">
        <f t="shared" si="2"/>
        <v>114,395</v>
      </c>
      <c r="F12" s="18">
        <f t="shared" si="3"/>
        <v>594</v>
      </c>
      <c r="G12" s="17">
        <f t="shared" si="10"/>
        <v>59</v>
      </c>
      <c r="H12" s="17" t="str">
        <f t="shared" si="4"/>
        <v>25,809</v>
      </c>
      <c r="I12" s="18">
        <f t="shared" si="5"/>
        <v>1757</v>
      </c>
      <c r="J12" s="17">
        <f t="shared" si="11"/>
        <v>96</v>
      </c>
      <c r="K12" s="17" t="str">
        <f t="shared" si="6"/>
        <v>7,848</v>
      </c>
      <c r="L12" s="18">
        <f t="shared" si="7"/>
        <v>2916</v>
      </c>
      <c r="M12" s="19"/>
      <c r="N12" s="23" t="s">
        <v>20</v>
      </c>
      <c r="O12" s="24">
        <v>50</v>
      </c>
      <c r="P12" s="93" t="s">
        <v>21</v>
      </c>
      <c r="Q12" s="80"/>
      <c r="R12" s="94"/>
      <c r="S12" s="69"/>
      <c r="T12" s="69"/>
      <c r="U12" s="69"/>
      <c r="V12" s="69"/>
      <c r="W12" s="69"/>
      <c r="X12" s="69"/>
    </row>
    <row r="13" spans="1:24" ht="12.75" customHeight="1" x14ac:dyDescent="0.25">
      <c r="A13" s="16">
        <f t="shared" si="8"/>
        <v>-14</v>
      </c>
      <c r="B13" s="17" t="str">
        <f t="shared" si="0"/>
        <v>732,468</v>
      </c>
      <c r="C13" s="18">
        <f t="shared" si="1"/>
        <v>106</v>
      </c>
      <c r="D13" s="17">
        <f t="shared" si="9"/>
        <v>23</v>
      </c>
      <c r="E13" s="17" t="str">
        <f t="shared" si="2"/>
        <v>109,347</v>
      </c>
      <c r="F13" s="18">
        <f t="shared" si="3"/>
        <v>617</v>
      </c>
      <c r="G13" s="17">
        <f t="shared" si="10"/>
        <v>60</v>
      </c>
      <c r="H13" s="17" t="str">
        <f t="shared" si="4"/>
        <v>24,905</v>
      </c>
      <c r="I13" s="18">
        <f t="shared" si="5"/>
        <v>1793</v>
      </c>
      <c r="J13" s="17">
        <f t="shared" si="11"/>
        <v>97</v>
      </c>
      <c r="K13" s="17" t="str">
        <f t="shared" si="6"/>
        <v>7,625</v>
      </c>
      <c r="L13" s="18">
        <f t="shared" si="7"/>
        <v>2940</v>
      </c>
      <c r="M13" s="15"/>
      <c r="N13" s="25"/>
      <c r="O13" s="25"/>
      <c r="S13" s="69"/>
      <c r="T13" s="69"/>
      <c r="U13" s="69"/>
      <c r="V13" s="69"/>
      <c r="W13" s="69"/>
      <c r="X13" s="69"/>
    </row>
    <row r="14" spans="1:24" ht="12.75" customHeight="1" x14ac:dyDescent="0.3">
      <c r="A14" s="16">
        <f t="shared" si="8"/>
        <v>-13</v>
      </c>
      <c r="B14" s="17" t="str">
        <f t="shared" si="0"/>
        <v>690,837</v>
      </c>
      <c r="C14" s="18">
        <f t="shared" si="1"/>
        <v>112</v>
      </c>
      <c r="D14" s="17">
        <f t="shared" si="9"/>
        <v>24</v>
      </c>
      <c r="E14" s="26" t="str">
        <f t="shared" si="2"/>
        <v>104,553</v>
      </c>
      <c r="F14" s="18">
        <f t="shared" si="3"/>
        <v>641</v>
      </c>
      <c r="G14" s="17">
        <f t="shared" si="10"/>
        <v>61</v>
      </c>
      <c r="H14" s="17" t="str">
        <f t="shared" si="4"/>
        <v>24,038</v>
      </c>
      <c r="I14" s="18">
        <f t="shared" si="5"/>
        <v>1829</v>
      </c>
      <c r="J14" s="17">
        <f t="shared" si="11"/>
        <v>98</v>
      </c>
      <c r="K14" s="17" t="str">
        <f t="shared" si="6"/>
        <v>7,409</v>
      </c>
      <c r="L14" s="18">
        <f t="shared" si="7"/>
        <v>2963</v>
      </c>
      <c r="M14" s="19"/>
      <c r="N14" s="71" t="s">
        <v>22</v>
      </c>
      <c r="O14" s="72"/>
      <c r="P14" s="98" t="s">
        <v>23</v>
      </c>
      <c r="Q14" s="77"/>
      <c r="R14" s="72"/>
      <c r="S14" s="81" t="s">
        <v>24</v>
      </c>
      <c r="T14" s="69"/>
      <c r="U14" s="69"/>
      <c r="V14" s="69"/>
      <c r="W14" s="69"/>
      <c r="X14" s="69"/>
    </row>
    <row r="15" spans="1:24" ht="12.75" customHeight="1" x14ac:dyDescent="0.35">
      <c r="A15" s="16">
        <f t="shared" si="8"/>
        <v>-12</v>
      </c>
      <c r="B15" s="17" t="str">
        <f t="shared" si="0"/>
        <v>651,864</v>
      </c>
      <c r="C15" s="18">
        <f t="shared" si="1"/>
        <v>118</v>
      </c>
      <c r="D15" s="17">
        <f t="shared" si="9"/>
        <v>25</v>
      </c>
      <c r="E15" s="17" t="str">
        <f t="shared" si="2"/>
        <v>100,000</v>
      </c>
      <c r="F15" s="18">
        <f t="shared" si="3"/>
        <v>665</v>
      </c>
      <c r="G15" s="17">
        <f t="shared" si="10"/>
        <v>62</v>
      </c>
      <c r="H15" s="17" t="str">
        <f t="shared" si="4"/>
        <v>23,206</v>
      </c>
      <c r="I15" s="18">
        <f t="shared" si="5"/>
        <v>1865</v>
      </c>
      <c r="J15" s="17">
        <f t="shared" si="11"/>
        <v>99</v>
      </c>
      <c r="K15" s="17" t="str">
        <f t="shared" si="6"/>
        <v>7,200</v>
      </c>
      <c r="L15" s="18">
        <f t="shared" si="7"/>
        <v>2987</v>
      </c>
      <c r="M15" s="19"/>
      <c r="N15" s="27" t="s">
        <v>25</v>
      </c>
      <c r="O15" s="28" t="s">
        <v>26</v>
      </c>
      <c r="P15" s="68" t="s">
        <v>27</v>
      </c>
      <c r="Q15" s="69"/>
      <c r="R15" s="70"/>
      <c r="S15" s="69"/>
      <c r="T15" s="69"/>
      <c r="U15" s="69"/>
      <c r="V15" s="69"/>
      <c r="W15" s="69"/>
      <c r="X15" s="69"/>
    </row>
    <row r="16" spans="1:24" ht="12.75" customHeight="1" x14ac:dyDescent="0.3">
      <c r="A16" s="16">
        <f t="shared" si="8"/>
        <v>-11</v>
      </c>
      <c r="B16" s="17" t="str">
        <f t="shared" si="0"/>
        <v>615,363</v>
      </c>
      <c r="C16" s="18">
        <f t="shared" si="1"/>
        <v>125</v>
      </c>
      <c r="D16" s="17">
        <f t="shared" si="9"/>
        <v>26</v>
      </c>
      <c r="E16" s="17" t="str">
        <f t="shared" si="2"/>
        <v>95,673</v>
      </c>
      <c r="F16" s="18">
        <f t="shared" si="3"/>
        <v>690</v>
      </c>
      <c r="G16" s="17">
        <f t="shared" si="10"/>
        <v>63</v>
      </c>
      <c r="H16" s="17" t="str">
        <f t="shared" si="4"/>
        <v>22,408</v>
      </c>
      <c r="I16" s="18">
        <f t="shared" si="5"/>
        <v>1900</v>
      </c>
      <c r="J16" s="17">
        <f t="shared" si="11"/>
        <v>100</v>
      </c>
      <c r="K16" s="17" t="str">
        <f t="shared" si="6"/>
        <v>6,999</v>
      </c>
      <c r="L16" s="18">
        <f t="shared" si="7"/>
        <v>3009</v>
      </c>
      <c r="M16" s="19"/>
      <c r="N16" s="29" t="s">
        <v>28</v>
      </c>
      <c r="O16" s="30">
        <v>4095</v>
      </c>
      <c r="P16" s="68" t="s">
        <v>29</v>
      </c>
      <c r="Q16" s="69"/>
      <c r="R16" s="70"/>
      <c r="S16" s="69"/>
      <c r="T16" s="69"/>
      <c r="U16" s="69"/>
      <c r="V16" s="69"/>
      <c r="W16" s="69"/>
      <c r="X16" s="69"/>
    </row>
    <row r="17" spans="1:24" ht="12.75" customHeight="1" x14ac:dyDescent="0.3">
      <c r="A17" s="16">
        <f t="shared" si="8"/>
        <v>-10</v>
      </c>
      <c r="B17" s="17" t="str">
        <f t="shared" si="0"/>
        <v>581,159</v>
      </c>
      <c r="C17" s="18">
        <f t="shared" si="1"/>
        <v>132</v>
      </c>
      <c r="D17" s="17">
        <f t="shared" si="9"/>
        <v>27</v>
      </c>
      <c r="E17" s="17" t="str">
        <f t="shared" si="2"/>
        <v>91,561</v>
      </c>
      <c r="F17" s="18">
        <f t="shared" si="3"/>
        <v>716</v>
      </c>
      <c r="G17" s="17">
        <f t="shared" si="10"/>
        <v>64</v>
      </c>
      <c r="H17" s="17" t="str">
        <f t="shared" si="4"/>
        <v>21,641</v>
      </c>
      <c r="I17" s="18">
        <f t="shared" si="5"/>
        <v>1936</v>
      </c>
      <c r="J17" s="17">
        <f t="shared" si="11"/>
        <v>101</v>
      </c>
      <c r="K17" s="17" t="str">
        <f t="shared" si="6"/>
        <v>6,804</v>
      </c>
      <c r="L17" s="18">
        <f t="shared" si="7"/>
        <v>3032</v>
      </c>
      <c r="M17" s="19"/>
      <c r="N17" s="29" t="s">
        <v>30</v>
      </c>
      <c r="O17" s="31">
        <v>19400</v>
      </c>
      <c r="P17" s="68" t="s">
        <v>31</v>
      </c>
      <c r="Q17" s="69"/>
      <c r="R17" s="70"/>
      <c r="S17" s="69"/>
      <c r="T17" s="69"/>
      <c r="U17" s="69"/>
      <c r="V17" s="69"/>
      <c r="W17" s="69"/>
      <c r="X17" s="69"/>
    </row>
    <row r="18" spans="1:24" ht="12.75" customHeight="1" x14ac:dyDescent="0.3">
      <c r="A18" s="16">
        <f t="shared" si="8"/>
        <v>-9</v>
      </c>
      <c r="B18" s="17" t="str">
        <f t="shared" si="0"/>
        <v>549,095</v>
      </c>
      <c r="C18" s="18">
        <f t="shared" si="1"/>
        <v>140</v>
      </c>
      <c r="D18" s="17">
        <f t="shared" si="9"/>
        <v>28</v>
      </c>
      <c r="E18" s="17" t="str">
        <f t="shared" si="2"/>
        <v>87,651</v>
      </c>
      <c r="F18" s="18">
        <f t="shared" si="3"/>
        <v>742</v>
      </c>
      <c r="G18" s="17">
        <f t="shared" si="10"/>
        <v>65</v>
      </c>
      <c r="H18" s="17" t="str">
        <f t="shared" si="4"/>
        <v>20,905</v>
      </c>
      <c r="I18" s="18">
        <f t="shared" si="5"/>
        <v>1971</v>
      </c>
      <c r="J18" s="17">
        <f t="shared" si="11"/>
        <v>102</v>
      </c>
      <c r="K18" s="17" t="str">
        <f t="shared" si="6"/>
        <v>6,615</v>
      </c>
      <c r="L18" s="18">
        <f t="shared" si="7"/>
        <v>3054</v>
      </c>
      <c r="M18" s="15"/>
      <c r="N18" s="23" t="s">
        <v>20</v>
      </c>
      <c r="O18" s="32">
        <v>35</v>
      </c>
      <c r="P18" s="93" t="s">
        <v>32</v>
      </c>
      <c r="Q18" s="80"/>
      <c r="R18" s="94"/>
      <c r="S18" s="69"/>
      <c r="T18" s="69"/>
      <c r="U18" s="69"/>
      <c r="V18" s="69"/>
      <c r="W18" s="69"/>
      <c r="X18" s="69"/>
    </row>
    <row r="19" spans="1:24" ht="12.75" customHeight="1" x14ac:dyDescent="0.3">
      <c r="A19" s="16">
        <f t="shared" si="8"/>
        <v>-8</v>
      </c>
      <c r="B19" s="17" t="str">
        <f t="shared" si="0"/>
        <v>519,022</v>
      </c>
      <c r="C19" s="18">
        <f t="shared" si="1"/>
        <v>148</v>
      </c>
      <c r="D19" s="17">
        <f t="shared" si="9"/>
        <v>29</v>
      </c>
      <c r="E19" s="17" t="str">
        <f t="shared" si="2"/>
        <v>83,932</v>
      </c>
      <c r="F19" s="18">
        <f t="shared" si="3"/>
        <v>769</v>
      </c>
      <c r="G19" s="17">
        <f t="shared" si="10"/>
        <v>66</v>
      </c>
      <c r="H19" s="17" t="str">
        <f t="shared" si="4"/>
        <v>20,198</v>
      </c>
      <c r="I19" s="18">
        <f t="shared" si="5"/>
        <v>2006</v>
      </c>
      <c r="J19" s="17">
        <f t="shared" si="11"/>
        <v>103</v>
      </c>
      <c r="K19" s="17" t="str">
        <f t="shared" si="6"/>
        <v>6,433</v>
      </c>
      <c r="L19" s="18">
        <f t="shared" si="7"/>
        <v>3075</v>
      </c>
      <c r="M19" s="15"/>
      <c r="N19" s="33" t="str">
        <f>O18&amp;"°C Should Be About"</f>
        <v>35°C Should Be About</v>
      </c>
      <c r="O19" s="34">
        <f>ROUND(O9*EXP(((1 / ( $O$18 + 273.15 )) - (1 / (273.15+$O$10)))*$O$8),0)/1000</f>
        <v>65.090999999999994</v>
      </c>
      <c r="P19" s="95" t="s">
        <v>33</v>
      </c>
      <c r="Q19" s="69"/>
      <c r="R19" s="35">
        <f>IF(R20&gt;(INT(0.5+100*POWER(10,IF(96*(LOG(R20)-INT(LOG(R20)))-                              ROUND(96*(LOG(R20)-                              INT(LOG(R20))),0)&lt;0,                              ROUND(96*(LOG(R20)-                              INT(LOG(R20))),0)-1,                              ROUND(96*(LOG(R20)-                              INT(LOG(R20))),0))/96)) *                              POWER(10,INT(LOG(R20))-2) +                              INT(0.5+100*POWER(10,(IF(96*(LOG(R20)-INT(LOG(R20)))-                              ROUND(96*(LOG(R20)-                              INT(LOG(R20))),0)&lt;0,                              ROUND(96*(LOG(R20)-                              INT(LOG(R20))),0)-1,                              ROUND(96*(LOG(R20)-                              INT(LOG(R20))),0))+1)/96)) *                              POWER(10,INT(LOG(R20))-2))/2,                              INT(0.5+100*POWER(10,(IF(96*(LOG(R20)-INT(LOG(R20)))-                              ROUND(96*(LOG(R20)-                              INT(LOG(R20))),0)&lt;0,                              ROUND(96*(LOG(R20)-                              INT(LOG(R20))),0)-1,                              ROUND(96*(LOG(R20)-                              INT(LOG(R20))),0))+1)/96)) *                              POWER(10,INT(LOG(R20))-                              2),INT(0.5+100*POWER(10,IF(96*(LOG(R20)-INT(LOG(R20))) -                              ROUND(96*(LOG(R20)-                              INT(LOG(R20))),0)&lt;0,                              ROUND(96*(LOG(R20)-                              INT(LOG(R20))),0)-1,                              ROUND(96*(LOG(R20)-                              INT(LOG(R20))),0))/96)) *                              POWER(10,INT(LOG(R20))-2))</f>
        <v>86600</v>
      </c>
      <c r="S19" s="69"/>
      <c r="T19" s="69"/>
      <c r="U19" s="69"/>
      <c r="V19" s="69"/>
      <c r="W19" s="69"/>
      <c r="X19" s="69"/>
    </row>
    <row r="20" spans="1:24" ht="12.75" customHeight="1" x14ac:dyDescent="0.3">
      <c r="A20" s="16">
        <f t="shared" si="8"/>
        <v>-7</v>
      </c>
      <c r="B20" s="17" t="str">
        <f t="shared" si="0"/>
        <v>490,804</v>
      </c>
      <c r="C20" s="18">
        <f t="shared" si="1"/>
        <v>156</v>
      </c>
      <c r="D20" s="17">
        <f t="shared" si="9"/>
        <v>30</v>
      </c>
      <c r="E20" s="17" t="str">
        <f t="shared" si="2"/>
        <v>80,394</v>
      </c>
      <c r="F20" s="18">
        <f t="shared" si="3"/>
        <v>796</v>
      </c>
      <c r="G20" s="17">
        <f t="shared" si="10"/>
        <v>67</v>
      </c>
      <c r="H20" s="17" t="str">
        <f t="shared" si="4"/>
        <v>19,519</v>
      </c>
      <c r="I20" s="18">
        <f t="shared" si="5"/>
        <v>2041</v>
      </c>
      <c r="J20" s="17">
        <f t="shared" si="11"/>
        <v>104</v>
      </c>
      <c r="K20" s="17" t="str">
        <f t="shared" si="6"/>
        <v>6,256</v>
      </c>
      <c r="L20" s="18">
        <f t="shared" si="7"/>
        <v>3096</v>
      </c>
      <c r="M20" s="15"/>
      <c r="N20" s="36" t="s">
        <v>34</v>
      </c>
      <c r="O20" s="37">
        <f>ABS(IF(O15="Vcc",-O16,0)+ROUND(O19/(O19+$O$17)*O16,0))</f>
        <v>4081</v>
      </c>
      <c r="P20" s="95" t="s">
        <v>35</v>
      </c>
      <c r="Q20" s="69"/>
      <c r="R20" s="38">
        <f>ROUND(B125*1000,0)</f>
        <v>86515</v>
      </c>
      <c r="S20" s="69"/>
      <c r="T20" s="69"/>
      <c r="U20" s="69"/>
      <c r="V20" s="69"/>
      <c r="W20" s="69"/>
      <c r="X20" s="69"/>
    </row>
    <row r="21" spans="1:24" ht="12.75" customHeight="1" x14ac:dyDescent="0.25">
      <c r="A21" s="16">
        <f t="shared" si="8"/>
        <v>-6</v>
      </c>
      <c r="B21" s="17" t="str">
        <f t="shared" si="0"/>
        <v>464,314</v>
      </c>
      <c r="C21" s="18">
        <f t="shared" si="1"/>
        <v>164</v>
      </c>
      <c r="D21" s="17">
        <f t="shared" si="9"/>
        <v>31</v>
      </c>
      <c r="E21" s="17" t="str">
        <f t="shared" si="2"/>
        <v>77,026</v>
      </c>
      <c r="F21" s="18">
        <f t="shared" si="3"/>
        <v>824</v>
      </c>
      <c r="G21" s="17">
        <f t="shared" si="10"/>
        <v>68</v>
      </c>
      <c r="H21" s="17" t="str">
        <f t="shared" si="4"/>
        <v>18,867</v>
      </c>
      <c r="I21" s="18">
        <f t="shared" si="5"/>
        <v>2076</v>
      </c>
      <c r="J21" s="17">
        <f t="shared" si="11"/>
        <v>105</v>
      </c>
      <c r="K21" s="17" t="str">
        <f t="shared" si="6"/>
        <v>6,086</v>
      </c>
      <c r="L21" s="18">
        <f t="shared" si="7"/>
        <v>3117</v>
      </c>
      <c r="M21" s="15"/>
      <c r="N21" s="39"/>
      <c r="O21" s="40"/>
      <c r="Q21" s="2"/>
      <c r="S21" s="69"/>
      <c r="T21" s="69"/>
      <c r="U21" s="69"/>
      <c r="V21" s="69"/>
      <c r="W21" s="69"/>
      <c r="X21" s="69"/>
    </row>
    <row r="22" spans="1:24" ht="12.75" customHeight="1" x14ac:dyDescent="0.3">
      <c r="A22" s="16">
        <f t="shared" si="8"/>
        <v>-5</v>
      </c>
      <c r="B22" s="17" t="str">
        <f t="shared" si="0"/>
        <v>439,435</v>
      </c>
      <c r="C22" s="18">
        <f t="shared" si="1"/>
        <v>173</v>
      </c>
      <c r="D22" s="17">
        <f t="shared" si="9"/>
        <v>32</v>
      </c>
      <c r="E22" s="17" t="str">
        <f t="shared" si="2"/>
        <v>73,821</v>
      </c>
      <c r="F22" s="18">
        <f t="shared" si="3"/>
        <v>852</v>
      </c>
      <c r="G22" s="17">
        <f t="shared" si="10"/>
        <v>69</v>
      </c>
      <c r="H22" s="17" t="str">
        <f t="shared" si="4"/>
        <v>18,240</v>
      </c>
      <c r="I22" s="18">
        <f t="shared" si="5"/>
        <v>2111</v>
      </c>
      <c r="J22" s="17">
        <f t="shared" si="11"/>
        <v>106</v>
      </c>
      <c r="K22" s="17" t="str">
        <f t="shared" si="6"/>
        <v>5,921</v>
      </c>
      <c r="L22" s="18">
        <f t="shared" si="7"/>
        <v>3137</v>
      </c>
      <c r="M22" s="15"/>
      <c r="N22" s="71" t="s">
        <v>36</v>
      </c>
      <c r="O22" s="72"/>
      <c r="P22" s="99" t="s">
        <v>37</v>
      </c>
      <c r="Q22" s="77"/>
      <c r="R22" s="72"/>
      <c r="S22" s="69"/>
      <c r="T22" s="69"/>
      <c r="U22" s="69"/>
      <c r="V22" s="69"/>
      <c r="W22" s="69"/>
      <c r="X22" s="69"/>
    </row>
    <row r="23" spans="1:24" ht="12.75" customHeight="1" x14ac:dyDescent="0.25">
      <c r="A23" s="16">
        <f t="shared" si="8"/>
        <v>-4</v>
      </c>
      <c r="B23" s="17" t="str">
        <f t="shared" si="0"/>
        <v>416,060</v>
      </c>
      <c r="C23" s="18">
        <f t="shared" si="1"/>
        <v>182</v>
      </c>
      <c r="D23" s="17">
        <f t="shared" si="9"/>
        <v>33</v>
      </c>
      <c r="E23" s="17" t="str">
        <f t="shared" si="2"/>
        <v>70,769</v>
      </c>
      <c r="F23" s="18">
        <f t="shared" si="3"/>
        <v>881</v>
      </c>
      <c r="G23" s="17">
        <f t="shared" si="10"/>
        <v>70</v>
      </c>
      <c r="H23" s="17" t="str">
        <f t="shared" si="4"/>
        <v>17,637</v>
      </c>
      <c r="I23" s="18">
        <f t="shared" si="5"/>
        <v>2145</v>
      </c>
      <c r="J23" s="17">
        <f t="shared" si="11"/>
        <v>107</v>
      </c>
      <c r="K23" s="17" t="str">
        <f t="shared" si="6"/>
        <v>5,761</v>
      </c>
      <c r="L23" s="18">
        <f t="shared" si="7"/>
        <v>3157</v>
      </c>
      <c r="M23" s="15"/>
      <c r="N23" s="33" t="s">
        <v>38</v>
      </c>
      <c r="O23" s="41">
        <v>-23</v>
      </c>
      <c r="P23" s="78"/>
      <c r="Q23" s="69"/>
      <c r="R23" s="70"/>
      <c r="S23" s="69"/>
      <c r="T23" s="69"/>
      <c r="U23" s="69"/>
      <c r="V23" s="69"/>
      <c r="W23" s="69"/>
      <c r="X23" s="69"/>
    </row>
    <row r="24" spans="1:24" ht="12.75" customHeight="1" x14ac:dyDescent="0.25">
      <c r="A24" s="16">
        <f t="shared" si="8"/>
        <v>-3</v>
      </c>
      <c r="B24" s="17" t="str">
        <f t="shared" si="0"/>
        <v>394,088</v>
      </c>
      <c r="C24" s="18">
        <f t="shared" si="1"/>
        <v>192</v>
      </c>
      <c r="D24" s="17">
        <f t="shared" si="9"/>
        <v>34</v>
      </c>
      <c r="E24" s="17" t="str">
        <f t="shared" si="2"/>
        <v>67,861</v>
      </c>
      <c r="F24" s="18">
        <f t="shared" si="3"/>
        <v>910</v>
      </c>
      <c r="G24" s="17">
        <f t="shared" si="10"/>
        <v>71</v>
      </c>
      <c r="H24" s="17" t="str">
        <f t="shared" si="4"/>
        <v>17,058</v>
      </c>
      <c r="I24" s="18">
        <f t="shared" si="5"/>
        <v>2179</v>
      </c>
      <c r="J24" s="17">
        <f t="shared" si="11"/>
        <v>108</v>
      </c>
      <c r="K24" s="17" t="str">
        <f t="shared" si="6"/>
        <v>5,606</v>
      </c>
      <c r="L24" s="18">
        <f t="shared" si="7"/>
        <v>3177</v>
      </c>
      <c r="M24" s="15"/>
      <c r="N24" s="42" t="s">
        <v>39</v>
      </c>
      <c r="O24" s="41">
        <v>1</v>
      </c>
      <c r="P24" s="97"/>
      <c r="Q24" s="80"/>
      <c r="R24" s="94"/>
      <c r="S24" s="69"/>
      <c r="T24" s="69"/>
      <c r="U24" s="69"/>
      <c r="V24" s="69"/>
      <c r="W24" s="69"/>
      <c r="X24" s="69"/>
    </row>
    <row r="25" spans="1:24" ht="12.75" customHeight="1" x14ac:dyDescent="0.25">
      <c r="A25" s="16">
        <f t="shared" si="8"/>
        <v>-2</v>
      </c>
      <c r="B25" s="17" t="str">
        <f t="shared" si="0"/>
        <v>373,425</v>
      </c>
      <c r="C25" s="18">
        <f t="shared" si="1"/>
        <v>202</v>
      </c>
      <c r="D25" s="17">
        <f t="shared" si="9"/>
        <v>35</v>
      </c>
      <c r="E25" s="17" t="str">
        <f t="shared" si="2"/>
        <v>65,091</v>
      </c>
      <c r="F25" s="18">
        <f t="shared" si="3"/>
        <v>940</v>
      </c>
      <c r="G25" s="17">
        <f t="shared" si="10"/>
        <v>72</v>
      </c>
      <c r="H25" s="17" t="str">
        <f t="shared" si="4"/>
        <v>16,500</v>
      </c>
      <c r="I25" s="18">
        <f t="shared" si="5"/>
        <v>2213</v>
      </c>
      <c r="J25" s="17">
        <f t="shared" si="11"/>
        <v>109</v>
      </c>
      <c r="K25" s="17" t="str">
        <f t="shared" si="6"/>
        <v>5,456</v>
      </c>
      <c r="L25" s="18">
        <f t="shared" si="7"/>
        <v>3196</v>
      </c>
      <c r="M25" s="15"/>
      <c r="N25" s="39"/>
      <c r="O25" s="39"/>
      <c r="S25" s="69"/>
      <c r="T25" s="69"/>
      <c r="U25" s="69"/>
      <c r="V25" s="69"/>
      <c r="W25" s="69"/>
      <c r="X25" s="69"/>
    </row>
    <row r="26" spans="1:24" ht="12.75" customHeight="1" x14ac:dyDescent="0.3">
      <c r="A26" s="16">
        <f t="shared" si="8"/>
        <v>-1</v>
      </c>
      <c r="B26" s="17" t="str">
        <f t="shared" si="0"/>
        <v>353,986</v>
      </c>
      <c r="C26" s="18">
        <f t="shared" si="1"/>
        <v>213</v>
      </c>
      <c r="D26" s="17">
        <f t="shared" si="9"/>
        <v>36</v>
      </c>
      <c r="E26" s="17" t="str">
        <f t="shared" si="2"/>
        <v>62,450</v>
      </c>
      <c r="F26" s="18">
        <f t="shared" si="3"/>
        <v>971</v>
      </c>
      <c r="G26" s="17">
        <f t="shared" si="10"/>
        <v>73</v>
      </c>
      <c r="H26" s="17" t="str">
        <f t="shared" si="4"/>
        <v>15,965</v>
      </c>
      <c r="I26" s="18">
        <f t="shared" si="5"/>
        <v>2246</v>
      </c>
      <c r="J26" s="17">
        <f t="shared" si="11"/>
        <v>110</v>
      </c>
      <c r="K26" s="17" t="str">
        <f t="shared" si="6"/>
        <v>5,311</v>
      </c>
      <c r="L26" s="18">
        <f t="shared" si="7"/>
        <v>3215</v>
      </c>
      <c r="M26" s="15"/>
      <c r="N26" s="71" t="s">
        <v>40</v>
      </c>
      <c r="O26" s="72"/>
      <c r="P26" s="96" t="s">
        <v>41</v>
      </c>
      <c r="Q26" s="77"/>
      <c r="R26" s="72"/>
      <c r="S26" s="79" t="s">
        <v>42</v>
      </c>
      <c r="T26" s="69"/>
      <c r="U26" s="69"/>
      <c r="V26" s="69"/>
      <c r="W26" s="69"/>
      <c r="X26" s="69"/>
    </row>
    <row r="27" spans="1:24" ht="12.75" customHeight="1" x14ac:dyDescent="0.25">
      <c r="A27" s="16">
        <f t="shared" si="8"/>
        <v>0</v>
      </c>
      <c r="B27" s="17" t="str">
        <f t="shared" si="0"/>
        <v>335,690</v>
      </c>
      <c r="C27" s="18">
        <f t="shared" si="1"/>
        <v>224</v>
      </c>
      <c r="D27" s="17">
        <f t="shared" si="9"/>
        <v>37</v>
      </c>
      <c r="E27" s="17" t="str">
        <f t="shared" si="2"/>
        <v>59,933</v>
      </c>
      <c r="F27" s="18">
        <f t="shared" si="3"/>
        <v>1001</v>
      </c>
      <c r="G27" s="17">
        <f t="shared" si="10"/>
        <v>74</v>
      </c>
      <c r="H27" s="17" t="str">
        <f t="shared" si="4"/>
        <v>15,449</v>
      </c>
      <c r="I27" s="18">
        <f t="shared" si="5"/>
        <v>2280</v>
      </c>
      <c r="J27" s="17">
        <f t="shared" si="11"/>
        <v>111</v>
      </c>
      <c r="K27" s="17" t="str">
        <f t="shared" si="6"/>
        <v>5,171</v>
      </c>
      <c r="L27" s="18">
        <f t="shared" si="7"/>
        <v>3233</v>
      </c>
      <c r="M27" s="15"/>
      <c r="N27" s="83"/>
      <c r="O27" s="70"/>
      <c r="P27" s="78"/>
      <c r="Q27" s="69"/>
      <c r="R27" s="70"/>
      <c r="S27" s="69"/>
      <c r="T27" s="69"/>
      <c r="U27" s="69"/>
      <c r="V27" s="69"/>
      <c r="W27" s="69"/>
      <c r="X27" s="69"/>
    </row>
    <row r="28" spans="1:24" ht="12.75" customHeight="1" x14ac:dyDescent="0.25">
      <c r="A28" s="16">
        <f t="shared" si="8"/>
        <v>1</v>
      </c>
      <c r="B28" s="17" t="str">
        <f t="shared" si="0"/>
        <v>318,464</v>
      </c>
      <c r="C28" s="18">
        <f t="shared" si="1"/>
        <v>235</v>
      </c>
      <c r="D28" s="17">
        <f t="shared" si="9"/>
        <v>38</v>
      </c>
      <c r="E28" s="17" t="str">
        <f t="shared" si="2"/>
        <v>57,532</v>
      </c>
      <c r="F28" s="18">
        <f t="shared" si="3"/>
        <v>1033</v>
      </c>
      <c r="G28" s="17">
        <f t="shared" si="10"/>
        <v>75</v>
      </c>
      <c r="H28" s="17" t="str">
        <f t="shared" si="4"/>
        <v>14,953</v>
      </c>
      <c r="I28" s="18">
        <f t="shared" si="5"/>
        <v>2313</v>
      </c>
      <c r="J28" s="17">
        <f t="shared" si="11"/>
        <v>112</v>
      </c>
      <c r="K28" s="17" t="str">
        <f t="shared" si="6"/>
        <v>5,035</v>
      </c>
      <c r="L28" s="18">
        <f t="shared" si="7"/>
        <v>3251</v>
      </c>
      <c r="M28" s="15"/>
      <c r="N28" s="33" t="s">
        <v>43</v>
      </c>
      <c r="O28" s="43">
        <v>1</v>
      </c>
      <c r="P28" s="78"/>
      <c r="Q28" s="69"/>
      <c r="R28" s="70"/>
      <c r="S28" s="69"/>
      <c r="T28" s="69"/>
      <c r="U28" s="69"/>
      <c r="V28" s="69"/>
      <c r="W28" s="69"/>
      <c r="X28" s="69"/>
    </row>
    <row r="29" spans="1:24" ht="12.75" customHeight="1" x14ac:dyDescent="0.25">
      <c r="A29" s="16">
        <f t="shared" si="8"/>
        <v>2</v>
      </c>
      <c r="B29" s="17" t="str">
        <f t="shared" si="0"/>
        <v>302,236</v>
      </c>
      <c r="C29" s="18">
        <f t="shared" si="1"/>
        <v>247</v>
      </c>
      <c r="D29" s="17">
        <f t="shared" si="9"/>
        <v>39</v>
      </c>
      <c r="E29" s="17" t="str">
        <f t="shared" si="2"/>
        <v>55,242</v>
      </c>
      <c r="F29" s="18">
        <f t="shared" si="3"/>
        <v>1064</v>
      </c>
      <c r="G29" s="17">
        <f t="shared" si="10"/>
        <v>76</v>
      </c>
      <c r="H29" s="17" t="str">
        <f t="shared" si="4"/>
        <v>14,475</v>
      </c>
      <c r="I29" s="18">
        <f t="shared" si="5"/>
        <v>2345</v>
      </c>
      <c r="J29" s="17">
        <f t="shared" si="11"/>
        <v>113</v>
      </c>
      <c r="K29" s="17" t="str">
        <f t="shared" si="6"/>
        <v>4,903</v>
      </c>
      <c r="L29" s="18">
        <f t="shared" si="7"/>
        <v>3269</v>
      </c>
      <c r="M29" s="15"/>
      <c r="N29" s="33" t="s">
        <v>44</v>
      </c>
      <c r="O29" s="43">
        <v>40</v>
      </c>
      <c r="P29" s="78"/>
      <c r="Q29" s="69"/>
      <c r="R29" s="70"/>
      <c r="S29" s="69"/>
      <c r="T29" s="69"/>
      <c r="U29" s="69"/>
      <c r="V29" s="69"/>
      <c r="W29" s="69"/>
      <c r="X29" s="69"/>
    </row>
    <row r="30" spans="1:24" ht="12.75" customHeight="1" x14ac:dyDescent="0.25">
      <c r="A30" s="16">
        <f t="shared" si="8"/>
        <v>3</v>
      </c>
      <c r="B30" s="17" t="str">
        <f t="shared" si="0"/>
        <v>286,945</v>
      </c>
      <c r="C30" s="18">
        <f t="shared" si="1"/>
        <v>259</v>
      </c>
      <c r="D30" s="17">
        <f t="shared" si="9"/>
        <v>40</v>
      </c>
      <c r="E30" s="17" t="str">
        <f t="shared" si="2"/>
        <v>53,057</v>
      </c>
      <c r="F30" s="18">
        <f t="shared" si="3"/>
        <v>1096</v>
      </c>
      <c r="G30" s="17">
        <f t="shared" si="10"/>
        <v>77</v>
      </c>
      <c r="H30" s="17" t="str">
        <f t="shared" si="4"/>
        <v>14,016</v>
      </c>
      <c r="I30" s="18">
        <f t="shared" si="5"/>
        <v>2377</v>
      </c>
      <c r="J30" s="17">
        <f t="shared" si="11"/>
        <v>114</v>
      </c>
      <c r="K30" s="17" t="str">
        <f t="shared" si="6"/>
        <v>4,775</v>
      </c>
      <c r="L30" s="18">
        <f t="shared" si="7"/>
        <v>3286</v>
      </c>
      <c r="M30" s="15"/>
      <c r="N30" s="33" t="s">
        <v>45</v>
      </c>
      <c r="O30" s="37">
        <f>SLOPE(A55:A155,C55:C155)</f>
        <v>4.4511154093375041E-2</v>
      </c>
      <c r="P30" s="78"/>
      <c r="Q30" s="69"/>
      <c r="R30" s="70"/>
      <c r="S30" s="69"/>
      <c r="T30" s="69"/>
      <c r="U30" s="69"/>
      <c r="V30" s="69"/>
      <c r="W30" s="69"/>
      <c r="X30" s="69"/>
    </row>
    <row r="31" spans="1:24" ht="12.75" customHeight="1" x14ac:dyDescent="0.25">
      <c r="A31" s="16">
        <f t="shared" si="8"/>
        <v>4</v>
      </c>
      <c r="B31" s="17" t="str">
        <f t="shared" si="0"/>
        <v>272,529</v>
      </c>
      <c r="C31" s="18">
        <f t="shared" si="1"/>
        <v>272</v>
      </c>
      <c r="D31" s="17">
        <f t="shared" si="9"/>
        <v>41</v>
      </c>
      <c r="E31" s="17" t="str">
        <f t="shared" si="2"/>
        <v>50,972</v>
      </c>
      <c r="F31" s="18">
        <f t="shared" si="3"/>
        <v>1129</v>
      </c>
      <c r="G31" s="17">
        <f t="shared" si="10"/>
        <v>78</v>
      </c>
      <c r="H31" s="17" t="str">
        <f t="shared" si="4"/>
        <v>13,573</v>
      </c>
      <c r="I31" s="18">
        <f t="shared" si="5"/>
        <v>2409</v>
      </c>
      <c r="J31" s="17">
        <f t="shared" si="11"/>
        <v>115</v>
      </c>
      <c r="K31" s="17" t="str">
        <f t="shared" si="6"/>
        <v>4,651</v>
      </c>
      <c r="L31" s="18">
        <f t="shared" si="7"/>
        <v>3303</v>
      </c>
      <c r="M31" s="15"/>
      <c r="N31" s="42" t="s">
        <v>46</v>
      </c>
      <c r="O31" s="37">
        <f>INTERCEPT(A55:A155,C55:C155)</f>
        <v>-6.0564122228978761</v>
      </c>
      <c r="P31" s="78"/>
      <c r="Q31" s="69"/>
      <c r="R31" s="70"/>
      <c r="S31" s="69"/>
      <c r="T31" s="69"/>
      <c r="U31" s="69"/>
      <c r="V31" s="69"/>
      <c r="W31" s="69"/>
      <c r="X31" s="69"/>
    </row>
    <row r="32" spans="1:24" ht="12.75" customHeight="1" x14ac:dyDescent="0.3">
      <c r="A32" s="16">
        <f t="shared" si="8"/>
        <v>5</v>
      </c>
      <c r="B32" s="17" t="str">
        <f t="shared" si="0"/>
        <v>258,933</v>
      </c>
      <c r="C32" s="18">
        <f t="shared" si="1"/>
        <v>285</v>
      </c>
      <c r="D32" s="17">
        <f t="shared" si="9"/>
        <v>42</v>
      </c>
      <c r="E32" s="17" t="str">
        <f t="shared" si="2"/>
        <v>48,981</v>
      </c>
      <c r="F32" s="18">
        <f t="shared" si="3"/>
        <v>1162</v>
      </c>
      <c r="G32" s="17">
        <f t="shared" si="10"/>
        <v>79</v>
      </c>
      <c r="H32" s="17" t="str">
        <f t="shared" si="4"/>
        <v>13,147</v>
      </c>
      <c r="I32" s="18">
        <f t="shared" si="5"/>
        <v>2441</v>
      </c>
      <c r="J32" s="17">
        <f t="shared" si="11"/>
        <v>116</v>
      </c>
      <c r="K32" s="17" t="str">
        <f t="shared" si="6"/>
        <v>4,532</v>
      </c>
      <c r="L32" s="18">
        <f t="shared" si="7"/>
        <v>3320</v>
      </c>
      <c r="M32" s="44"/>
      <c r="N32" s="84" t="s">
        <v>47</v>
      </c>
      <c r="O32" s="69"/>
      <c r="P32" s="78"/>
      <c r="Q32" s="69"/>
      <c r="R32" s="70"/>
      <c r="S32" s="69"/>
      <c r="T32" s="69"/>
      <c r="U32" s="69"/>
      <c r="V32" s="69"/>
      <c r="W32" s="69"/>
      <c r="X32" s="69"/>
    </row>
    <row r="33" spans="1:24" ht="12.75" customHeight="1" x14ac:dyDescent="0.25">
      <c r="A33" s="16">
        <f t="shared" si="8"/>
        <v>6</v>
      </c>
      <c r="B33" s="17" t="str">
        <f t="shared" si="0"/>
        <v>246,106</v>
      </c>
      <c r="C33" s="18">
        <f t="shared" si="1"/>
        <v>299</v>
      </c>
      <c r="D33" s="17">
        <f t="shared" si="9"/>
        <v>43</v>
      </c>
      <c r="E33" s="17" t="str">
        <f t="shared" si="2"/>
        <v>47,079</v>
      </c>
      <c r="F33" s="18">
        <f t="shared" si="3"/>
        <v>1195</v>
      </c>
      <c r="G33" s="17">
        <f t="shared" si="10"/>
        <v>80</v>
      </c>
      <c r="H33" s="17" t="str">
        <f t="shared" si="4"/>
        <v>12,736</v>
      </c>
      <c r="I33" s="18">
        <f t="shared" si="5"/>
        <v>2472</v>
      </c>
      <c r="J33" s="17">
        <f t="shared" si="11"/>
        <v>117</v>
      </c>
      <c r="K33" s="17" t="str">
        <f t="shared" si="6"/>
        <v>4,415</v>
      </c>
      <c r="L33" s="18">
        <f t="shared" si="7"/>
        <v>3336</v>
      </c>
      <c r="M33" s="15"/>
      <c r="N33" s="85" t="str">
        <f>"°C = "&amp;ROUND(O30,6)&amp;" * analogRead(x) + "&amp;ROUND(O31,5)</f>
        <v>°C = 0,044511 * analogRead(x) + -6,05641</v>
      </c>
      <c r="O33" s="70"/>
      <c r="P33" s="78"/>
      <c r="Q33" s="69"/>
      <c r="R33" s="70"/>
      <c r="S33" s="69"/>
      <c r="T33" s="69"/>
      <c r="U33" s="69"/>
      <c r="V33" s="69"/>
      <c r="W33" s="69"/>
      <c r="X33" s="69"/>
    </row>
    <row r="34" spans="1:24" ht="12.75" customHeight="1" x14ac:dyDescent="0.25">
      <c r="A34" s="16">
        <f t="shared" si="8"/>
        <v>7</v>
      </c>
      <c r="B34" s="17" t="str">
        <f t="shared" si="0"/>
        <v>233,999</v>
      </c>
      <c r="C34" s="18">
        <f t="shared" si="1"/>
        <v>314</v>
      </c>
      <c r="D34" s="17">
        <f t="shared" si="9"/>
        <v>44</v>
      </c>
      <c r="E34" s="17" t="str">
        <f t="shared" si="2"/>
        <v>45,263</v>
      </c>
      <c r="F34" s="18">
        <f t="shared" si="3"/>
        <v>1229</v>
      </c>
      <c r="G34" s="17">
        <f t="shared" si="10"/>
        <v>81</v>
      </c>
      <c r="H34" s="17" t="str">
        <f t="shared" si="4"/>
        <v>12,341</v>
      </c>
      <c r="I34" s="18">
        <f t="shared" si="5"/>
        <v>2503</v>
      </c>
      <c r="J34" s="17">
        <f t="shared" si="11"/>
        <v>118</v>
      </c>
      <c r="K34" s="17" t="str">
        <f t="shared" si="6"/>
        <v>4,303</v>
      </c>
      <c r="L34" s="18">
        <f t="shared" si="7"/>
        <v>3352</v>
      </c>
      <c r="M34" s="15"/>
      <c r="N34" s="45" t="s">
        <v>48</v>
      </c>
      <c r="O34" s="46" t="e">
        <f ca="1">_xludf.CONCAT(MAX(E55:E155), " °C")</f>
        <v>#NAME?</v>
      </c>
      <c r="P34" s="78"/>
      <c r="Q34" s="69"/>
      <c r="R34" s="70"/>
      <c r="S34" s="69"/>
      <c r="T34" s="69"/>
      <c r="U34" s="69"/>
      <c r="V34" s="69"/>
      <c r="W34" s="69"/>
      <c r="X34" s="69"/>
    </row>
    <row r="35" spans="1:24" ht="12.75" customHeight="1" x14ac:dyDescent="0.25">
      <c r="A35" s="16">
        <f t="shared" si="8"/>
        <v>8</v>
      </c>
      <c r="B35" s="17" t="str">
        <f t="shared" si="0"/>
        <v>222,568</v>
      </c>
      <c r="C35" s="18">
        <f t="shared" si="1"/>
        <v>328</v>
      </c>
      <c r="D35" s="17">
        <f t="shared" si="9"/>
        <v>45</v>
      </c>
      <c r="E35" s="17" t="str">
        <f t="shared" si="2"/>
        <v>43,527</v>
      </c>
      <c r="F35" s="18">
        <f t="shared" si="3"/>
        <v>1262</v>
      </c>
      <c r="G35" s="17">
        <f t="shared" si="10"/>
        <v>82</v>
      </c>
      <c r="H35" s="17" t="str">
        <f t="shared" si="4"/>
        <v>11,960</v>
      </c>
      <c r="I35" s="18">
        <f t="shared" si="5"/>
        <v>2533</v>
      </c>
      <c r="J35" s="17">
        <f t="shared" si="11"/>
        <v>119</v>
      </c>
      <c r="K35" s="17" t="str">
        <f t="shared" si="6"/>
        <v>4,193</v>
      </c>
      <c r="L35" s="18">
        <f t="shared" si="7"/>
        <v>3367</v>
      </c>
      <c r="M35" s="15"/>
      <c r="N35" s="33" t="s">
        <v>49</v>
      </c>
      <c r="O35" s="47" t="str">
        <f>"+/- " &amp; ROUND(AVERAGE(E55:E155),3)&amp;" °C"</f>
        <v>+/- 1,252 °C</v>
      </c>
      <c r="P35" s="78"/>
      <c r="Q35" s="69"/>
      <c r="R35" s="70"/>
      <c r="S35" s="69"/>
      <c r="T35" s="69"/>
      <c r="U35" s="69"/>
      <c r="V35" s="69"/>
      <c r="W35" s="69"/>
      <c r="X35" s="69"/>
    </row>
    <row r="36" spans="1:24" ht="12.75" customHeight="1" x14ac:dyDescent="0.25">
      <c r="A36" s="16">
        <f t="shared" si="8"/>
        <v>9</v>
      </c>
      <c r="B36" s="17" t="str">
        <f t="shared" si="0"/>
        <v>211,770</v>
      </c>
      <c r="C36" s="18">
        <f t="shared" si="1"/>
        <v>344</v>
      </c>
      <c r="D36" s="17">
        <f t="shared" si="9"/>
        <v>46</v>
      </c>
      <c r="E36" s="17" t="str">
        <f t="shared" si="2"/>
        <v>41,869</v>
      </c>
      <c r="F36" s="18">
        <f t="shared" si="3"/>
        <v>1297</v>
      </c>
      <c r="G36" s="17">
        <f t="shared" si="10"/>
        <v>83</v>
      </c>
      <c r="H36" s="17" t="str">
        <f t="shared" si="4"/>
        <v>11,593</v>
      </c>
      <c r="I36" s="18">
        <f t="shared" si="5"/>
        <v>2563</v>
      </c>
      <c r="J36" s="17">
        <f t="shared" si="11"/>
        <v>120</v>
      </c>
      <c r="K36" s="17" t="str">
        <f t="shared" si="6"/>
        <v>4,087</v>
      </c>
      <c r="L36" s="18">
        <f t="shared" si="7"/>
        <v>3382</v>
      </c>
      <c r="M36" s="15"/>
      <c r="N36" s="33" t="s">
        <v>50</v>
      </c>
      <c r="O36" s="48" t="str">
        <f>"+/- " &amp; ROUND(MEDIAN(E55:E155),3)&amp;" °C"</f>
        <v>+/- 1,268 °C</v>
      </c>
      <c r="P36" s="78"/>
      <c r="Q36" s="69"/>
      <c r="R36" s="70"/>
      <c r="S36" s="69"/>
      <c r="T36" s="69"/>
      <c r="U36" s="69"/>
      <c r="V36" s="69"/>
      <c r="W36" s="69"/>
      <c r="X36" s="69"/>
    </row>
    <row r="37" spans="1:24" ht="12.75" customHeight="1" x14ac:dyDescent="0.3">
      <c r="A37" s="16">
        <f t="shared" si="8"/>
        <v>10</v>
      </c>
      <c r="B37" s="17" t="str">
        <f t="shared" si="0"/>
        <v>201,567</v>
      </c>
      <c r="C37" s="18">
        <f t="shared" si="1"/>
        <v>360</v>
      </c>
      <c r="D37" s="17">
        <f t="shared" si="9"/>
        <v>47</v>
      </c>
      <c r="E37" s="17" t="str">
        <f t="shared" si="2"/>
        <v>40,283</v>
      </c>
      <c r="F37" s="18">
        <f t="shared" si="3"/>
        <v>1331</v>
      </c>
      <c r="G37" s="17">
        <f t="shared" si="10"/>
        <v>84</v>
      </c>
      <c r="H37" s="17" t="str">
        <f t="shared" si="4"/>
        <v>11,239</v>
      </c>
      <c r="I37" s="18">
        <f t="shared" si="5"/>
        <v>2593</v>
      </c>
      <c r="J37" s="17">
        <f t="shared" si="11"/>
        <v>121</v>
      </c>
      <c r="K37" s="17" t="str">
        <f t="shared" si="6"/>
        <v>3,985</v>
      </c>
      <c r="L37" s="18">
        <f t="shared" si="7"/>
        <v>3397</v>
      </c>
      <c r="M37" s="44"/>
      <c r="N37" s="86" t="s">
        <v>51</v>
      </c>
      <c r="O37" s="77"/>
      <c r="P37" s="78"/>
      <c r="Q37" s="69"/>
      <c r="R37" s="70"/>
      <c r="S37" s="69"/>
      <c r="T37" s="69"/>
      <c r="U37" s="69"/>
      <c r="V37" s="69"/>
      <c r="W37" s="69"/>
      <c r="X37" s="69"/>
    </row>
    <row r="38" spans="1:24" ht="12.75" customHeight="1" x14ac:dyDescent="0.3">
      <c r="A38" s="16">
        <f t="shared" si="8"/>
        <v>11</v>
      </c>
      <c r="B38" s="17" t="str">
        <f t="shared" si="0"/>
        <v>191,922</v>
      </c>
      <c r="C38" s="18">
        <f t="shared" si="1"/>
        <v>376</v>
      </c>
      <c r="D38" s="17">
        <f t="shared" si="9"/>
        <v>48</v>
      </c>
      <c r="E38" s="17" t="str">
        <f t="shared" si="2"/>
        <v>38,766</v>
      </c>
      <c r="F38" s="18">
        <f t="shared" si="3"/>
        <v>1366</v>
      </c>
      <c r="G38" s="17">
        <f t="shared" si="10"/>
        <v>85</v>
      </c>
      <c r="H38" s="17" t="str">
        <f t="shared" si="4"/>
        <v>10,897</v>
      </c>
      <c r="I38" s="18">
        <f t="shared" si="5"/>
        <v>2622</v>
      </c>
      <c r="J38" s="17">
        <f t="shared" si="11"/>
        <v>122</v>
      </c>
      <c r="K38" s="17" t="str">
        <f t="shared" si="6"/>
        <v>3,885</v>
      </c>
      <c r="L38" s="18">
        <f t="shared" si="7"/>
        <v>3412</v>
      </c>
      <c r="M38" s="44"/>
      <c r="N38" s="49" t="s">
        <v>52</v>
      </c>
      <c r="O38" s="50">
        <f>IF(O30&lt;0,D160,D159)</f>
        <v>8</v>
      </c>
      <c r="P38" s="78"/>
      <c r="Q38" s="69"/>
      <c r="R38" s="70"/>
      <c r="S38" s="69"/>
      <c r="T38" s="69"/>
      <c r="U38" s="69"/>
      <c r="V38" s="69"/>
      <c r="W38" s="69"/>
      <c r="X38" s="69"/>
    </row>
    <row r="39" spans="1:24" ht="12.75" customHeight="1" x14ac:dyDescent="0.3">
      <c r="A39" s="16">
        <f t="shared" si="8"/>
        <v>12</v>
      </c>
      <c r="B39" s="17" t="str">
        <f t="shared" si="0"/>
        <v>182,801</v>
      </c>
      <c r="C39" s="18">
        <f t="shared" si="1"/>
        <v>393</v>
      </c>
      <c r="D39" s="17">
        <f t="shared" si="9"/>
        <v>49</v>
      </c>
      <c r="E39" s="17" t="str">
        <f t="shared" si="2"/>
        <v>37,316</v>
      </c>
      <c r="F39" s="18">
        <f t="shared" si="3"/>
        <v>1401</v>
      </c>
      <c r="G39" s="17">
        <f t="shared" si="10"/>
        <v>86</v>
      </c>
      <c r="H39" s="17" t="str">
        <f t="shared" si="4"/>
        <v>10,568</v>
      </c>
      <c r="I39" s="18">
        <f t="shared" si="5"/>
        <v>2651</v>
      </c>
      <c r="J39" s="17">
        <f t="shared" si="11"/>
        <v>123</v>
      </c>
      <c r="K39" s="17" t="str">
        <f t="shared" si="6"/>
        <v>3,788</v>
      </c>
      <c r="L39" s="18">
        <f t="shared" si="7"/>
        <v>3426</v>
      </c>
      <c r="M39" s="44"/>
      <c r="N39" s="85" t="str">
        <f>"°C = (((((analogRead(x)*"&amp;ROUND(O38,0)&amp;") / " &amp; ROUND((1/O30)*O38,0)&amp;")) + "&amp;ROUND(O31,0)&amp;")) - "&amp;V53</f>
        <v>°C = (((((analogRead(x)*8) / 180)) + -6)) - 0</v>
      </c>
      <c r="O39" s="69"/>
      <c r="P39" s="78"/>
      <c r="Q39" s="69"/>
      <c r="R39" s="70"/>
      <c r="S39" s="69"/>
      <c r="T39" s="69"/>
      <c r="U39" s="69"/>
      <c r="V39" s="69"/>
      <c r="W39" s="69"/>
      <c r="X39" s="69"/>
    </row>
    <row r="40" spans="1:24" ht="12.75" customHeight="1" x14ac:dyDescent="0.25">
      <c r="A40" s="51">
        <f t="shared" si="8"/>
        <v>13</v>
      </c>
      <c r="B40" s="52" t="str">
        <f t="shared" si="0"/>
        <v>174,173</v>
      </c>
      <c r="C40" s="53">
        <f t="shared" si="1"/>
        <v>410</v>
      </c>
      <c r="D40" s="52">
        <f t="shared" si="9"/>
        <v>50</v>
      </c>
      <c r="E40" s="52" t="str">
        <f t="shared" si="2"/>
        <v>35,928</v>
      </c>
      <c r="F40" s="53">
        <f t="shared" si="3"/>
        <v>1436</v>
      </c>
      <c r="G40" s="52">
        <f t="shared" si="10"/>
        <v>87</v>
      </c>
      <c r="H40" s="52" t="str">
        <f t="shared" si="4"/>
        <v>10,251</v>
      </c>
      <c r="I40" s="53">
        <f t="shared" si="5"/>
        <v>2679</v>
      </c>
      <c r="J40" s="52">
        <f t="shared" si="11"/>
        <v>124</v>
      </c>
      <c r="K40" s="52" t="str">
        <f t="shared" si="6"/>
        <v>3,695</v>
      </c>
      <c r="L40" s="53">
        <f t="shared" si="7"/>
        <v>3440</v>
      </c>
      <c r="M40" s="15"/>
      <c r="N40" s="33" t="s">
        <v>48</v>
      </c>
      <c r="O40" s="54" t="e">
        <f ca="1">_xludf.CONCAT(FIXED(ROUND(MAX(V55:V155),3),3,1), " °C")</f>
        <v>#NAME?</v>
      </c>
      <c r="P40" s="78"/>
      <c r="Q40" s="69"/>
      <c r="R40" s="70"/>
      <c r="S40" s="69"/>
      <c r="T40" s="69"/>
      <c r="U40" s="69"/>
      <c r="V40" s="69"/>
      <c r="W40" s="69"/>
      <c r="X40" s="69"/>
    </row>
    <row r="41" spans="1:24" ht="12.75" customHeight="1" x14ac:dyDescent="0.25">
      <c r="N41" s="33" t="s">
        <v>49</v>
      </c>
      <c r="O41" s="47" t="str">
        <f>"+/- " &amp; FIXED(ROUND(AVERAGE(V55:V155),3),3,1)&amp;" °C"</f>
        <v>+/- 1,366 °C</v>
      </c>
      <c r="P41" s="78"/>
      <c r="Q41" s="69"/>
      <c r="R41" s="70"/>
      <c r="S41" s="69"/>
      <c r="T41" s="69"/>
      <c r="U41" s="69"/>
      <c r="V41" s="69"/>
      <c r="W41" s="69"/>
      <c r="X41" s="69"/>
    </row>
    <row r="42" spans="1:24" ht="12.75" customHeight="1" x14ac:dyDescent="0.4">
      <c r="A42" s="87" t="s">
        <v>53</v>
      </c>
      <c r="B42" s="77"/>
      <c r="C42" s="77"/>
      <c r="D42" s="77"/>
      <c r="E42" s="77"/>
      <c r="F42" s="77"/>
      <c r="G42" s="77"/>
      <c r="H42" s="77"/>
      <c r="I42" s="77"/>
      <c r="J42" s="77"/>
      <c r="K42" s="77"/>
      <c r="L42" s="72"/>
      <c r="N42" s="33" t="s">
        <v>50</v>
      </c>
      <c r="O42" s="48" t="str">
        <f>"+/- " &amp; FIXED(ROUND(MEDIAN(V55:V155),3),3,1)&amp;" °C"</f>
        <v>+/- 1,470 °C</v>
      </c>
      <c r="P42" s="97"/>
      <c r="Q42" s="80"/>
      <c r="R42" s="94"/>
      <c r="S42" s="80"/>
      <c r="T42" s="80"/>
      <c r="U42" s="80"/>
      <c r="V42" s="80"/>
      <c r="W42" s="80"/>
      <c r="X42" s="80"/>
    </row>
    <row r="43" spans="1:24" ht="12.75" customHeight="1" x14ac:dyDescent="0.3">
      <c r="A43" s="78" t="s">
        <v>54</v>
      </c>
      <c r="B43" s="69"/>
      <c r="C43" s="69"/>
      <c r="D43" s="69"/>
      <c r="E43" s="69"/>
      <c r="F43" s="69"/>
      <c r="G43" s="69"/>
      <c r="H43" s="69"/>
      <c r="I43" s="69"/>
      <c r="J43" s="69"/>
      <c r="K43" s="69"/>
      <c r="L43" s="70"/>
    </row>
    <row r="44" spans="1:24" ht="12.75" customHeight="1" x14ac:dyDescent="0.25">
      <c r="A44" s="15"/>
      <c r="L44" s="55"/>
    </row>
    <row r="45" spans="1:24" ht="12.75" customHeight="1" x14ac:dyDescent="0.25">
      <c r="A45" s="56"/>
      <c r="B45" s="57"/>
      <c r="C45" s="57"/>
      <c r="D45" s="57"/>
      <c r="E45" s="57"/>
      <c r="F45" s="57"/>
      <c r="G45" s="57"/>
      <c r="H45" s="57"/>
      <c r="I45" s="57"/>
      <c r="J45" s="57"/>
      <c r="K45" s="57"/>
      <c r="L45" s="58"/>
    </row>
    <row r="46" spans="1:24" ht="12.75" customHeight="1" x14ac:dyDescent="0.25">
      <c r="A46" s="88" t="e">
        <f ca="1">"// &lt;== AFTER PASTING IN YOUR CODE THERE MIGHT BE A QUOTE MARK HERE, DELETE IT
// ~~~~~~~~~~~~~~~~~~~~~~~~~~~~~~~~~~~~~~~~~~~~~~~~~~~~~~~~~~~~~~~~~~~~~~~~~~~~~
// ADC Value to Temperature for NTC Thermistor.
// Author: James Sleeman http://sparks.gogo.co.n"&amp;"z/ntc.html
// Licence: BSD (see footer for legalese)
//
// Thermistor characteristics:
//   Nominal Resistance "&amp;$O$9&amp;" at "&amp;$O$10&amp;"°C
//   Beta Value "&amp;$O$8&amp;"
//
// Usage Examples:
//   float bestAccuracyTemperature    = convertAnalogToTemperature(analogRead(analogPin));
//   float lesserAccuracyTemperature  = approximateTemperatureFloat(analogRead(analogPin));
//   int   lowestAccuracyTemperature  = approxima"&amp;"teTemperatureInt(analogRead(analogPin));
//
// Better accuracy = more resource (memory, flash) demands, the approximation methods 
// will only produce reasonable results in the range "&amp;$O$28&amp;"-"&amp;$O$29&amp;"°C
//" &amp;
 IF(O15 = "Gnd","
//
// Thermistor Wiring:
//   Vcc -&gt; ["&amp;O17&amp;" Ohm Resistor] -&gt; Thermistor -&gt; Gnd
//                             |
//                             \-&gt; analogPin
//
// ~~~~~~~~~~~~~~~~~~~~~~~~~~~~~~~~~~~~~~~~~~~~~~~~~~~~~~~~~~~~~~~~~~~~~~~~~~~~~
/** Calculate the temperature in °C from ADC (analogRead"&amp;") value (best accuracy).
 *
 *  This conversion should generate reasonably accurate results over the entire range of 
 *  the thermistor, it implements the common 'Beta' approximation for a thermistor
 *  having Beta of "&amp;$O$8&amp;", and nominal values of "&amp;$O$9&amp;"Ω at "&amp;$O$10&amp;"°C
 *
 *  @param   The result of an ADC conversion (analogRead) in the range 0 to "&amp;$O$16&amp;"
 *  @return  Temperature in °C
 */
float  convertAnalogToTemperature(unsigned int analogReadValue)
{
  // If analogReadValue is "&amp;$O$16&amp;", we would otherwise cause a Divide-By-Zero,
  // Treat as crazy out-of-range temperature.
  if(analogReadValue == "&amp;$O$16&amp;") return 1000.0; 
  return (1/((log((("&amp;FIXED($O$17,1,1)&amp;" * analogReadValue) / ("&amp;FIXED($O$16,1,1)&amp;" - analogReadValue))/"&amp;FIXED($O$9,1,1)&amp;")/"&amp;FIXED($O$8,1,1)&amp;") + (1 / (273.15 + "&amp;FIXED($O$10,3,1)&amp;")))) - 273.15;
}
",
"
//
// Thermistor Wiring:
//   Vcc -&gt; Thermistor -&gt; ["&amp;O17&amp;" Ohm Resistor] -&gt; Gnd
//                     |
//                     \-&gt; analogPin
//
// ~~~~~~~~~~~~~~~~~~~~~~~~~~~~~~~~~~~~~~~~~~~~~~~~~~~~~~~~~~~~~~~~~~~~~~~~~~~~~
/** Calculate the temperature in °C from ADC (analogRead) value.
 *
 *  This conversio"&amp;"n should generate reasonably accurate results over a large range of 
 *  the thermistor, it implements a 'Beta' approximation for a thermistor
 *  having Beta of "&amp;$O$8&amp;", and nominal values of "&amp;$O$9&amp;"Ω at "&amp;$O$10&amp;"°C
 *
 *  @param   The result of an ADC conversion (analogRead) in the range 0 to "&amp;$O$16&amp;"
 *  @return  Temperature in °C
 */
float  convertAnalogToTemperature(unsigned int analogReadValue)
{
  // If analogReadValue is 0, we would otherwise cause a Divide-By-Zero,
  // Treat as crazy out-of-range temperature.
  if(analogReadValue == 0) return"&amp;" -1000.0;
  return (1/((log((("&amp;FIXED($O$17,1,1)&amp;" * ("&amp;FIXED($O$16,1,1)&amp;" - analogReadValue)) / analogReadValue)/"&amp;FIXED($O$9,1,1)&amp;")/"&amp;FIXED($O$8,1,1)&amp;") + (1 / (273.15 + "&amp;FIXED($O$10,3,1)&amp;")))) - 273.15;
}") &amp; "
/** Approximate the temperature in °C from ADC (analogRead) value, using floating-point math.
 *
 *  This approximation uses floating point math, but much less complex so may be useful for 
 *  improved performance, reducing program memory consumption,"&amp;" and reducing runtime memory
 *  usage.
 *
 *  This conversion has the following caveats...
 *    Suitable Range              : "&amp;$O$28&amp;"°C to "&amp;$O$29&amp;"°C 
 *    Average Error (Within Range): "&amp;$O$35&amp;"°C
 *    Maximum Error (Within Range): "&amp;$O$34&amp;"°C
 *
 *  This approximation implements a linear regression of the Beta approximation 
 *  for a thermistor having Beta of "&amp;$O$8&amp;", and nominal values of "&amp;$O$9&amp;"Ω at 
 *  "&amp;$O$10&amp;"°C calculated for temperatures across the range above.
 *
 * @param   The result of an ADC conversion (analogRead) in the range 0 to "&amp;$O$16&amp;"
 * @return  Temperature in °C (+/- "&amp;$O$34&amp;")
 */
float  approximateTemperatureFloat(unsigned int analogReadValue)
{
  return "&amp;$O$30&amp;"*analogReadValue+"&amp;$O$31&amp;";
}
/** Approximate the temperature in °C from ADC (analogRead) value, using integer math.
 *
 *  This approximation uses only integer math, so has a subsequent resolution of
 *  of only 1°C, but for very small microcontrollers this is useful as floating"&amp;" point
 *  math eats your program memory.
 *
 *  This conversion has the following caveats...
 *    Suitable Range              : "&amp;$O$28&amp;"°C to "&amp;$O$29&amp;"°C 
 *    Average Error (Within Range): "&amp;$O$41&amp;"°C
 *    Maximum Error (Within Range): "&amp;$O$40&amp;"°C
 *
 *  This approximation implements a linear regression of the Beta approximation 
 *  for a thermistor having Beta of "&amp;$O$8&amp;", and nominal values of "&amp;$O$9&amp;"Ω at 
 *  "&amp;$O$10&amp;"°C calculated for temperatures across the range above.
 *
 * @param   The result of an ADC conversion (analogRead) in the range 0 to "&amp;$O$16&amp;"
 * @return  Temperature in °C (+/- "&amp;$O$40&amp;")
 */
int approximateTemperatureInt(unsigned int analogReadValue)
{
  return ((((((long)analogReadValue*"&amp;ROUND(O38,0)&amp;") / " &amp; ROUND((1/O30)*O38,0)&amp;")) + "&amp;ROUND(O31,0)&amp;")) - "&amp;$V$53&amp;";
}
// ~~~~~~~~~~~~~~~~~~~~~~~~~~~~~~~~~~~~~~~~~~~~~~~~~~~~~~~~~~~~~~~~~~~~~~~~~~~~~
// Legal Mumbo Jumo Follows, in short: do whatever you want, just don't sue me.
// ~~~~~~~~~~~~~~~~~~~~~~~~~~~~~~~~~~~~~~~~~~~~~~~~~~~~~~~~~~~~~~~~~~~~~~~~~~~~~
// Copy"&amp;"right © "&amp;YEAR(TODAY())&amp;" James Sleeman. All Rights Reserved.
// 
// Redistribution and use in source and binary forms, with or without 
// modification, are permitted provided that the following conditions are met:
// 
// 1. Redistributions of source code must retain the above c"&amp;"opyright notice,
//  this list of conditions and the following disclaimer.
// 
// 2. Redistributions in binary form must reproduce the above copyright notice,
//  this list of conditions and the following disclaimer in the documentation 
//  and/or other "&amp;"materials provided with the distribution.
// 
// 3. The name of the author may not be used to endorse or promote products 
//  derived from this software without specific prior written permission.
// 
// THIS SOFTWARE IS PROVIDED BY James Sleeman AS IS AN"&amp;"D ANY EXPRESS OR IMPLIED
//  WARRANTIES, INCLUDING, BUT NOT LIMITED TO, THE IMPLIED WARRANTIES OF 
//  MERCHANTABILITY AND FITNESS FOR A PARTICULAR PURPOSE ARE DISCLAIMED. IN NO
//  EVENT SHALL THE AUTHOR BE LIABLE FOR ANY DIRECT, INDIRECT, INCIDENTAL, 
/"&amp;"/  SPECIAL, EXEMPLARY, OR CONSEQUENTIAL DAMAGES (INCLUDING, BUT NOT LIMITED 
//  TO, PROCUREMENT OF SUBSTITUTE GOODS OR SERVICES; LOSS OF USE, DATA, OR
//  PROFITS; OR BUSINESS INTERRUPTION) HOWEVER CAUSED AND ON ANY THEORY OF
//  LIABILITY, WHETHER IN CO"&amp;"NTRACT, STRICT LIABILITY, OR TORT (INCLUDING
//  NEGLIGENCE OR OTHERWISE) ARISING IN ANY WAY OUT OF THE USE OF THIS SOFTWARE,
//  EVEN IF ADVISED OF THE POSSIBILITY OF SUCH DAMAGE.
//
// ~~~~~~~~~~~~~~~~~~~~~~~~~~~~~~~~~~~~~~~~~~~~~~~~~~~~~~~~~~~~~~~~~~~~"&amp;"~~~~~~~~~"</f>
        <v>#NAME?</v>
      </c>
      <c r="B46" s="89"/>
      <c r="C46" s="89"/>
      <c r="D46" s="89"/>
      <c r="E46" s="89"/>
      <c r="F46" s="89"/>
      <c r="G46" s="89"/>
      <c r="H46" s="89"/>
      <c r="I46" s="89"/>
      <c r="J46" s="89"/>
      <c r="K46" s="89"/>
      <c r="L46" s="90"/>
    </row>
    <row r="47" spans="1:24" ht="12.75" customHeight="1" x14ac:dyDescent="0.25">
      <c r="A47" s="2"/>
    </row>
    <row r="48" spans="1:24" ht="12.75" customHeight="1" x14ac:dyDescent="0.25"/>
    <row r="49" spans="1:24" ht="12.75" customHeight="1" x14ac:dyDescent="0.25"/>
    <row r="50" spans="1:24" ht="12.75" customHeight="1" x14ac:dyDescent="0.25">
      <c r="M50" s="2" t="s">
        <v>55</v>
      </c>
    </row>
    <row r="51" spans="1:24" ht="12.75" customHeight="1" x14ac:dyDescent="0.25"/>
    <row r="52" spans="1:24" ht="12.75" customHeight="1" x14ac:dyDescent="0.3">
      <c r="N52" s="44"/>
    </row>
    <row r="53" spans="1:24" ht="12.75" customHeight="1" x14ac:dyDescent="0.3">
      <c r="A53" s="91" t="s">
        <v>56</v>
      </c>
      <c r="B53" s="69"/>
      <c r="C53" s="69"/>
      <c r="D53" s="69"/>
      <c r="E53" s="69"/>
      <c r="F53" s="69"/>
      <c r="G53" s="69"/>
      <c r="H53" s="69"/>
      <c r="T53" s="82" t="s">
        <v>57</v>
      </c>
      <c r="U53" s="69"/>
      <c r="V53" s="60">
        <f>ROUND(AVERAGE(N55:N155),0)</f>
        <v>0</v>
      </c>
    </row>
    <row r="54" spans="1:24" ht="12.75" customHeight="1" x14ac:dyDescent="0.3">
      <c r="A54" s="59" t="s">
        <v>4</v>
      </c>
      <c r="B54" s="59" t="s">
        <v>5</v>
      </c>
      <c r="C54" s="59" t="s">
        <v>58</v>
      </c>
      <c r="D54" s="59" t="s">
        <v>59</v>
      </c>
      <c r="E54" s="59" t="s">
        <v>60</v>
      </c>
      <c r="F54" s="59"/>
      <c r="G54" s="59"/>
      <c r="H54" s="59" t="s">
        <v>4</v>
      </c>
      <c r="I54" s="59" t="s">
        <v>61</v>
      </c>
      <c r="J54" s="59"/>
      <c r="K54" s="59" t="s">
        <v>62</v>
      </c>
      <c r="L54" s="59" t="s">
        <v>63</v>
      </c>
      <c r="M54" s="59" t="s">
        <v>4</v>
      </c>
      <c r="N54" s="59" t="s">
        <v>64</v>
      </c>
      <c r="P54" s="29" t="s">
        <v>65</v>
      </c>
      <c r="Q54" s="59" t="s">
        <v>4</v>
      </c>
      <c r="R54" s="29" t="s">
        <v>66</v>
      </c>
      <c r="S54" s="29" t="s">
        <v>67</v>
      </c>
      <c r="T54" s="61" t="s">
        <v>68</v>
      </c>
      <c r="U54" s="29" t="s">
        <v>69</v>
      </c>
      <c r="V54" s="29" t="s">
        <v>70</v>
      </c>
      <c r="W54" s="59" t="s">
        <v>4</v>
      </c>
      <c r="X54" s="29" t="s">
        <v>71</v>
      </c>
    </row>
    <row r="55" spans="1:24" ht="12.75" customHeight="1" x14ac:dyDescent="0.3">
      <c r="A55">
        <f>O28</f>
        <v>1</v>
      </c>
      <c r="B55" s="26">
        <f t="shared" ref="B55:B155" si="12">($O$9*EXP(((1 / ( A55 + 273.15 )) - (1 / (273.15+$O$10)))*$O$8)/1000)</f>
        <v>318.46350035298582</v>
      </c>
      <c r="C55" s="18">
        <f t="shared" ref="C55:C155" si="13">ABS(IF($O$15="Vcc",-$O$16,0)+ROUND(((B55*1000)/($O$17+(B55*1000))*$O$16),0))</f>
        <v>235</v>
      </c>
      <c r="D55" s="62">
        <f t="shared" ref="D55:D155" si="14">$O$30*C55+$O$31</f>
        <v>4.4037089890452581</v>
      </c>
      <c r="E55">
        <f t="shared" ref="E55:E155" si="15">ROUND(ABS(A55-D55),3)</f>
        <v>3.4039999999999999</v>
      </c>
      <c r="H55">
        <f t="shared" ref="H55:H155" si="16">A55</f>
        <v>1</v>
      </c>
      <c r="I55" s="63">
        <f t="shared" ref="I55:I155" si="17">(D55-A55)</f>
        <v>3.4037089890452581</v>
      </c>
      <c r="K55" s="44">
        <f t="shared" ref="K55:K155" si="18">TRUNC(((TRUNC((C55*$O$38)/ROUND((1/$O$30)*$O$38,0)))+ROUND($O$31,0)))</f>
        <v>4</v>
      </c>
      <c r="L55">
        <f t="shared" ref="L55:L155" si="19">ROUND(ABS(A55-K55),3)</f>
        <v>3</v>
      </c>
      <c r="M55">
        <f t="shared" ref="M55:M155" si="20">A55</f>
        <v>1</v>
      </c>
      <c r="N55" s="44">
        <f t="shared" ref="N55:N155" si="21">((K55-A55))</f>
        <v>3</v>
      </c>
      <c r="P55" s="62">
        <f t="shared" ref="P55:P155" si="22">IF($O$15="Vcc",(1/((LN(((FIXED($O$17,1,1) * (FIXED($O$16,1,1) - C55)) / C55)/FIXED($O$9,1,1))/FIXED($O$8,1,1)) + (1 / (273.15 + FIXED($O$10,3,1))))) - 273.15, (1/((LN(((FIXED($O$17,1,1) * C55) / (FIXED($O$16,1,1) - C55))/FIXED($O$9,1,1))/FIXED($O$8,1,1)) + (1 / (273.15 + FIXED($O$10,3,1))))) - 273.15)</f>
        <v>0.98852871536399789</v>
      </c>
      <c r="Q55" s="64">
        <f t="shared" ref="Q55:Q155" si="23">A55</f>
        <v>1</v>
      </c>
      <c r="R55" s="65">
        <f t="shared" ref="R55:R155" si="24">P55-A55</f>
        <v>-1.147128463600211E-2</v>
      </c>
      <c r="S55">
        <f t="shared" ref="S55:S155" si="25">ABS(R55)</f>
        <v>1.147128463600211E-2</v>
      </c>
      <c r="U55">
        <f t="shared" ref="U55:U155" si="26">K55-$V$53</f>
        <v>4</v>
      </c>
      <c r="V55" s="44">
        <f t="shared" ref="V55:V155" si="27">ROUND(ABS(A55-U55),3)</f>
        <v>3</v>
      </c>
      <c r="W55">
        <f t="shared" ref="W55:W155" si="28">A55</f>
        <v>1</v>
      </c>
      <c r="X55" s="44">
        <f t="shared" ref="X55:X155" si="29">((U55-A55))</f>
        <v>3</v>
      </c>
    </row>
    <row r="56" spans="1:24" ht="12.75" customHeight="1" x14ac:dyDescent="0.3">
      <c r="A56">
        <f t="shared" ref="A56:A155" si="30">A55+($O$29-$O$28)/100</f>
        <v>1.3900000000000001</v>
      </c>
      <c r="B56" s="26">
        <f t="shared" si="12"/>
        <v>312.01964037825553</v>
      </c>
      <c r="C56" s="18">
        <f t="shared" si="13"/>
        <v>240</v>
      </c>
      <c r="D56" s="62">
        <f t="shared" si="14"/>
        <v>4.626264759512134</v>
      </c>
      <c r="E56">
        <f t="shared" si="15"/>
        <v>3.2360000000000002</v>
      </c>
      <c r="H56">
        <f t="shared" si="16"/>
        <v>1.3900000000000001</v>
      </c>
      <c r="I56" s="63">
        <f t="shared" si="17"/>
        <v>3.2362647595121339</v>
      </c>
      <c r="K56" s="44">
        <f t="shared" si="18"/>
        <v>4</v>
      </c>
      <c r="L56">
        <f t="shared" si="19"/>
        <v>2.61</v>
      </c>
      <c r="M56">
        <f t="shared" si="20"/>
        <v>1.3900000000000001</v>
      </c>
      <c r="N56" s="44">
        <f t="shared" si="21"/>
        <v>2.61</v>
      </c>
      <c r="P56" s="62">
        <f t="shared" si="22"/>
        <v>1.4149487883908591</v>
      </c>
      <c r="Q56" s="64">
        <f t="shared" si="23"/>
        <v>1.3900000000000001</v>
      </c>
      <c r="R56" s="65">
        <f t="shared" si="24"/>
        <v>2.4948788390859011E-2</v>
      </c>
      <c r="S56">
        <f t="shared" si="25"/>
        <v>2.4948788390859011E-2</v>
      </c>
      <c r="U56">
        <f t="shared" si="26"/>
        <v>4</v>
      </c>
      <c r="V56" s="44">
        <f t="shared" si="27"/>
        <v>2.61</v>
      </c>
      <c r="W56">
        <f t="shared" si="28"/>
        <v>1.3900000000000001</v>
      </c>
      <c r="X56" s="44">
        <f t="shared" si="29"/>
        <v>2.61</v>
      </c>
    </row>
    <row r="57" spans="1:24" ht="12.75" customHeight="1" x14ac:dyDescent="0.3">
      <c r="A57">
        <f t="shared" si="30"/>
        <v>1.7800000000000002</v>
      </c>
      <c r="B57" s="26">
        <f t="shared" si="12"/>
        <v>305.72389680180066</v>
      </c>
      <c r="C57" s="18">
        <f t="shared" si="13"/>
        <v>244</v>
      </c>
      <c r="D57" s="62">
        <f t="shared" si="14"/>
        <v>4.8043093758856337</v>
      </c>
      <c r="E57">
        <f t="shared" si="15"/>
        <v>3.024</v>
      </c>
      <c r="H57">
        <f t="shared" si="16"/>
        <v>1.7800000000000002</v>
      </c>
      <c r="I57" s="63">
        <f t="shared" si="17"/>
        <v>3.0243093758856334</v>
      </c>
      <c r="K57" s="44">
        <f t="shared" si="18"/>
        <v>4</v>
      </c>
      <c r="L57">
        <f t="shared" si="19"/>
        <v>2.2200000000000002</v>
      </c>
      <c r="M57">
        <f t="shared" si="20"/>
        <v>1.7800000000000002</v>
      </c>
      <c r="N57" s="44">
        <f t="shared" si="21"/>
        <v>2.2199999999999998</v>
      </c>
      <c r="P57" s="62">
        <f t="shared" si="22"/>
        <v>1.7510602555864807</v>
      </c>
      <c r="Q57" s="64">
        <f t="shared" si="23"/>
        <v>1.7800000000000002</v>
      </c>
      <c r="R57" s="65">
        <f t="shared" si="24"/>
        <v>-2.8939744413519541E-2</v>
      </c>
      <c r="S57">
        <f t="shared" si="25"/>
        <v>2.8939744413519541E-2</v>
      </c>
      <c r="U57">
        <f t="shared" si="26"/>
        <v>4</v>
      </c>
      <c r="V57" s="44">
        <f t="shared" si="27"/>
        <v>2.2200000000000002</v>
      </c>
      <c r="W57">
        <f t="shared" si="28"/>
        <v>1.7800000000000002</v>
      </c>
      <c r="X57" s="44">
        <f t="shared" si="29"/>
        <v>2.2199999999999998</v>
      </c>
    </row>
    <row r="58" spans="1:24" ht="12.75" customHeight="1" x14ac:dyDescent="0.3">
      <c r="A58">
        <f t="shared" si="30"/>
        <v>2.1700000000000004</v>
      </c>
      <c r="B58" s="26">
        <f t="shared" si="12"/>
        <v>299.57248429278667</v>
      </c>
      <c r="C58" s="18">
        <f t="shared" si="13"/>
        <v>249</v>
      </c>
      <c r="D58" s="62">
        <f t="shared" si="14"/>
        <v>5.0268651463525096</v>
      </c>
      <c r="E58">
        <f t="shared" si="15"/>
        <v>2.8570000000000002</v>
      </c>
      <c r="H58">
        <f t="shared" si="16"/>
        <v>2.1700000000000004</v>
      </c>
      <c r="I58" s="63">
        <f t="shared" si="17"/>
        <v>2.8568651463525092</v>
      </c>
      <c r="K58" s="44">
        <f t="shared" si="18"/>
        <v>5</v>
      </c>
      <c r="L58">
        <f t="shared" si="19"/>
        <v>2.83</v>
      </c>
      <c r="M58">
        <f t="shared" si="20"/>
        <v>2.1700000000000004</v>
      </c>
      <c r="N58" s="44">
        <f t="shared" si="21"/>
        <v>2.8299999999999996</v>
      </c>
      <c r="P58" s="62">
        <f t="shared" si="22"/>
        <v>2.1651447837322166</v>
      </c>
      <c r="Q58" s="64">
        <f t="shared" si="23"/>
        <v>2.1700000000000004</v>
      </c>
      <c r="R58" s="65">
        <f t="shared" si="24"/>
        <v>-4.8552162677837352E-3</v>
      </c>
      <c r="S58">
        <f t="shared" si="25"/>
        <v>4.8552162677837352E-3</v>
      </c>
      <c r="U58">
        <f t="shared" si="26"/>
        <v>5</v>
      </c>
      <c r="V58" s="44">
        <f t="shared" si="27"/>
        <v>2.83</v>
      </c>
      <c r="W58">
        <f t="shared" si="28"/>
        <v>2.1700000000000004</v>
      </c>
      <c r="X58" s="44">
        <f t="shared" si="29"/>
        <v>2.8299999999999996</v>
      </c>
    </row>
    <row r="59" spans="1:24" ht="12.75" customHeight="1" x14ac:dyDescent="0.3">
      <c r="A59">
        <f t="shared" si="30"/>
        <v>2.5600000000000005</v>
      </c>
      <c r="B59" s="26">
        <f t="shared" si="12"/>
        <v>293.56172351032166</v>
      </c>
      <c r="C59" s="18">
        <f t="shared" si="13"/>
        <v>254</v>
      </c>
      <c r="D59" s="62">
        <f t="shared" si="14"/>
        <v>5.2494209168193837</v>
      </c>
      <c r="E59">
        <f t="shared" si="15"/>
        <v>2.6890000000000001</v>
      </c>
      <c r="H59">
        <f t="shared" si="16"/>
        <v>2.5600000000000005</v>
      </c>
      <c r="I59" s="63">
        <f t="shared" si="17"/>
        <v>2.6894209168193832</v>
      </c>
      <c r="K59" s="44">
        <f t="shared" si="18"/>
        <v>5</v>
      </c>
      <c r="L59">
        <f t="shared" si="19"/>
        <v>2.44</v>
      </c>
      <c r="M59">
        <f t="shared" si="20"/>
        <v>2.5600000000000005</v>
      </c>
      <c r="N59" s="44">
        <f t="shared" si="21"/>
        <v>2.4399999999999995</v>
      </c>
      <c r="P59" s="62">
        <f t="shared" si="22"/>
        <v>2.572739123745464</v>
      </c>
      <c r="Q59" s="64">
        <f t="shared" si="23"/>
        <v>2.5600000000000005</v>
      </c>
      <c r="R59" s="65">
        <f t="shared" si="24"/>
        <v>1.2739123745463488E-2</v>
      </c>
      <c r="S59">
        <f t="shared" si="25"/>
        <v>1.2739123745463488E-2</v>
      </c>
      <c r="U59">
        <f t="shared" si="26"/>
        <v>5</v>
      </c>
      <c r="V59" s="44">
        <f t="shared" si="27"/>
        <v>2.44</v>
      </c>
      <c r="W59">
        <f t="shared" si="28"/>
        <v>2.5600000000000005</v>
      </c>
      <c r="X59" s="44">
        <f t="shared" si="29"/>
        <v>2.4399999999999995</v>
      </c>
    </row>
    <row r="60" spans="1:24" ht="12.75" customHeight="1" x14ac:dyDescent="0.3">
      <c r="A60">
        <f t="shared" si="30"/>
        <v>2.9500000000000006</v>
      </c>
      <c r="B60" s="26">
        <f t="shared" si="12"/>
        <v>287.68803788697602</v>
      </c>
      <c r="C60" s="18">
        <f t="shared" si="13"/>
        <v>259</v>
      </c>
      <c r="D60" s="62">
        <f t="shared" si="14"/>
        <v>5.4719766872862596</v>
      </c>
      <c r="E60">
        <f t="shared" si="15"/>
        <v>2.5219999999999998</v>
      </c>
      <c r="H60">
        <f t="shared" si="16"/>
        <v>2.9500000000000006</v>
      </c>
      <c r="I60" s="63">
        <f t="shared" si="17"/>
        <v>2.521976687286259</v>
      </c>
      <c r="K60" s="44">
        <f t="shared" si="18"/>
        <v>5</v>
      </c>
      <c r="L60">
        <f t="shared" si="19"/>
        <v>2.0499999999999998</v>
      </c>
      <c r="M60">
        <f t="shared" si="20"/>
        <v>2.9500000000000006</v>
      </c>
      <c r="N60" s="44">
        <f t="shared" si="21"/>
        <v>2.0499999999999994</v>
      </c>
      <c r="P60" s="62">
        <f t="shared" si="22"/>
        <v>2.9740840306012615</v>
      </c>
      <c r="Q60" s="64">
        <f t="shared" si="23"/>
        <v>2.9500000000000006</v>
      </c>
      <c r="R60" s="65">
        <f t="shared" si="24"/>
        <v>2.4084030601260853E-2</v>
      </c>
      <c r="S60">
        <f t="shared" si="25"/>
        <v>2.4084030601260853E-2</v>
      </c>
      <c r="U60">
        <f t="shared" si="26"/>
        <v>5</v>
      </c>
      <c r="V60" s="44">
        <f t="shared" si="27"/>
        <v>2.0499999999999998</v>
      </c>
      <c r="W60">
        <f t="shared" si="28"/>
        <v>2.9500000000000006</v>
      </c>
      <c r="X60" s="44">
        <f t="shared" si="29"/>
        <v>2.0499999999999994</v>
      </c>
    </row>
    <row r="61" spans="1:24" ht="12.75" customHeight="1" x14ac:dyDescent="0.3">
      <c r="A61">
        <f t="shared" si="30"/>
        <v>3.3400000000000007</v>
      </c>
      <c r="B61" s="26">
        <f t="shared" si="12"/>
        <v>281.94795051722161</v>
      </c>
      <c r="C61" s="18">
        <f t="shared" si="13"/>
        <v>264</v>
      </c>
      <c r="D61" s="62">
        <f t="shared" si="14"/>
        <v>5.6945324577531355</v>
      </c>
      <c r="E61">
        <f t="shared" si="15"/>
        <v>2.355</v>
      </c>
      <c r="H61">
        <f t="shared" si="16"/>
        <v>3.3400000000000007</v>
      </c>
      <c r="I61" s="63">
        <f t="shared" si="17"/>
        <v>2.3545324577531348</v>
      </c>
      <c r="K61" s="44">
        <f t="shared" si="18"/>
        <v>5</v>
      </c>
      <c r="L61">
        <f t="shared" si="19"/>
        <v>1.66</v>
      </c>
      <c r="M61">
        <f t="shared" si="20"/>
        <v>3.3400000000000007</v>
      </c>
      <c r="N61" s="44">
        <f t="shared" si="21"/>
        <v>1.6599999999999993</v>
      </c>
      <c r="P61" s="62">
        <f t="shared" si="22"/>
        <v>3.3694069900349177</v>
      </c>
      <c r="Q61" s="64">
        <f t="shared" si="23"/>
        <v>3.3400000000000007</v>
      </c>
      <c r="R61" s="65">
        <f t="shared" si="24"/>
        <v>2.940699003491698E-2</v>
      </c>
      <c r="S61">
        <f t="shared" si="25"/>
        <v>2.940699003491698E-2</v>
      </c>
      <c r="U61">
        <f t="shared" si="26"/>
        <v>5</v>
      </c>
      <c r="V61" s="44">
        <f t="shared" si="27"/>
        <v>1.66</v>
      </c>
      <c r="W61">
        <f t="shared" si="28"/>
        <v>3.3400000000000007</v>
      </c>
      <c r="X61" s="44">
        <f t="shared" si="29"/>
        <v>1.6599999999999993</v>
      </c>
    </row>
    <row r="62" spans="1:24" ht="12.75" customHeight="1" x14ac:dyDescent="0.3">
      <c r="A62">
        <f t="shared" si="30"/>
        <v>3.7300000000000009</v>
      </c>
      <c r="B62" s="26">
        <f t="shared" si="12"/>
        <v>276.33808114711854</v>
      </c>
      <c r="C62" s="18">
        <f t="shared" si="13"/>
        <v>269</v>
      </c>
      <c r="D62" s="62">
        <f t="shared" si="14"/>
        <v>5.9170882282200097</v>
      </c>
      <c r="E62">
        <f t="shared" si="15"/>
        <v>2.1869999999999998</v>
      </c>
      <c r="H62">
        <f t="shared" si="16"/>
        <v>3.7300000000000009</v>
      </c>
      <c r="I62" s="63">
        <f t="shared" si="17"/>
        <v>2.1870882282200088</v>
      </c>
      <c r="K62" s="44">
        <f t="shared" si="18"/>
        <v>5</v>
      </c>
      <c r="L62">
        <f t="shared" si="19"/>
        <v>1.27</v>
      </c>
      <c r="M62">
        <f t="shared" si="20"/>
        <v>3.7300000000000009</v>
      </c>
      <c r="N62" s="44">
        <f t="shared" si="21"/>
        <v>1.2699999999999991</v>
      </c>
      <c r="P62" s="62">
        <f t="shared" si="22"/>
        <v>3.7589231862829706</v>
      </c>
      <c r="Q62" s="64">
        <f t="shared" si="23"/>
        <v>3.7300000000000009</v>
      </c>
      <c r="R62" s="65">
        <f t="shared" si="24"/>
        <v>2.8923186282969748E-2</v>
      </c>
      <c r="S62">
        <f t="shared" si="25"/>
        <v>2.8923186282969748E-2</v>
      </c>
      <c r="U62">
        <f t="shared" si="26"/>
        <v>5</v>
      </c>
      <c r="V62" s="44">
        <f t="shared" si="27"/>
        <v>1.27</v>
      </c>
      <c r="W62">
        <f t="shared" si="28"/>
        <v>3.7300000000000009</v>
      </c>
      <c r="X62" s="44">
        <f t="shared" si="29"/>
        <v>1.2699999999999991</v>
      </c>
    </row>
    <row r="63" spans="1:24" ht="12.75" customHeight="1" x14ac:dyDescent="0.3">
      <c r="A63">
        <f t="shared" si="30"/>
        <v>4.120000000000001</v>
      </c>
      <c r="B63" s="26">
        <f t="shared" si="12"/>
        <v>270.85514326174916</v>
      </c>
      <c r="C63" s="18">
        <f t="shared" si="13"/>
        <v>274</v>
      </c>
      <c r="D63" s="62">
        <f t="shared" si="14"/>
        <v>6.1396439986868856</v>
      </c>
      <c r="E63">
        <f t="shared" si="15"/>
        <v>2.02</v>
      </c>
      <c r="H63">
        <f t="shared" si="16"/>
        <v>4.120000000000001</v>
      </c>
      <c r="I63" s="63">
        <f t="shared" si="17"/>
        <v>2.0196439986868846</v>
      </c>
      <c r="K63" s="44">
        <f t="shared" si="18"/>
        <v>6</v>
      </c>
      <c r="L63">
        <f t="shared" si="19"/>
        <v>1.88</v>
      </c>
      <c r="M63">
        <f t="shared" si="20"/>
        <v>4.120000000000001</v>
      </c>
      <c r="N63" s="44">
        <f t="shared" si="21"/>
        <v>1.879999999999999</v>
      </c>
      <c r="P63" s="62">
        <f t="shared" si="22"/>
        <v>4.1428363826871077</v>
      </c>
      <c r="Q63" s="64">
        <f t="shared" si="23"/>
        <v>4.120000000000001</v>
      </c>
      <c r="R63" s="65">
        <f t="shared" si="24"/>
        <v>2.2836382687106749E-2</v>
      </c>
      <c r="S63">
        <f t="shared" si="25"/>
        <v>2.2836382687106749E-2</v>
      </c>
      <c r="U63">
        <f t="shared" si="26"/>
        <v>6</v>
      </c>
      <c r="V63" s="44">
        <f t="shared" si="27"/>
        <v>1.88</v>
      </c>
      <c r="W63">
        <f t="shared" si="28"/>
        <v>4.120000000000001</v>
      </c>
      <c r="X63" s="44">
        <f t="shared" si="29"/>
        <v>1.879999999999999</v>
      </c>
    </row>
    <row r="64" spans="1:24" ht="12.75" customHeight="1" x14ac:dyDescent="0.3">
      <c r="A64">
        <f t="shared" si="30"/>
        <v>4.5100000000000007</v>
      </c>
      <c r="B64" s="26">
        <f t="shared" si="12"/>
        <v>265.49594126698918</v>
      </c>
      <c r="C64" s="18">
        <f t="shared" si="13"/>
        <v>279</v>
      </c>
      <c r="D64" s="62">
        <f t="shared" si="14"/>
        <v>6.3621997691537597</v>
      </c>
      <c r="E64">
        <f t="shared" si="15"/>
        <v>1.8520000000000001</v>
      </c>
      <c r="H64">
        <f t="shared" si="16"/>
        <v>4.5100000000000007</v>
      </c>
      <c r="I64" s="63">
        <f t="shared" si="17"/>
        <v>1.8521997691537591</v>
      </c>
      <c r="K64" s="44">
        <f t="shared" si="18"/>
        <v>6</v>
      </c>
      <c r="L64">
        <f t="shared" si="19"/>
        <v>1.49</v>
      </c>
      <c r="M64">
        <f t="shared" si="20"/>
        <v>4.5100000000000007</v>
      </c>
      <c r="N64" s="44">
        <f t="shared" si="21"/>
        <v>1.4899999999999993</v>
      </c>
      <c r="P64" s="62">
        <f t="shared" si="22"/>
        <v>4.521339724445852</v>
      </c>
      <c r="Q64" s="64">
        <f t="shared" si="23"/>
        <v>4.5100000000000007</v>
      </c>
      <c r="R64" s="65">
        <f t="shared" si="24"/>
        <v>1.1339724445851296E-2</v>
      </c>
      <c r="S64">
        <f t="shared" si="25"/>
        <v>1.1339724445851296E-2</v>
      </c>
      <c r="U64">
        <f t="shared" si="26"/>
        <v>6</v>
      </c>
      <c r="V64" s="44">
        <f t="shared" si="27"/>
        <v>1.49</v>
      </c>
      <c r="W64">
        <f t="shared" si="28"/>
        <v>4.5100000000000007</v>
      </c>
      <c r="X64" s="44">
        <f t="shared" si="29"/>
        <v>1.4899999999999993</v>
      </c>
    </row>
    <row r="65" spans="1:24" ht="12.75" customHeight="1" x14ac:dyDescent="0.3">
      <c r="A65">
        <f t="shared" si="30"/>
        <v>4.9000000000000004</v>
      </c>
      <c r="B65" s="26">
        <f t="shared" si="12"/>
        <v>260.25736776237557</v>
      </c>
      <c r="C65" s="18">
        <f t="shared" si="13"/>
        <v>284</v>
      </c>
      <c r="D65" s="62">
        <f t="shared" si="14"/>
        <v>6.5847555396206356</v>
      </c>
      <c r="E65">
        <f t="shared" si="15"/>
        <v>1.6850000000000001</v>
      </c>
      <c r="H65">
        <f t="shared" si="16"/>
        <v>4.9000000000000004</v>
      </c>
      <c r="I65" s="63">
        <f t="shared" si="17"/>
        <v>1.6847555396206353</v>
      </c>
      <c r="K65" s="44">
        <f t="shared" si="18"/>
        <v>6</v>
      </c>
      <c r="L65">
        <f t="shared" si="19"/>
        <v>1.1000000000000001</v>
      </c>
      <c r="M65">
        <f t="shared" si="20"/>
        <v>4.9000000000000004</v>
      </c>
      <c r="N65" s="44">
        <f t="shared" si="21"/>
        <v>1.0999999999999996</v>
      </c>
      <c r="P65" s="62">
        <f t="shared" si="22"/>
        <v>4.8946164716580824</v>
      </c>
      <c r="Q65" s="64">
        <f t="shared" si="23"/>
        <v>4.9000000000000004</v>
      </c>
      <c r="R65" s="65">
        <f t="shared" si="24"/>
        <v>-5.3835283419179092E-3</v>
      </c>
      <c r="S65">
        <f t="shared" si="25"/>
        <v>5.3835283419179092E-3</v>
      </c>
      <c r="U65">
        <f t="shared" si="26"/>
        <v>6</v>
      </c>
      <c r="V65" s="44">
        <f t="shared" si="27"/>
        <v>1.1000000000000001</v>
      </c>
      <c r="W65">
        <f t="shared" si="28"/>
        <v>4.9000000000000004</v>
      </c>
      <c r="X65" s="44">
        <f t="shared" si="29"/>
        <v>1.0999999999999996</v>
      </c>
    </row>
    <row r="66" spans="1:24" ht="12.75" customHeight="1" x14ac:dyDescent="0.3">
      <c r="A66">
        <f t="shared" si="30"/>
        <v>5.29</v>
      </c>
      <c r="B66" s="26">
        <f t="shared" si="12"/>
        <v>255.13640090191194</v>
      </c>
      <c r="C66" s="18">
        <f t="shared" si="13"/>
        <v>289</v>
      </c>
      <c r="D66" s="62">
        <f t="shared" si="14"/>
        <v>6.8073113100875116</v>
      </c>
      <c r="E66">
        <f t="shared" si="15"/>
        <v>1.5169999999999999</v>
      </c>
      <c r="H66">
        <f t="shared" si="16"/>
        <v>5.29</v>
      </c>
      <c r="I66" s="63">
        <f t="shared" si="17"/>
        <v>1.5173113100875115</v>
      </c>
      <c r="K66" s="44">
        <f t="shared" si="18"/>
        <v>6</v>
      </c>
      <c r="L66">
        <f t="shared" si="19"/>
        <v>0.71</v>
      </c>
      <c r="M66">
        <f t="shared" si="20"/>
        <v>5.29</v>
      </c>
      <c r="N66" s="44">
        <f t="shared" si="21"/>
        <v>0.71</v>
      </c>
      <c r="P66" s="62">
        <f t="shared" si="22"/>
        <v>5.2628406698275967</v>
      </c>
      <c r="Q66" s="64">
        <f t="shared" si="23"/>
        <v>5.29</v>
      </c>
      <c r="R66" s="65">
        <f t="shared" si="24"/>
        <v>-2.7159330172403351E-2</v>
      </c>
      <c r="S66">
        <f t="shared" si="25"/>
        <v>2.7159330172403351E-2</v>
      </c>
      <c r="U66">
        <f t="shared" si="26"/>
        <v>6</v>
      </c>
      <c r="V66" s="44">
        <f t="shared" si="27"/>
        <v>0.71</v>
      </c>
      <c r="W66">
        <f t="shared" si="28"/>
        <v>5.29</v>
      </c>
      <c r="X66" s="44">
        <f t="shared" si="29"/>
        <v>0.71</v>
      </c>
    </row>
    <row r="67" spans="1:24" ht="12.75" customHeight="1" x14ac:dyDescent="0.3">
      <c r="A67">
        <f t="shared" si="30"/>
        <v>5.68</v>
      </c>
      <c r="B67" s="26">
        <f t="shared" si="12"/>
        <v>250.13010183979264</v>
      </c>
      <c r="C67" s="18">
        <f t="shared" si="13"/>
        <v>295</v>
      </c>
      <c r="D67" s="62">
        <f t="shared" si="14"/>
        <v>7.0743782346477602</v>
      </c>
      <c r="E67">
        <f t="shared" si="15"/>
        <v>1.3939999999999999</v>
      </c>
      <c r="H67">
        <f t="shared" si="16"/>
        <v>5.68</v>
      </c>
      <c r="I67" s="63">
        <f t="shared" si="17"/>
        <v>1.3943782346477605</v>
      </c>
      <c r="K67" s="44">
        <f t="shared" si="18"/>
        <v>7</v>
      </c>
      <c r="L67">
        <f t="shared" si="19"/>
        <v>1.32</v>
      </c>
      <c r="M67">
        <f t="shared" si="20"/>
        <v>5.68</v>
      </c>
      <c r="N67" s="44">
        <f t="shared" si="21"/>
        <v>1.3200000000000003</v>
      </c>
      <c r="P67" s="62">
        <f t="shared" si="22"/>
        <v>5.6982727179626522</v>
      </c>
      <c r="Q67" s="64">
        <f t="shared" si="23"/>
        <v>5.68</v>
      </c>
      <c r="R67" s="65">
        <f t="shared" si="24"/>
        <v>1.8272717962652507E-2</v>
      </c>
      <c r="S67">
        <f t="shared" si="25"/>
        <v>1.8272717962652507E-2</v>
      </c>
      <c r="U67">
        <f t="shared" si="26"/>
        <v>7</v>
      </c>
      <c r="V67" s="44">
        <f t="shared" si="27"/>
        <v>1.32</v>
      </c>
      <c r="W67">
        <f t="shared" si="28"/>
        <v>5.68</v>
      </c>
      <c r="X67" s="44">
        <f t="shared" si="29"/>
        <v>1.3200000000000003</v>
      </c>
    </row>
    <row r="68" spans="1:24" ht="12.75" customHeight="1" x14ac:dyDescent="0.3">
      <c r="A68">
        <f t="shared" si="30"/>
        <v>6.0699999999999994</v>
      </c>
      <c r="B68" s="26">
        <f t="shared" si="12"/>
        <v>245.23561225811497</v>
      </c>
      <c r="C68" s="18">
        <f t="shared" si="13"/>
        <v>300</v>
      </c>
      <c r="D68" s="62">
        <f t="shared" si="14"/>
        <v>7.2969340051146361</v>
      </c>
      <c r="E68">
        <f t="shared" si="15"/>
        <v>1.2270000000000001</v>
      </c>
      <c r="H68">
        <f t="shared" si="16"/>
        <v>6.0699999999999994</v>
      </c>
      <c r="I68" s="63">
        <f t="shared" si="17"/>
        <v>1.2269340051146367</v>
      </c>
      <c r="K68" s="44">
        <f t="shared" si="18"/>
        <v>7</v>
      </c>
      <c r="L68">
        <f t="shared" si="19"/>
        <v>0.93</v>
      </c>
      <c r="M68">
        <f t="shared" si="20"/>
        <v>6.0699999999999994</v>
      </c>
      <c r="N68" s="44">
        <f t="shared" si="21"/>
        <v>0.9300000000000006</v>
      </c>
      <c r="P68" s="62">
        <f t="shared" si="22"/>
        <v>6.0559523966265374</v>
      </c>
      <c r="Q68" s="64">
        <f t="shared" si="23"/>
        <v>6.0699999999999994</v>
      </c>
      <c r="R68" s="65">
        <f t="shared" si="24"/>
        <v>-1.4047603373462003E-2</v>
      </c>
      <c r="S68">
        <f t="shared" si="25"/>
        <v>1.4047603373462003E-2</v>
      </c>
      <c r="U68">
        <f t="shared" si="26"/>
        <v>7</v>
      </c>
      <c r="V68" s="44">
        <f t="shared" si="27"/>
        <v>0.93</v>
      </c>
      <c r="W68">
        <f t="shared" si="28"/>
        <v>6.0699999999999994</v>
      </c>
      <c r="X68" s="44">
        <f t="shared" si="29"/>
        <v>0.9300000000000006</v>
      </c>
    </row>
    <row r="69" spans="1:24" ht="12.75" customHeight="1" x14ac:dyDescent="0.3">
      <c r="A69">
        <f t="shared" si="30"/>
        <v>6.4599999999999991</v>
      </c>
      <c r="B69" s="26">
        <f t="shared" si="12"/>
        <v>240.45015197378598</v>
      </c>
      <c r="C69" s="18">
        <f t="shared" si="13"/>
        <v>306</v>
      </c>
      <c r="D69" s="62">
        <f t="shared" si="14"/>
        <v>7.5640009296748865</v>
      </c>
      <c r="E69">
        <f t="shared" si="15"/>
        <v>1.1040000000000001</v>
      </c>
      <c r="H69">
        <f t="shared" si="16"/>
        <v>6.4599999999999991</v>
      </c>
      <c r="I69" s="63">
        <f t="shared" si="17"/>
        <v>1.1040009296748874</v>
      </c>
      <c r="K69" s="44">
        <f t="shared" si="18"/>
        <v>7</v>
      </c>
      <c r="L69">
        <f t="shared" si="19"/>
        <v>0.54</v>
      </c>
      <c r="M69">
        <f t="shared" si="20"/>
        <v>6.4599999999999991</v>
      </c>
      <c r="N69" s="44">
        <f t="shared" si="21"/>
        <v>0.54000000000000092</v>
      </c>
      <c r="P69" s="62">
        <f t="shared" si="22"/>
        <v>6.4791736727181046</v>
      </c>
      <c r="Q69" s="64">
        <f t="shared" si="23"/>
        <v>6.4599999999999991</v>
      </c>
      <c r="R69" s="65">
        <f t="shared" si="24"/>
        <v>1.917367271810555E-2</v>
      </c>
      <c r="S69">
        <f t="shared" si="25"/>
        <v>1.917367271810555E-2</v>
      </c>
      <c r="U69">
        <f t="shared" si="26"/>
        <v>7</v>
      </c>
      <c r="V69" s="44">
        <f t="shared" si="27"/>
        <v>0.54</v>
      </c>
      <c r="W69">
        <f t="shared" si="28"/>
        <v>6.4599999999999991</v>
      </c>
      <c r="X69" s="44">
        <f t="shared" si="29"/>
        <v>0.54000000000000092</v>
      </c>
    </row>
    <row r="70" spans="1:24" ht="12.75" customHeight="1" x14ac:dyDescent="0.3">
      <c r="A70">
        <f t="shared" si="30"/>
        <v>6.8499999999999988</v>
      </c>
      <c r="B70" s="26">
        <f t="shared" si="12"/>
        <v>235.77101662190091</v>
      </c>
      <c r="C70" s="18">
        <f t="shared" si="13"/>
        <v>311</v>
      </c>
      <c r="D70" s="62">
        <f t="shared" si="14"/>
        <v>7.7865567001417624</v>
      </c>
      <c r="E70">
        <f t="shared" si="15"/>
        <v>0.93700000000000006</v>
      </c>
      <c r="H70">
        <f t="shared" si="16"/>
        <v>6.8499999999999988</v>
      </c>
      <c r="I70" s="63">
        <f t="shared" si="17"/>
        <v>0.93655670014176362</v>
      </c>
      <c r="K70" s="44">
        <f t="shared" si="18"/>
        <v>7</v>
      </c>
      <c r="L70">
        <f t="shared" si="19"/>
        <v>0.15</v>
      </c>
      <c r="M70">
        <f t="shared" si="20"/>
        <v>6.8499999999999988</v>
      </c>
      <c r="N70" s="44">
        <f t="shared" si="21"/>
        <v>0.15000000000000124</v>
      </c>
      <c r="P70" s="62">
        <f t="shared" si="22"/>
        <v>6.8270280297173827</v>
      </c>
      <c r="Q70" s="64">
        <f t="shared" si="23"/>
        <v>6.8499999999999988</v>
      </c>
      <c r="R70" s="65">
        <f t="shared" si="24"/>
        <v>-2.2971970282616105E-2</v>
      </c>
      <c r="S70">
        <f t="shared" si="25"/>
        <v>2.2971970282616105E-2</v>
      </c>
      <c r="U70">
        <f t="shared" si="26"/>
        <v>7</v>
      </c>
      <c r="V70" s="44">
        <f t="shared" si="27"/>
        <v>0.15</v>
      </c>
      <c r="W70">
        <f t="shared" si="28"/>
        <v>6.8499999999999988</v>
      </c>
      <c r="X70" s="44">
        <f t="shared" si="29"/>
        <v>0.15000000000000124</v>
      </c>
    </row>
    <row r="71" spans="1:24" ht="12.75" customHeight="1" x14ac:dyDescent="0.3">
      <c r="A71">
        <f t="shared" si="30"/>
        <v>7.2399999999999984</v>
      </c>
      <c r="B71" s="26">
        <f t="shared" si="12"/>
        <v>231.19557541299073</v>
      </c>
      <c r="C71" s="18">
        <f t="shared" si="13"/>
        <v>317</v>
      </c>
      <c r="D71" s="62">
        <f t="shared" si="14"/>
        <v>8.0536236247020128</v>
      </c>
      <c r="E71">
        <f t="shared" si="15"/>
        <v>0.81399999999999995</v>
      </c>
      <c r="H71">
        <f t="shared" si="16"/>
        <v>7.2399999999999984</v>
      </c>
      <c r="I71" s="63">
        <f t="shared" si="17"/>
        <v>0.81362362470201433</v>
      </c>
      <c r="K71" s="44">
        <f t="shared" si="18"/>
        <v>8</v>
      </c>
      <c r="L71">
        <f t="shared" si="19"/>
        <v>0.76</v>
      </c>
      <c r="M71">
        <f t="shared" si="20"/>
        <v>7.2399999999999984</v>
      </c>
      <c r="N71" s="44">
        <f t="shared" si="21"/>
        <v>0.76000000000000156</v>
      </c>
      <c r="P71" s="62">
        <f t="shared" si="22"/>
        <v>7.2388572730332612</v>
      </c>
      <c r="Q71" s="64">
        <f t="shared" si="23"/>
        <v>7.2399999999999984</v>
      </c>
      <c r="R71" s="65">
        <f t="shared" si="24"/>
        <v>-1.1427269667372286E-3</v>
      </c>
      <c r="S71">
        <f t="shared" si="25"/>
        <v>1.1427269667372286E-3</v>
      </c>
      <c r="U71">
        <f t="shared" si="26"/>
        <v>8</v>
      </c>
      <c r="V71" s="44">
        <f t="shared" si="27"/>
        <v>0.76</v>
      </c>
      <c r="W71">
        <f t="shared" si="28"/>
        <v>7.2399999999999984</v>
      </c>
      <c r="X71" s="44">
        <f t="shared" si="29"/>
        <v>0.76000000000000156</v>
      </c>
    </row>
    <row r="72" spans="1:24" ht="12.75" customHeight="1" x14ac:dyDescent="0.3">
      <c r="A72">
        <f t="shared" si="30"/>
        <v>7.6299999999999981</v>
      </c>
      <c r="B72" s="26">
        <f t="shared" si="12"/>
        <v>226.72126896161583</v>
      </c>
      <c r="C72" s="18">
        <f t="shared" si="13"/>
        <v>323</v>
      </c>
      <c r="D72" s="62">
        <f t="shared" si="14"/>
        <v>8.3206905492622614</v>
      </c>
      <c r="E72">
        <f t="shared" si="15"/>
        <v>0.69099999999999995</v>
      </c>
      <c r="H72">
        <f t="shared" si="16"/>
        <v>7.6299999999999981</v>
      </c>
      <c r="I72" s="63">
        <f t="shared" si="17"/>
        <v>0.69069054926226325</v>
      </c>
      <c r="K72" s="44">
        <f t="shared" si="18"/>
        <v>8</v>
      </c>
      <c r="L72">
        <f t="shared" si="19"/>
        <v>0.37</v>
      </c>
      <c r="M72">
        <f t="shared" si="20"/>
        <v>7.6299999999999981</v>
      </c>
      <c r="N72" s="44">
        <f t="shared" si="21"/>
        <v>0.37000000000000188</v>
      </c>
      <c r="P72" s="62">
        <f t="shared" si="22"/>
        <v>7.6447887656177613</v>
      </c>
      <c r="Q72" s="64">
        <f t="shared" si="23"/>
        <v>7.6299999999999981</v>
      </c>
      <c r="R72" s="65">
        <f t="shared" si="24"/>
        <v>1.4788765617763211E-2</v>
      </c>
      <c r="S72">
        <f t="shared" si="25"/>
        <v>1.4788765617763211E-2</v>
      </c>
      <c r="U72">
        <f t="shared" si="26"/>
        <v>8</v>
      </c>
      <c r="V72" s="44">
        <f t="shared" si="27"/>
        <v>0.37</v>
      </c>
      <c r="W72">
        <f t="shared" si="28"/>
        <v>7.6299999999999981</v>
      </c>
      <c r="X72" s="44">
        <f t="shared" si="29"/>
        <v>0.37000000000000188</v>
      </c>
    </row>
    <row r="73" spans="1:24" ht="12.75" customHeight="1" x14ac:dyDescent="0.3">
      <c r="A73">
        <f t="shared" si="30"/>
        <v>8.0199999999999978</v>
      </c>
      <c r="B73" s="26">
        <f t="shared" si="12"/>
        <v>222.34560718388937</v>
      </c>
      <c r="C73" s="18">
        <f t="shared" si="13"/>
        <v>329</v>
      </c>
      <c r="D73" s="62">
        <f t="shared" si="14"/>
        <v>8.5877574738225118</v>
      </c>
      <c r="E73">
        <f t="shared" si="15"/>
        <v>0.56799999999999995</v>
      </c>
      <c r="H73">
        <f t="shared" si="16"/>
        <v>8.0199999999999978</v>
      </c>
      <c r="I73" s="63">
        <f t="shared" si="17"/>
        <v>0.56775747382251396</v>
      </c>
      <c r="K73" s="44">
        <f t="shared" si="18"/>
        <v>8</v>
      </c>
      <c r="L73">
        <f t="shared" si="19"/>
        <v>0.02</v>
      </c>
      <c r="M73">
        <f t="shared" si="20"/>
        <v>8.0199999999999978</v>
      </c>
      <c r="N73" s="44">
        <f t="shared" si="21"/>
        <v>-1.9999999999997797E-2</v>
      </c>
      <c r="P73" s="62">
        <f t="shared" si="22"/>
        <v>8.0450305143309606</v>
      </c>
      <c r="Q73" s="64">
        <f t="shared" si="23"/>
        <v>8.0199999999999978</v>
      </c>
      <c r="R73" s="65">
        <f t="shared" si="24"/>
        <v>2.5030514330962816E-2</v>
      </c>
      <c r="S73">
        <f t="shared" si="25"/>
        <v>2.5030514330962816E-2</v>
      </c>
      <c r="U73">
        <f t="shared" si="26"/>
        <v>8</v>
      </c>
      <c r="V73" s="44">
        <f t="shared" si="27"/>
        <v>0.02</v>
      </c>
      <c r="W73">
        <f t="shared" si="28"/>
        <v>8.0199999999999978</v>
      </c>
      <c r="X73" s="44">
        <f t="shared" si="29"/>
        <v>-1.9999999999997797E-2</v>
      </c>
    </row>
    <row r="74" spans="1:24" ht="12.75" customHeight="1" x14ac:dyDescent="0.3">
      <c r="A74">
        <f t="shared" si="30"/>
        <v>8.4099999999999984</v>
      </c>
      <c r="B74" s="26">
        <f t="shared" si="12"/>
        <v>218.06616726158842</v>
      </c>
      <c r="C74" s="18">
        <f t="shared" si="13"/>
        <v>335</v>
      </c>
      <c r="D74" s="62">
        <f t="shared" si="14"/>
        <v>8.8548243983827621</v>
      </c>
      <c r="E74">
        <f t="shared" si="15"/>
        <v>0.44500000000000001</v>
      </c>
      <c r="H74">
        <f t="shared" si="16"/>
        <v>8.4099999999999984</v>
      </c>
      <c r="I74" s="63">
        <f t="shared" si="17"/>
        <v>0.44482439838276377</v>
      </c>
      <c r="K74" s="44">
        <f t="shared" si="18"/>
        <v>8</v>
      </c>
      <c r="L74">
        <f t="shared" si="19"/>
        <v>0.41</v>
      </c>
      <c r="M74">
        <f t="shared" si="20"/>
        <v>8.4099999999999984</v>
      </c>
      <c r="N74" s="44">
        <f t="shared" si="21"/>
        <v>-0.40999999999999837</v>
      </c>
      <c r="P74" s="62">
        <f t="shared" si="22"/>
        <v>8.4397797029814683</v>
      </c>
      <c r="Q74" s="64">
        <f t="shared" si="23"/>
        <v>8.4099999999999984</v>
      </c>
      <c r="R74" s="65">
        <f t="shared" si="24"/>
        <v>2.9779702981469924E-2</v>
      </c>
      <c r="S74">
        <f t="shared" si="25"/>
        <v>2.9779702981469924E-2</v>
      </c>
      <c r="U74">
        <f t="shared" si="26"/>
        <v>8</v>
      </c>
      <c r="V74" s="44">
        <f t="shared" si="27"/>
        <v>0.41</v>
      </c>
      <c r="W74">
        <f t="shared" si="28"/>
        <v>8.4099999999999984</v>
      </c>
      <c r="X74" s="44">
        <f t="shared" si="29"/>
        <v>-0.40999999999999837</v>
      </c>
    </row>
    <row r="75" spans="1:24" ht="12.75" customHeight="1" x14ac:dyDescent="0.3">
      <c r="A75">
        <f t="shared" si="30"/>
        <v>8.7999999999999989</v>
      </c>
      <c r="B75" s="26">
        <f t="shared" si="12"/>
        <v>213.8805916706026</v>
      </c>
      <c r="C75" s="18">
        <f t="shared" si="13"/>
        <v>341</v>
      </c>
      <c r="D75" s="62">
        <f t="shared" si="14"/>
        <v>9.1218913229430125</v>
      </c>
      <c r="E75">
        <f t="shared" si="15"/>
        <v>0.32200000000000001</v>
      </c>
      <c r="H75">
        <f t="shared" si="16"/>
        <v>8.7999999999999989</v>
      </c>
      <c r="I75" s="63">
        <f t="shared" si="17"/>
        <v>0.32189132294301359</v>
      </c>
      <c r="K75" s="44">
        <f t="shared" si="18"/>
        <v>9</v>
      </c>
      <c r="L75">
        <f t="shared" si="19"/>
        <v>0.2</v>
      </c>
      <c r="M75">
        <f t="shared" si="20"/>
        <v>8.7999999999999989</v>
      </c>
      <c r="N75" s="44">
        <f t="shared" si="21"/>
        <v>0.20000000000000107</v>
      </c>
      <c r="P75" s="62">
        <f t="shared" si="22"/>
        <v>8.82922343901879</v>
      </c>
      <c r="Q75" s="64">
        <f t="shared" si="23"/>
        <v>8.7999999999999989</v>
      </c>
      <c r="R75" s="65">
        <f t="shared" si="24"/>
        <v>2.9223439018791098E-2</v>
      </c>
      <c r="S75">
        <f t="shared" si="25"/>
        <v>2.9223439018791098E-2</v>
      </c>
      <c r="U75">
        <f t="shared" si="26"/>
        <v>9</v>
      </c>
      <c r="V75" s="44">
        <f t="shared" si="27"/>
        <v>0.2</v>
      </c>
      <c r="W75">
        <f t="shared" si="28"/>
        <v>8.7999999999999989</v>
      </c>
      <c r="X75" s="44">
        <f t="shared" si="29"/>
        <v>0.20000000000000107</v>
      </c>
    </row>
    <row r="76" spans="1:24" ht="12.75" customHeight="1" x14ac:dyDescent="0.3">
      <c r="A76">
        <f t="shared" si="30"/>
        <v>9.19</v>
      </c>
      <c r="B76" s="26">
        <f t="shared" si="12"/>
        <v>209.78658627153806</v>
      </c>
      <c r="C76" s="18">
        <f t="shared" si="13"/>
        <v>347</v>
      </c>
      <c r="D76" s="62">
        <f t="shared" si="14"/>
        <v>9.3889582475032629</v>
      </c>
      <c r="E76">
        <f t="shared" si="15"/>
        <v>0.19900000000000001</v>
      </c>
      <c r="H76">
        <f t="shared" si="16"/>
        <v>9.19</v>
      </c>
      <c r="I76" s="63">
        <f t="shared" si="17"/>
        <v>0.19895824750326341</v>
      </c>
      <c r="K76" s="44">
        <f t="shared" si="18"/>
        <v>9</v>
      </c>
      <c r="L76">
        <f t="shared" si="19"/>
        <v>0.19</v>
      </c>
      <c r="M76">
        <f t="shared" si="20"/>
        <v>9.19</v>
      </c>
      <c r="N76" s="44">
        <f t="shared" si="21"/>
        <v>-0.1899999999999995</v>
      </c>
      <c r="P76" s="62">
        <f t="shared" si="22"/>
        <v>9.2135394365679417</v>
      </c>
      <c r="Q76" s="64">
        <f t="shared" si="23"/>
        <v>9.19</v>
      </c>
      <c r="R76" s="65">
        <f t="shared" si="24"/>
        <v>2.3539436567942218E-2</v>
      </c>
      <c r="S76">
        <f t="shared" si="25"/>
        <v>2.3539436567942218E-2</v>
      </c>
      <c r="U76">
        <f t="shared" si="26"/>
        <v>9</v>
      </c>
      <c r="V76" s="44">
        <f t="shared" si="27"/>
        <v>0.19</v>
      </c>
      <c r="W76">
        <f t="shared" si="28"/>
        <v>9.19</v>
      </c>
      <c r="X76" s="44">
        <f t="shared" si="29"/>
        <v>-0.1899999999999995</v>
      </c>
    </row>
    <row r="77" spans="1:24" ht="12.75" customHeight="1" x14ac:dyDescent="0.3">
      <c r="A77">
        <f t="shared" si="30"/>
        <v>9.58</v>
      </c>
      <c r="B77" s="26">
        <f t="shared" si="12"/>
        <v>205.78191846040266</v>
      </c>
      <c r="C77" s="18">
        <f t="shared" si="13"/>
        <v>353</v>
      </c>
      <c r="D77" s="62">
        <f t="shared" si="14"/>
        <v>9.6560251720635133</v>
      </c>
      <c r="E77">
        <f t="shared" si="15"/>
        <v>7.5999999999999998E-2</v>
      </c>
      <c r="H77">
        <f t="shared" si="16"/>
        <v>9.58</v>
      </c>
      <c r="I77" s="63">
        <f t="shared" si="17"/>
        <v>7.6025172063513224E-2</v>
      </c>
      <c r="K77" s="44">
        <f t="shared" si="18"/>
        <v>9</v>
      </c>
      <c r="L77">
        <f t="shared" si="19"/>
        <v>0.57999999999999996</v>
      </c>
      <c r="M77">
        <f t="shared" si="20"/>
        <v>9.58</v>
      </c>
      <c r="N77" s="44">
        <f t="shared" si="21"/>
        <v>-0.58000000000000007</v>
      </c>
      <c r="P77" s="62">
        <f t="shared" si="22"/>
        <v>9.5928966422346207</v>
      </c>
      <c r="Q77" s="64">
        <f t="shared" si="23"/>
        <v>9.58</v>
      </c>
      <c r="R77" s="65">
        <f t="shared" si="24"/>
        <v>1.2896642234620614E-2</v>
      </c>
      <c r="S77">
        <f t="shared" si="25"/>
        <v>1.2896642234620614E-2</v>
      </c>
      <c r="U77">
        <f t="shared" si="26"/>
        <v>9</v>
      </c>
      <c r="V77" s="44">
        <f t="shared" si="27"/>
        <v>0.57999999999999996</v>
      </c>
      <c r="W77">
        <f t="shared" si="28"/>
        <v>9.58</v>
      </c>
      <c r="X77" s="44">
        <f t="shared" si="29"/>
        <v>-0.58000000000000007</v>
      </c>
    </row>
    <row r="78" spans="1:24" ht="12.75" customHeight="1" x14ac:dyDescent="0.3">
      <c r="A78">
        <f t="shared" si="30"/>
        <v>9.9700000000000006</v>
      </c>
      <c r="B78" s="26">
        <f t="shared" si="12"/>
        <v>201.86441537733168</v>
      </c>
      <c r="C78" s="18">
        <f t="shared" si="13"/>
        <v>359</v>
      </c>
      <c r="D78" s="62">
        <f t="shared" si="14"/>
        <v>9.9230920966237637</v>
      </c>
      <c r="E78">
        <f t="shared" si="15"/>
        <v>4.7E-2</v>
      </c>
      <c r="H78">
        <f t="shared" si="16"/>
        <v>9.9700000000000006</v>
      </c>
      <c r="I78" s="63">
        <f t="shared" si="17"/>
        <v>-4.6907903376236959E-2</v>
      </c>
      <c r="K78" s="44">
        <f t="shared" si="18"/>
        <v>9</v>
      </c>
      <c r="L78">
        <f t="shared" si="19"/>
        <v>0.97</v>
      </c>
      <c r="M78">
        <f t="shared" si="20"/>
        <v>9.9700000000000006</v>
      </c>
      <c r="N78" s="44">
        <f t="shared" si="21"/>
        <v>-0.97000000000000064</v>
      </c>
      <c r="P78" s="62">
        <f t="shared" si="22"/>
        <v>9.9674558093611267</v>
      </c>
      <c r="Q78" s="64">
        <f t="shared" si="23"/>
        <v>9.9700000000000006</v>
      </c>
      <c r="R78" s="65">
        <f t="shared" si="24"/>
        <v>-2.5441906388739E-3</v>
      </c>
      <c r="S78">
        <f t="shared" si="25"/>
        <v>2.5441906388739E-3</v>
      </c>
      <c r="U78">
        <f t="shared" si="26"/>
        <v>9</v>
      </c>
      <c r="V78" s="44">
        <f t="shared" si="27"/>
        <v>0.97</v>
      </c>
      <c r="W78">
        <f t="shared" si="28"/>
        <v>9.9700000000000006</v>
      </c>
      <c r="X78" s="44">
        <f t="shared" si="29"/>
        <v>-0.97000000000000064</v>
      </c>
    </row>
    <row r="79" spans="1:24" ht="12.75" customHeight="1" x14ac:dyDescent="0.3">
      <c r="A79">
        <f t="shared" si="30"/>
        <v>10.360000000000001</v>
      </c>
      <c r="B79" s="26">
        <f t="shared" si="12"/>
        <v>198.03196217142406</v>
      </c>
      <c r="C79" s="18">
        <f t="shared" si="13"/>
        <v>365</v>
      </c>
      <c r="D79" s="62">
        <f t="shared" si="14"/>
        <v>10.190159021184012</v>
      </c>
      <c r="E79">
        <f t="shared" si="15"/>
        <v>0.17</v>
      </c>
      <c r="H79">
        <f t="shared" si="16"/>
        <v>10.360000000000001</v>
      </c>
      <c r="I79" s="63">
        <f t="shared" si="17"/>
        <v>-0.16984097881598892</v>
      </c>
      <c r="K79" s="44">
        <f t="shared" si="18"/>
        <v>10</v>
      </c>
      <c r="L79">
        <f t="shared" si="19"/>
        <v>0.36</v>
      </c>
      <c r="M79">
        <f t="shared" si="20"/>
        <v>10.360000000000001</v>
      </c>
      <c r="N79" s="44">
        <f t="shared" si="21"/>
        <v>-0.36000000000000121</v>
      </c>
      <c r="P79" s="62">
        <f t="shared" si="22"/>
        <v>10.33737002576521</v>
      </c>
      <c r="Q79" s="64">
        <f t="shared" si="23"/>
        <v>10.360000000000001</v>
      </c>
      <c r="R79" s="65">
        <f t="shared" si="24"/>
        <v>-2.2629974234790851E-2</v>
      </c>
      <c r="S79">
        <f t="shared" si="25"/>
        <v>2.2629974234790851E-2</v>
      </c>
      <c r="U79">
        <f t="shared" si="26"/>
        <v>10</v>
      </c>
      <c r="V79" s="44">
        <f t="shared" si="27"/>
        <v>0.36</v>
      </c>
      <c r="W79">
        <f t="shared" si="28"/>
        <v>10.360000000000001</v>
      </c>
      <c r="X79" s="44">
        <f t="shared" si="29"/>
        <v>-0.36000000000000121</v>
      </c>
    </row>
    <row r="80" spans="1:24" ht="12.75" customHeight="1" x14ac:dyDescent="0.3">
      <c r="A80">
        <f t="shared" si="30"/>
        <v>10.750000000000002</v>
      </c>
      <c r="B80" s="26">
        <f t="shared" si="12"/>
        <v>194.28250031979647</v>
      </c>
      <c r="C80" s="18">
        <f t="shared" si="13"/>
        <v>372</v>
      </c>
      <c r="D80" s="62">
        <f t="shared" si="14"/>
        <v>10.501737099837641</v>
      </c>
      <c r="E80">
        <f t="shared" si="15"/>
        <v>0.248</v>
      </c>
      <c r="H80">
        <f t="shared" si="16"/>
        <v>10.750000000000002</v>
      </c>
      <c r="I80" s="63">
        <f t="shared" si="17"/>
        <v>-0.24826290016236108</v>
      </c>
      <c r="K80" s="44">
        <f t="shared" si="18"/>
        <v>10</v>
      </c>
      <c r="L80">
        <f t="shared" si="19"/>
        <v>0.75</v>
      </c>
      <c r="M80">
        <f t="shared" si="20"/>
        <v>10.750000000000002</v>
      </c>
      <c r="N80" s="44">
        <f t="shared" si="21"/>
        <v>-0.75000000000000178</v>
      </c>
      <c r="P80" s="62">
        <f t="shared" si="22"/>
        <v>10.763260188373749</v>
      </c>
      <c r="Q80" s="64">
        <f t="shared" si="23"/>
        <v>10.750000000000002</v>
      </c>
      <c r="R80" s="65">
        <f t="shared" si="24"/>
        <v>1.3260188373747539E-2</v>
      </c>
      <c r="S80">
        <f t="shared" si="25"/>
        <v>1.3260188373747539E-2</v>
      </c>
      <c r="U80">
        <f t="shared" si="26"/>
        <v>10</v>
      </c>
      <c r="V80" s="44">
        <f t="shared" si="27"/>
        <v>0.75</v>
      </c>
      <c r="W80">
        <f t="shared" si="28"/>
        <v>10.750000000000002</v>
      </c>
      <c r="X80" s="44">
        <f t="shared" si="29"/>
        <v>-0.75000000000000178</v>
      </c>
    </row>
    <row r="81" spans="1:24" ht="12.75" customHeight="1" x14ac:dyDescent="0.3">
      <c r="A81">
        <f t="shared" si="30"/>
        <v>11.140000000000002</v>
      </c>
      <c r="B81" s="26">
        <f t="shared" si="12"/>
        <v>190.61402599905909</v>
      </c>
      <c r="C81" s="18">
        <f t="shared" si="13"/>
        <v>378</v>
      </c>
      <c r="D81" s="62">
        <f t="shared" si="14"/>
        <v>10.768804024397891</v>
      </c>
      <c r="E81">
        <f t="shared" si="15"/>
        <v>0.371</v>
      </c>
      <c r="H81">
        <f t="shared" si="16"/>
        <v>11.140000000000002</v>
      </c>
      <c r="I81" s="63">
        <f t="shared" si="17"/>
        <v>-0.37119597560211126</v>
      </c>
      <c r="K81" s="44">
        <f t="shared" si="18"/>
        <v>10</v>
      </c>
      <c r="L81">
        <f t="shared" si="19"/>
        <v>1.1399999999999999</v>
      </c>
      <c r="M81">
        <f t="shared" si="20"/>
        <v>11.140000000000002</v>
      </c>
      <c r="N81" s="44">
        <f t="shared" si="21"/>
        <v>-1.1400000000000023</v>
      </c>
      <c r="P81" s="62">
        <f t="shared" si="22"/>
        <v>11.123601932083773</v>
      </c>
      <c r="Q81" s="64">
        <f t="shared" si="23"/>
        <v>11.140000000000002</v>
      </c>
      <c r="R81" s="65">
        <f t="shared" si="24"/>
        <v>-1.6398067916229664E-2</v>
      </c>
      <c r="S81">
        <f t="shared" si="25"/>
        <v>1.6398067916229664E-2</v>
      </c>
      <c r="U81">
        <f t="shared" si="26"/>
        <v>10</v>
      </c>
      <c r="V81" s="44">
        <f t="shared" si="27"/>
        <v>1.1399999999999999</v>
      </c>
      <c r="W81">
        <f t="shared" si="28"/>
        <v>11.140000000000002</v>
      </c>
      <c r="X81" s="44">
        <f t="shared" si="29"/>
        <v>-1.1400000000000023</v>
      </c>
    </row>
    <row r="82" spans="1:24" ht="12.75" customHeight="1" x14ac:dyDescent="0.3">
      <c r="A82">
        <f t="shared" si="30"/>
        <v>11.530000000000003</v>
      </c>
      <c r="B82" s="26">
        <f t="shared" si="12"/>
        <v>187.02458850745538</v>
      </c>
      <c r="C82" s="18">
        <f t="shared" si="13"/>
        <v>385</v>
      </c>
      <c r="D82" s="62">
        <f t="shared" si="14"/>
        <v>11.080382103051516</v>
      </c>
      <c r="E82">
        <f t="shared" si="15"/>
        <v>0.45</v>
      </c>
      <c r="H82">
        <f t="shared" si="16"/>
        <v>11.530000000000003</v>
      </c>
      <c r="I82" s="63">
        <f t="shared" si="17"/>
        <v>-0.44961789694848697</v>
      </c>
      <c r="K82" s="44">
        <f t="shared" si="18"/>
        <v>11</v>
      </c>
      <c r="L82">
        <f t="shared" si="19"/>
        <v>0.53</v>
      </c>
      <c r="M82">
        <f t="shared" si="20"/>
        <v>11.530000000000003</v>
      </c>
      <c r="N82" s="44">
        <f t="shared" si="21"/>
        <v>-0.53000000000000291</v>
      </c>
      <c r="P82" s="62">
        <f t="shared" si="22"/>
        <v>11.538694332962507</v>
      </c>
      <c r="Q82" s="64">
        <f t="shared" si="23"/>
        <v>11.530000000000003</v>
      </c>
      <c r="R82" s="65">
        <f t="shared" si="24"/>
        <v>8.6943329625039922E-3</v>
      </c>
      <c r="S82">
        <f t="shared" si="25"/>
        <v>8.6943329625039922E-3</v>
      </c>
      <c r="U82">
        <f t="shared" si="26"/>
        <v>11</v>
      </c>
      <c r="V82" s="44">
        <f t="shared" si="27"/>
        <v>0.53</v>
      </c>
      <c r="W82">
        <f t="shared" si="28"/>
        <v>11.530000000000003</v>
      </c>
      <c r="X82" s="44">
        <f t="shared" si="29"/>
        <v>-0.53000000000000291</v>
      </c>
    </row>
    <row r="83" spans="1:24" ht="12.75" customHeight="1" x14ac:dyDescent="0.3">
      <c r="A83">
        <f t="shared" si="30"/>
        <v>11.920000000000003</v>
      </c>
      <c r="B83" s="26">
        <f t="shared" si="12"/>
        <v>183.512288735987</v>
      </c>
      <c r="C83" s="18">
        <f t="shared" si="13"/>
        <v>392</v>
      </c>
      <c r="D83" s="62">
        <f t="shared" si="14"/>
        <v>11.391960181705141</v>
      </c>
      <c r="E83">
        <f t="shared" si="15"/>
        <v>0.52800000000000002</v>
      </c>
      <c r="H83">
        <f t="shared" si="16"/>
        <v>11.920000000000003</v>
      </c>
      <c r="I83" s="63">
        <f t="shared" si="17"/>
        <v>-0.52803981829486268</v>
      </c>
      <c r="K83" s="44">
        <f t="shared" si="18"/>
        <v>11</v>
      </c>
      <c r="L83">
        <f t="shared" si="19"/>
        <v>0.92</v>
      </c>
      <c r="M83">
        <f t="shared" si="20"/>
        <v>11.920000000000003</v>
      </c>
      <c r="N83" s="44">
        <f t="shared" si="21"/>
        <v>-0.92000000000000348</v>
      </c>
      <c r="P83" s="62">
        <f t="shared" si="22"/>
        <v>11.948261701984393</v>
      </c>
      <c r="Q83" s="64">
        <f t="shared" si="23"/>
        <v>11.920000000000003</v>
      </c>
      <c r="R83" s="65">
        <f t="shared" si="24"/>
        <v>2.8261701984389376E-2</v>
      </c>
      <c r="S83">
        <f t="shared" si="25"/>
        <v>2.8261701984389376E-2</v>
      </c>
      <c r="U83">
        <f t="shared" si="26"/>
        <v>11</v>
      </c>
      <c r="V83" s="44">
        <f t="shared" si="27"/>
        <v>0.92</v>
      </c>
      <c r="W83">
        <f t="shared" si="28"/>
        <v>11.920000000000003</v>
      </c>
      <c r="X83" s="44">
        <f t="shared" si="29"/>
        <v>-0.92000000000000348</v>
      </c>
    </row>
    <row r="84" spans="1:24" ht="12.75" customHeight="1" x14ac:dyDescent="0.3">
      <c r="A84">
        <f t="shared" si="30"/>
        <v>12.310000000000004</v>
      </c>
      <c r="B84" s="26">
        <f t="shared" si="12"/>
        <v>180.07527768689434</v>
      </c>
      <c r="C84" s="18">
        <f t="shared" si="13"/>
        <v>398</v>
      </c>
      <c r="D84" s="62">
        <f t="shared" si="14"/>
        <v>11.659027106265391</v>
      </c>
      <c r="E84">
        <f t="shared" si="15"/>
        <v>0.65100000000000002</v>
      </c>
      <c r="H84">
        <f t="shared" si="16"/>
        <v>12.310000000000004</v>
      </c>
      <c r="I84" s="63">
        <f t="shared" si="17"/>
        <v>-0.65097289373461287</v>
      </c>
      <c r="K84" s="44">
        <f t="shared" si="18"/>
        <v>11</v>
      </c>
      <c r="L84">
        <f t="shared" si="19"/>
        <v>1.31</v>
      </c>
      <c r="M84">
        <f t="shared" si="20"/>
        <v>12.310000000000004</v>
      </c>
      <c r="N84" s="44">
        <f t="shared" si="21"/>
        <v>-1.3100000000000041</v>
      </c>
      <c r="P84" s="62">
        <f t="shared" si="22"/>
        <v>12.295065618089552</v>
      </c>
      <c r="Q84" s="64">
        <f t="shared" si="23"/>
        <v>12.310000000000004</v>
      </c>
      <c r="R84" s="65">
        <f t="shared" si="24"/>
        <v>-1.4934381910451933E-2</v>
      </c>
      <c r="S84">
        <f t="shared" si="25"/>
        <v>1.4934381910451933E-2</v>
      </c>
      <c r="U84">
        <f t="shared" si="26"/>
        <v>11</v>
      </c>
      <c r="V84" s="44">
        <f t="shared" si="27"/>
        <v>1.31</v>
      </c>
      <c r="W84">
        <f t="shared" si="28"/>
        <v>12.310000000000004</v>
      </c>
      <c r="X84" s="44">
        <f t="shared" si="29"/>
        <v>-1.3100000000000041</v>
      </c>
    </row>
    <row r="85" spans="1:24" ht="12.75" customHeight="1" x14ac:dyDescent="0.3">
      <c r="A85">
        <f t="shared" si="30"/>
        <v>12.700000000000005</v>
      </c>
      <c r="B85" s="26">
        <f t="shared" si="12"/>
        <v>176.71175503792935</v>
      </c>
      <c r="C85" s="18">
        <f t="shared" si="13"/>
        <v>405</v>
      </c>
      <c r="D85" s="62">
        <f t="shared" si="14"/>
        <v>11.970605184919016</v>
      </c>
      <c r="E85">
        <f t="shared" si="15"/>
        <v>0.72899999999999998</v>
      </c>
      <c r="H85">
        <f t="shared" si="16"/>
        <v>12.700000000000005</v>
      </c>
      <c r="I85" s="63">
        <f t="shared" si="17"/>
        <v>-0.72939481508098858</v>
      </c>
      <c r="K85" s="44">
        <f t="shared" si="18"/>
        <v>12</v>
      </c>
      <c r="L85">
        <f t="shared" si="19"/>
        <v>0.7</v>
      </c>
      <c r="M85">
        <f t="shared" si="20"/>
        <v>12.700000000000005</v>
      </c>
      <c r="N85" s="44">
        <f t="shared" si="21"/>
        <v>-0.70000000000000462</v>
      </c>
      <c r="P85" s="62">
        <f t="shared" si="22"/>
        <v>12.694866878169535</v>
      </c>
      <c r="Q85" s="64">
        <f t="shared" si="23"/>
        <v>12.700000000000005</v>
      </c>
      <c r="R85" s="65">
        <f t="shared" si="24"/>
        <v>-5.1331218304699888E-3</v>
      </c>
      <c r="S85">
        <f t="shared" si="25"/>
        <v>5.1331218304699888E-3</v>
      </c>
      <c r="U85">
        <f t="shared" si="26"/>
        <v>12</v>
      </c>
      <c r="V85" s="44">
        <f t="shared" si="27"/>
        <v>0.7</v>
      </c>
      <c r="W85">
        <f t="shared" si="28"/>
        <v>12.700000000000005</v>
      </c>
      <c r="X85" s="44">
        <f t="shared" si="29"/>
        <v>-0.70000000000000462</v>
      </c>
    </row>
    <row r="86" spans="1:24" ht="12.75" customHeight="1" x14ac:dyDescent="0.3">
      <c r="A86">
        <f t="shared" si="30"/>
        <v>13.090000000000005</v>
      </c>
      <c r="B86" s="26">
        <f t="shared" si="12"/>
        <v>173.4199677509034</v>
      </c>
      <c r="C86" s="18">
        <f t="shared" si="13"/>
        <v>412</v>
      </c>
      <c r="D86" s="62">
        <f t="shared" si="14"/>
        <v>12.282183263572641</v>
      </c>
      <c r="E86">
        <f t="shared" si="15"/>
        <v>0.80800000000000005</v>
      </c>
      <c r="H86">
        <f t="shared" si="16"/>
        <v>13.090000000000005</v>
      </c>
      <c r="I86" s="63">
        <f t="shared" si="17"/>
        <v>-0.80781673642736429</v>
      </c>
      <c r="K86" s="44">
        <f t="shared" si="18"/>
        <v>12</v>
      </c>
      <c r="L86">
        <f t="shared" si="19"/>
        <v>1.0900000000000001</v>
      </c>
      <c r="M86">
        <f t="shared" si="20"/>
        <v>13.090000000000005</v>
      </c>
      <c r="N86" s="44">
        <f t="shared" si="21"/>
        <v>-1.0900000000000052</v>
      </c>
      <c r="P86" s="62">
        <f t="shared" si="22"/>
        <v>13.089658950545356</v>
      </c>
      <c r="Q86" s="64">
        <f t="shared" si="23"/>
        <v>13.090000000000005</v>
      </c>
      <c r="R86" s="65">
        <f t="shared" si="24"/>
        <v>-3.410494546489673E-4</v>
      </c>
      <c r="S86">
        <f t="shared" si="25"/>
        <v>3.410494546489673E-4</v>
      </c>
      <c r="U86">
        <f t="shared" si="26"/>
        <v>12</v>
      </c>
      <c r="V86" s="44">
        <f t="shared" si="27"/>
        <v>1.0900000000000001</v>
      </c>
      <c r="W86">
        <f t="shared" si="28"/>
        <v>13.090000000000005</v>
      </c>
      <c r="X86" s="44">
        <f t="shared" si="29"/>
        <v>-1.0900000000000052</v>
      </c>
    </row>
    <row r="87" spans="1:24" ht="12.75" customHeight="1" x14ac:dyDescent="0.3">
      <c r="A87">
        <f t="shared" si="30"/>
        <v>13.480000000000006</v>
      </c>
      <c r="B87" s="26">
        <f t="shared" si="12"/>
        <v>170.19820872305823</v>
      </c>
      <c r="C87" s="18">
        <f t="shared" si="13"/>
        <v>419</v>
      </c>
      <c r="D87" s="62">
        <f t="shared" si="14"/>
        <v>12.593761342226266</v>
      </c>
      <c r="E87">
        <f t="shared" si="15"/>
        <v>0.88600000000000001</v>
      </c>
      <c r="H87">
        <f t="shared" si="16"/>
        <v>13.480000000000006</v>
      </c>
      <c r="I87" s="63">
        <f t="shared" si="17"/>
        <v>-0.88623865777374</v>
      </c>
      <c r="K87" s="44">
        <f t="shared" si="18"/>
        <v>12</v>
      </c>
      <c r="L87">
        <f t="shared" si="19"/>
        <v>1.48</v>
      </c>
      <c r="M87">
        <f t="shared" si="20"/>
        <v>13.480000000000006</v>
      </c>
      <c r="N87" s="44">
        <f t="shared" si="21"/>
        <v>-1.4800000000000058</v>
      </c>
      <c r="P87" s="62">
        <f t="shared" si="22"/>
        <v>13.479605604788162</v>
      </c>
      <c r="Q87" s="64">
        <f t="shared" si="23"/>
        <v>13.480000000000006</v>
      </c>
      <c r="R87" s="65">
        <f t="shared" si="24"/>
        <v>-3.9439521184370108E-4</v>
      </c>
      <c r="S87">
        <f t="shared" si="25"/>
        <v>3.9439521184370108E-4</v>
      </c>
      <c r="U87">
        <f t="shared" si="26"/>
        <v>12</v>
      </c>
      <c r="V87" s="44">
        <f t="shared" si="27"/>
        <v>1.48</v>
      </c>
      <c r="W87">
        <f t="shared" si="28"/>
        <v>13.480000000000006</v>
      </c>
      <c r="X87" s="44">
        <f t="shared" si="29"/>
        <v>-1.4800000000000058</v>
      </c>
    </row>
    <row r="88" spans="1:24" ht="12.75" customHeight="1" x14ac:dyDescent="0.3">
      <c r="A88">
        <f t="shared" si="30"/>
        <v>13.870000000000006</v>
      </c>
      <c r="B88" s="26">
        <f t="shared" si="12"/>
        <v>167.04481547983593</v>
      </c>
      <c r="C88" s="18">
        <f t="shared" si="13"/>
        <v>426</v>
      </c>
      <c r="D88" s="62">
        <f t="shared" si="14"/>
        <v>12.905339420879891</v>
      </c>
      <c r="E88">
        <f t="shared" si="15"/>
        <v>0.96499999999999997</v>
      </c>
      <c r="H88">
        <f t="shared" si="16"/>
        <v>13.870000000000006</v>
      </c>
      <c r="I88" s="63">
        <f t="shared" si="17"/>
        <v>-0.96466057912011571</v>
      </c>
      <c r="K88" s="44">
        <f t="shared" si="18"/>
        <v>12</v>
      </c>
      <c r="L88">
        <f t="shared" si="19"/>
        <v>1.87</v>
      </c>
      <c r="M88">
        <f t="shared" si="20"/>
        <v>13.870000000000006</v>
      </c>
      <c r="N88" s="44">
        <f t="shared" si="21"/>
        <v>-1.8700000000000063</v>
      </c>
      <c r="P88" s="62">
        <f t="shared" si="22"/>
        <v>13.864862816523157</v>
      </c>
      <c r="Q88" s="64">
        <f t="shared" si="23"/>
        <v>13.870000000000006</v>
      </c>
      <c r="R88" s="65">
        <f t="shared" si="24"/>
        <v>-5.1371834768492164E-3</v>
      </c>
      <c r="S88">
        <f t="shared" si="25"/>
        <v>5.1371834768492164E-3</v>
      </c>
      <c r="U88">
        <f t="shared" si="26"/>
        <v>12</v>
      </c>
      <c r="V88" s="44">
        <f t="shared" si="27"/>
        <v>1.87</v>
      </c>
      <c r="W88">
        <f t="shared" si="28"/>
        <v>13.870000000000006</v>
      </c>
      <c r="X88" s="44">
        <f t="shared" si="29"/>
        <v>-1.8700000000000063</v>
      </c>
    </row>
    <row r="89" spans="1:24" ht="12.75" customHeight="1" x14ac:dyDescent="0.3">
      <c r="A89">
        <f t="shared" si="30"/>
        <v>14.260000000000007</v>
      </c>
      <c r="B89" s="26">
        <f t="shared" si="12"/>
        <v>163.95816890770894</v>
      </c>
      <c r="C89" s="18">
        <f t="shared" si="13"/>
        <v>433</v>
      </c>
      <c r="D89" s="62">
        <f t="shared" si="14"/>
        <v>13.216917499533515</v>
      </c>
      <c r="E89">
        <f t="shared" si="15"/>
        <v>1.0429999999999999</v>
      </c>
      <c r="H89">
        <f t="shared" si="16"/>
        <v>14.260000000000007</v>
      </c>
      <c r="I89" s="63">
        <f t="shared" si="17"/>
        <v>-1.0430825004664914</v>
      </c>
      <c r="K89" s="44">
        <f t="shared" si="18"/>
        <v>13</v>
      </c>
      <c r="L89">
        <f t="shared" si="19"/>
        <v>1.26</v>
      </c>
      <c r="M89">
        <f t="shared" si="20"/>
        <v>14.260000000000007</v>
      </c>
      <c r="N89" s="44">
        <f t="shared" si="21"/>
        <v>-1.2600000000000069</v>
      </c>
      <c r="P89" s="62">
        <f t="shared" si="22"/>
        <v>14.245579261126295</v>
      </c>
      <c r="Q89" s="64">
        <f t="shared" si="23"/>
        <v>14.260000000000007</v>
      </c>
      <c r="R89" s="65">
        <f t="shared" si="24"/>
        <v>-1.4420738873711869E-2</v>
      </c>
      <c r="S89">
        <f t="shared" si="25"/>
        <v>1.4420738873711869E-2</v>
      </c>
      <c r="U89">
        <f t="shared" si="26"/>
        <v>13</v>
      </c>
      <c r="V89" s="44">
        <f t="shared" si="27"/>
        <v>1.26</v>
      </c>
      <c r="W89">
        <f t="shared" si="28"/>
        <v>14.260000000000007</v>
      </c>
      <c r="X89" s="44">
        <f t="shared" si="29"/>
        <v>-1.2600000000000069</v>
      </c>
    </row>
    <row r="90" spans="1:24" ht="12.75" customHeight="1" x14ac:dyDescent="0.3">
      <c r="A90">
        <f t="shared" si="30"/>
        <v>14.650000000000007</v>
      </c>
      <c r="B90" s="26">
        <f t="shared" si="12"/>
        <v>160.93669202574188</v>
      </c>
      <c r="C90" s="18">
        <f t="shared" si="13"/>
        <v>441</v>
      </c>
      <c r="D90" s="62">
        <f t="shared" si="14"/>
        <v>13.573006732280518</v>
      </c>
      <c r="E90">
        <f t="shared" si="15"/>
        <v>1.077</v>
      </c>
      <c r="H90">
        <f t="shared" si="16"/>
        <v>14.650000000000007</v>
      </c>
      <c r="I90" s="63">
        <f t="shared" si="17"/>
        <v>-1.0769932677194891</v>
      </c>
      <c r="K90" s="44">
        <f t="shared" si="18"/>
        <v>13</v>
      </c>
      <c r="L90">
        <f t="shared" si="19"/>
        <v>1.65</v>
      </c>
      <c r="M90">
        <f t="shared" si="20"/>
        <v>14.650000000000007</v>
      </c>
      <c r="N90" s="44">
        <f t="shared" si="21"/>
        <v>-1.6500000000000075</v>
      </c>
      <c r="P90" s="62">
        <f t="shared" si="22"/>
        <v>14.675305288269612</v>
      </c>
      <c r="Q90" s="64">
        <f t="shared" si="23"/>
        <v>14.650000000000007</v>
      </c>
      <c r="R90" s="65">
        <f t="shared" si="24"/>
        <v>2.5305288269604986E-2</v>
      </c>
      <c r="S90">
        <f t="shared" si="25"/>
        <v>2.5305288269604986E-2</v>
      </c>
      <c r="U90">
        <f t="shared" si="26"/>
        <v>13</v>
      </c>
      <c r="V90" s="44">
        <f t="shared" si="27"/>
        <v>1.65</v>
      </c>
      <c r="W90">
        <f t="shared" si="28"/>
        <v>14.650000000000007</v>
      </c>
      <c r="X90" s="44">
        <f t="shared" si="29"/>
        <v>-1.6500000000000075</v>
      </c>
    </row>
    <row r="91" spans="1:24" ht="12.75" customHeight="1" x14ac:dyDescent="0.3">
      <c r="A91">
        <f t="shared" si="30"/>
        <v>15.040000000000008</v>
      </c>
      <c r="B91" s="26">
        <f t="shared" si="12"/>
        <v>157.97884879462947</v>
      </c>
      <c r="C91" s="18">
        <f t="shared" si="13"/>
        <v>448</v>
      </c>
      <c r="D91" s="62">
        <f t="shared" si="14"/>
        <v>13.884584810934143</v>
      </c>
      <c r="E91">
        <f t="shared" si="15"/>
        <v>1.155</v>
      </c>
      <c r="H91">
        <f t="shared" si="16"/>
        <v>15.040000000000008</v>
      </c>
      <c r="I91" s="63">
        <f t="shared" si="17"/>
        <v>-1.1554151890658648</v>
      </c>
      <c r="K91" s="44">
        <f t="shared" si="18"/>
        <v>13</v>
      </c>
      <c r="L91">
        <f t="shared" si="19"/>
        <v>2.04</v>
      </c>
      <c r="M91">
        <f t="shared" si="20"/>
        <v>15.040000000000008</v>
      </c>
      <c r="N91" s="44">
        <f t="shared" si="21"/>
        <v>-2.040000000000008</v>
      </c>
      <c r="P91" s="62">
        <f t="shared" si="22"/>
        <v>15.046760884496337</v>
      </c>
      <c r="Q91" s="64">
        <f t="shared" si="23"/>
        <v>15.040000000000008</v>
      </c>
      <c r="R91" s="65">
        <f t="shared" si="24"/>
        <v>6.7608844963285009E-3</v>
      </c>
      <c r="S91">
        <f t="shared" si="25"/>
        <v>6.7608844963285009E-3</v>
      </c>
      <c r="U91">
        <f t="shared" si="26"/>
        <v>13</v>
      </c>
      <c r="V91" s="44">
        <f t="shared" si="27"/>
        <v>2.04</v>
      </c>
      <c r="W91">
        <f t="shared" si="28"/>
        <v>15.040000000000008</v>
      </c>
      <c r="X91" s="44">
        <f t="shared" si="29"/>
        <v>-2.040000000000008</v>
      </c>
    </row>
    <row r="92" spans="1:24" ht="12.75" customHeight="1" x14ac:dyDescent="0.3">
      <c r="A92">
        <f t="shared" si="30"/>
        <v>15.430000000000009</v>
      </c>
      <c r="B92" s="26">
        <f t="shared" si="12"/>
        <v>155.08314296197878</v>
      </c>
      <c r="C92" s="18">
        <f t="shared" si="13"/>
        <v>455</v>
      </c>
      <c r="D92" s="62">
        <f t="shared" si="14"/>
        <v>14.196162889587768</v>
      </c>
      <c r="E92">
        <f t="shared" si="15"/>
        <v>1.234</v>
      </c>
      <c r="H92">
        <f t="shared" si="16"/>
        <v>15.430000000000009</v>
      </c>
      <c r="I92" s="63">
        <f t="shared" si="17"/>
        <v>-1.2338371104122405</v>
      </c>
      <c r="K92" s="44">
        <f t="shared" si="18"/>
        <v>14</v>
      </c>
      <c r="L92">
        <f t="shared" si="19"/>
        <v>1.43</v>
      </c>
      <c r="M92">
        <f t="shared" si="20"/>
        <v>15.430000000000009</v>
      </c>
      <c r="N92" s="44">
        <f t="shared" si="21"/>
        <v>-1.4300000000000086</v>
      </c>
      <c r="P92" s="62">
        <f t="shared" si="22"/>
        <v>15.414100325617255</v>
      </c>
      <c r="Q92" s="64">
        <f t="shared" si="23"/>
        <v>15.430000000000009</v>
      </c>
      <c r="R92" s="65">
        <f t="shared" si="24"/>
        <v>-1.5899674382753304E-2</v>
      </c>
      <c r="S92">
        <f t="shared" si="25"/>
        <v>1.5899674382753304E-2</v>
      </c>
      <c r="U92">
        <f t="shared" si="26"/>
        <v>14</v>
      </c>
      <c r="V92" s="44">
        <f t="shared" si="27"/>
        <v>1.43</v>
      </c>
      <c r="W92">
        <f t="shared" si="28"/>
        <v>15.430000000000009</v>
      </c>
      <c r="X92" s="44">
        <f t="shared" si="29"/>
        <v>-1.4300000000000086</v>
      </c>
    </row>
    <row r="93" spans="1:24" ht="12.75" customHeight="1" x14ac:dyDescent="0.3">
      <c r="A93">
        <f t="shared" si="30"/>
        <v>15.820000000000009</v>
      </c>
      <c r="B93" s="26">
        <f t="shared" si="12"/>
        <v>152.24811694266691</v>
      </c>
      <c r="C93" s="18">
        <f t="shared" si="13"/>
        <v>463</v>
      </c>
      <c r="D93" s="62">
        <f t="shared" si="14"/>
        <v>14.552252122334767</v>
      </c>
      <c r="E93">
        <f t="shared" si="15"/>
        <v>1.268</v>
      </c>
      <c r="H93">
        <f t="shared" si="16"/>
        <v>15.820000000000009</v>
      </c>
      <c r="I93" s="63">
        <f t="shared" si="17"/>
        <v>-1.2677478776652418</v>
      </c>
      <c r="K93" s="44">
        <f t="shared" si="18"/>
        <v>14</v>
      </c>
      <c r="L93">
        <f t="shared" si="19"/>
        <v>1.82</v>
      </c>
      <c r="M93">
        <f t="shared" si="20"/>
        <v>15.820000000000009</v>
      </c>
      <c r="N93" s="44">
        <f t="shared" si="21"/>
        <v>-1.8200000000000092</v>
      </c>
      <c r="P93" s="62">
        <f t="shared" si="22"/>
        <v>15.829034058065417</v>
      </c>
      <c r="Q93" s="64">
        <f t="shared" si="23"/>
        <v>15.820000000000009</v>
      </c>
      <c r="R93" s="65">
        <f t="shared" si="24"/>
        <v>9.0340580654082459E-3</v>
      </c>
      <c r="S93">
        <f t="shared" si="25"/>
        <v>9.0340580654082459E-3</v>
      </c>
      <c r="U93">
        <f t="shared" si="26"/>
        <v>14</v>
      </c>
      <c r="V93" s="44">
        <f t="shared" si="27"/>
        <v>1.82</v>
      </c>
      <c r="W93">
        <f t="shared" si="28"/>
        <v>15.820000000000009</v>
      </c>
      <c r="X93" s="44">
        <f t="shared" si="29"/>
        <v>-1.8200000000000092</v>
      </c>
    </row>
    <row r="94" spans="1:24" ht="12.75" customHeight="1" x14ac:dyDescent="0.3">
      <c r="A94">
        <f t="shared" si="30"/>
        <v>16.210000000000008</v>
      </c>
      <c r="B94" s="26">
        <f t="shared" si="12"/>
        <v>149.47235073312612</v>
      </c>
      <c r="C94" s="18">
        <f t="shared" si="13"/>
        <v>470</v>
      </c>
      <c r="D94" s="62">
        <f t="shared" si="14"/>
        <v>14.863830200988392</v>
      </c>
      <c r="E94">
        <f t="shared" si="15"/>
        <v>1.3460000000000001</v>
      </c>
      <c r="H94">
        <f t="shared" si="16"/>
        <v>16.210000000000008</v>
      </c>
      <c r="I94" s="63">
        <f t="shared" si="17"/>
        <v>-1.3461697990116157</v>
      </c>
      <c r="K94" s="44">
        <f t="shared" si="18"/>
        <v>14</v>
      </c>
      <c r="L94">
        <f t="shared" si="19"/>
        <v>2.21</v>
      </c>
      <c r="M94">
        <f t="shared" si="20"/>
        <v>16.210000000000008</v>
      </c>
      <c r="N94" s="44">
        <f t="shared" si="21"/>
        <v>-2.210000000000008</v>
      </c>
      <c r="P94" s="62">
        <f t="shared" si="22"/>
        <v>16.187960248671914</v>
      </c>
      <c r="Q94" s="64">
        <f t="shared" si="23"/>
        <v>16.210000000000008</v>
      </c>
      <c r="R94" s="65">
        <f t="shared" si="24"/>
        <v>-2.2039751328094326E-2</v>
      </c>
      <c r="S94">
        <f t="shared" si="25"/>
        <v>2.2039751328094326E-2</v>
      </c>
      <c r="U94">
        <f t="shared" si="26"/>
        <v>14</v>
      </c>
      <c r="V94" s="44">
        <f t="shared" si="27"/>
        <v>2.21</v>
      </c>
      <c r="W94">
        <f t="shared" si="28"/>
        <v>16.210000000000008</v>
      </c>
      <c r="X94" s="44">
        <f t="shared" si="29"/>
        <v>-2.210000000000008</v>
      </c>
    </row>
    <row r="95" spans="1:24" ht="12.75" customHeight="1" x14ac:dyDescent="0.3">
      <c r="A95">
        <f t="shared" si="30"/>
        <v>16.600000000000009</v>
      </c>
      <c r="B95" s="26">
        <f t="shared" si="12"/>
        <v>146.75446085846346</v>
      </c>
      <c r="C95" s="18">
        <f t="shared" si="13"/>
        <v>478</v>
      </c>
      <c r="D95" s="62">
        <f t="shared" si="14"/>
        <v>15.219919433735395</v>
      </c>
      <c r="E95">
        <f t="shared" si="15"/>
        <v>1.38</v>
      </c>
      <c r="H95">
        <f t="shared" si="16"/>
        <v>16.600000000000009</v>
      </c>
      <c r="I95" s="63">
        <f t="shared" si="17"/>
        <v>-1.3800805662646134</v>
      </c>
      <c r="K95" s="44">
        <f t="shared" si="18"/>
        <v>15</v>
      </c>
      <c r="L95">
        <f t="shared" si="19"/>
        <v>1.6</v>
      </c>
      <c r="M95">
        <f t="shared" si="20"/>
        <v>16.600000000000009</v>
      </c>
      <c r="N95" s="44">
        <f t="shared" si="21"/>
        <v>-1.6000000000000085</v>
      </c>
      <c r="P95" s="62">
        <f t="shared" si="22"/>
        <v>16.593579343990712</v>
      </c>
      <c r="Q95" s="64">
        <f t="shared" si="23"/>
        <v>16.600000000000009</v>
      </c>
      <c r="R95" s="65">
        <f t="shared" si="24"/>
        <v>-6.4206560092969767E-3</v>
      </c>
      <c r="S95">
        <f t="shared" si="25"/>
        <v>6.4206560092969767E-3</v>
      </c>
      <c r="U95">
        <f t="shared" si="26"/>
        <v>15</v>
      </c>
      <c r="V95" s="44">
        <f t="shared" si="27"/>
        <v>1.6</v>
      </c>
      <c r="W95">
        <f t="shared" si="28"/>
        <v>16.600000000000009</v>
      </c>
      <c r="X95" s="44">
        <f t="shared" si="29"/>
        <v>-1.6000000000000085</v>
      </c>
    </row>
    <row r="96" spans="1:24" ht="12.75" customHeight="1" x14ac:dyDescent="0.3">
      <c r="A96">
        <f t="shared" si="30"/>
        <v>16.990000000000009</v>
      </c>
      <c r="B96" s="26">
        <f t="shared" si="12"/>
        <v>144.09309935134519</v>
      </c>
      <c r="C96" s="18">
        <f t="shared" si="13"/>
        <v>486</v>
      </c>
      <c r="D96" s="62">
        <f t="shared" si="14"/>
        <v>15.576008666482394</v>
      </c>
      <c r="E96">
        <f t="shared" si="15"/>
        <v>1.4139999999999999</v>
      </c>
      <c r="H96">
        <f t="shared" si="16"/>
        <v>16.990000000000009</v>
      </c>
      <c r="I96" s="63">
        <f t="shared" si="17"/>
        <v>-1.4139913335176146</v>
      </c>
      <c r="K96" s="44">
        <f t="shared" si="18"/>
        <v>15</v>
      </c>
      <c r="L96">
        <f t="shared" si="19"/>
        <v>1.99</v>
      </c>
      <c r="M96">
        <f t="shared" si="20"/>
        <v>16.990000000000009</v>
      </c>
      <c r="N96" s="44">
        <f t="shared" si="21"/>
        <v>-1.9900000000000091</v>
      </c>
      <c r="P96" s="62">
        <f t="shared" si="22"/>
        <v>16.9944634258826</v>
      </c>
      <c r="Q96" s="64">
        <f t="shared" si="23"/>
        <v>16.990000000000009</v>
      </c>
      <c r="R96" s="65">
        <f t="shared" si="24"/>
        <v>4.4634258825908546E-3</v>
      </c>
      <c r="S96">
        <f t="shared" si="25"/>
        <v>4.4634258825908546E-3</v>
      </c>
      <c r="U96">
        <f t="shared" si="26"/>
        <v>15</v>
      </c>
      <c r="V96" s="44">
        <f t="shared" si="27"/>
        <v>1.99</v>
      </c>
      <c r="W96">
        <f t="shared" si="28"/>
        <v>16.990000000000009</v>
      </c>
      <c r="X96" s="44">
        <f t="shared" si="29"/>
        <v>-1.9900000000000091</v>
      </c>
    </row>
    <row r="97" spans="1:24" ht="12.75" customHeight="1" x14ac:dyDescent="0.3">
      <c r="A97">
        <f t="shared" si="30"/>
        <v>17.38000000000001</v>
      </c>
      <c r="B97" s="26">
        <f t="shared" si="12"/>
        <v>141.48695276163144</v>
      </c>
      <c r="C97" s="18">
        <f t="shared" si="13"/>
        <v>494</v>
      </c>
      <c r="D97" s="62">
        <f t="shared" si="14"/>
        <v>15.932097899229394</v>
      </c>
      <c r="E97">
        <f t="shared" si="15"/>
        <v>1.448</v>
      </c>
      <c r="H97">
        <f t="shared" si="16"/>
        <v>17.38000000000001</v>
      </c>
      <c r="I97" s="63">
        <f t="shared" si="17"/>
        <v>-1.4479021007706159</v>
      </c>
      <c r="K97" s="44">
        <f t="shared" si="18"/>
        <v>15</v>
      </c>
      <c r="L97">
        <f t="shared" si="19"/>
        <v>2.38</v>
      </c>
      <c r="M97">
        <f t="shared" si="20"/>
        <v>17.38000000000001</v>
      </c>
      <c r="N97" s="44">
        <f t="shared" si="21"/>
        <v>-2.3800000000000097</v>
      </c>
      <c r="P97" s="62">
        <f t="shared" si="22"/>
        <v>17.39076464977893</v>
      </c>
      <c r="Q97" s="64">
        <f t="shared" si="23"/>
        <v>17.38000000000001</v>
      </c>
      <c r="R97" s="65">
        <f t="shared" si="24"/>
        <v>1.0764649778920443E-2</v>
      </c>
      <c r="S97">
        <f t="shared" si="25"/>
        <v>1.0764649778920443E-2</v>
      </c>
      <c r="U97">
        <f t="shared" si="26"/>
        <v>15</v>
      </c>
      <c r="V97" s="44">
        <f t="shared" si="27"/>
        <v>2.38</v>
      </c>
      <c r="W97">
        <f t="shared" si="28"/>
        <v>17.38000000000001</v>
      </c>
      <c r="X97" s="44">
        <f t="shared" si="29"/>
        <v>-2.3800000000000097</v>
      </c>
    </row>
    <row r="98" spans="1:24" ht="12.75" customHeight="1" x14ac:dyDescent="0.3">
      <c r="A98">
        <f t="shared" si="30"/>
        <v>17.77000000000001</v>
      </c>
      <c r="B98" s="26">
        <f t="shared" si="12"/>
        <v>138.93474119576069</v>
      </c>
      <c r="C98" s="18">
        <f t="shared" si="13"/>
        <v>502</v>
      </c>
      <c r="D98" s="62">
        <f t="shared" si="14"/>
        <v>16.288187131976393</v>
      </c>
      <c r="E98">
        <f t="shared" si="15"/>
        <v>1.482</v>
      </c>
      <c r="H98">
        <f t="shared" si="16"/>
        <v>17.77000000000001</v>
      </c>
      <c r="I98" s="63">
        <f t="shared" si="17"/>
        <v>-1.4818128680236171</v>
      </c>
      <c r="K98" s="44">
        <f t="shared" si="18"/>
        <v>16</v>
      </c>
      <c r="L98">
        <f t="shared" si="19"/>
        <v>1.77</v>
      </c>
      <c r="M98">
        <f t="shared" si="20"/>
        <v>17.77000000000001</v>
      </c>
      <c r="N98" s="44">
        <f t="shared" si="21"/>
        <v>-1.7700000000000102</v>
      </c>
      <c r="P98" s="62">
        <f t="shared" si="22"/>
        <v>17.782628170488351</v>
      </c>
      <c r="Q98" s="64">
        <f t="shared" si="23"/>
        <v>17.77000000000001</v>
      </c>
      <c r="R98" s="65">
        <f t="shared" si="24"/>
        <v>1.2628170488341084E-2</v>
      </c>
      <c r="S98">
        <f t="shared" si="25"/>
        <v>1.2628170488341084E-2</v>
      </c>
      <c r="U98">
        <f t="shared" si="26"/>
        <v>16</v>
      </c>
      <c r="V98" s="44">
        <f t="shared" si="27"/>
        <v>1.77</v>
      </c>
      <c r="W98">
        <f t="shared" si="28"/>
        <v>17.77000000000001</v>
      </c>
      <c r="X98" s="44">
        <f t="shared" si="29"/>
        <v>-1.7700000000000102</v>
      </c>
    </row>
    <row r="99" spans="1:24" ht="12.75" customHeight="1" x14ac:dyDescent="0.3">
      <c r="A99">
        <f t="shared" si="30"/>
        <v>18.160000000000011</v>
      </c>
      <c r="B99" s="26">
        <f t="shared" si="12"/>
        <v>136.43521738493419</v>
      </c>
      <c r="C99" s="18">
        <f t="shared" si="13"/>
        <v>510</v>
      </c>
      <c r="D99" s="62">
        <f t="shared" si="14"/>
        <v>16.644276364723396</v>
      </c>
      <c r="E99">
        <f t="shared" si="15"/>
        <v>1.516</v>
      </c>
      <c r="H99">
        <f t="shared" si="16"/>
        <v>18.160000000000011</v>
      </c>
      <c r="I99" s="63">
        <f t="shared" si="17"/>
        <v>-1.5157236352766148</v>
      </c>
      <c r="K99" s="44">
        <f t="shared" si="18"/>
        <v>16</v>
      </c>
      <c r="L99">
        <f t="shared" si="19"/>
        <v>2.16</v>
      </c>
      <c r="M99">
        <f t="shared" si="20"/>
        <v>18.160000000000011</v>
      </c>
      <c r="N99" s="44">
        <f t="shared" si="21"/>
        <v>-2.1600000000000108</v>
      </c>
      <c r="P99" s="62">
        <f t="shared" si="22"/>
        <v>18.170192572544352</v>
      </c>
      <c r="Q99" s="64">
        <f t="shared" si="23"/>
        <v>18.160000000000011</v>
      </c>
      <c r="R99" s="65">
        <f t="shared" si="24"/>
        <v>1.0192572544340806E-2</v>
      </c>
      <c r="S99">
        <f t="shared" si="25"/>
        <v>1.0192572544340806E-2</v>
      </c>
      <c r="U99">
        <f t="shared" si="26"/>
        <v>16</v>
      </c>
      <c r="V99" s="44">
        <f t="shared" si="27"/>
        <v>2.16</v>
      </c>
      <c r="W99">
        <f t="shared" si="28"/>
        <v>18.160000000000011</v>
      </c>
      <c r="X99" s="44">
        <f t="shared" si="29"/>
        <v>-2.1600000000000108</v>
      </c>
    </row>
    <row r="100" spans="1:24" ht="13.5" customHeight="1" x14ac:dyDescent="0.3">
      <c r="A100">
        <f t="shared" si="30"/>
        <v>18.550000000000011</v>
      </c>
      <c r="B100" s="26">
        <f t="shared" si="12"/>
        <v>133.98716578117717</v>
      </c>
      <c r="C100" s="18">
        <f t="shared" si="13"/>
        <v>518</v>
      </c>
      <c r="D100" s="62">
        <f t="shared" si="14"/>
        <v>17.000365597470395</v>
      </c>
      <c r="E100">
        <f t="shared" si="15"/>
        <v>1.55</v>
      </c>
      <c r="H100">
        <f t="shared" si="16"/>
        <v>18.550000000000011</v>
      </c>
      <c r="I100" s="63">
        <f t="shared" si="17"/>
        <v>-1.549634402529616</v>
      </c>
      <c r="K100" s="44">
        <f t="shared" si="18"/>
        <v>17</v>
      </c>
      <c r="L100">
        <f t="shared" si="19"/>
        <v>1.55</v>
      </c>
      <c r="M100">
        <f t="shared" si="20"/>
        <v>18.550000000000011</v>
      </c>
      <c r="N100" s="44">
        <f t="shared" si="21"/>
        <v>-1.5500000000000114</v>
      </c>
      <c r="P100" s="62">
        <f t="shared" si="22"/>
        <v>18.553590267832419</v>
      </c>
      <c r="Q100" s="64">
        <f t="shared" si="23"/>
        <v>18.550000000000011</v>
      </c>
      <c r="R100" s="65">
        <f t="shared" si="24"/>
        <v>3.5902678324077897E-3</v>
      </c>
      <c r="S100">
        <f t="shared" si="25"/>
        <v>3.5902678324077897E-3</v>
      </c>
      <c r="U100">
        <f t="shared" si="26"/>
        <v>17</v>
      </c>
      <c r="V100" s="44">
        <f t="shared" si="27"/>
        <v>1.55</v>
      </c>
      <c r="W100">
        <f t="shared" si="28"/>
        <v>18.550000000000011</v>
      </c>
      <c r="X100" s="44">
        <f t="shared" si="29"/>
        <v>-1.5500000000000114</v>
      </c>
    </row>
    <row r="101" spans="1:24" ht="12.75" customHeight="1" x14ac:dyDescent="0.3">
      <c r="A101">
        <f t="shared" si="30"/>
        <v>18.940000000000012</v>
      </c>
      <c r="B101" s="26">
        <f t="shared" si="12"/>
        <v>131.5894016803785</v>
      </c>
      <c r="C101" s="18">
        <f t="shared" si="13"/>
        <v>526</v>
      </c>
      <c r="D101" s="62">
        <f t="shared" si="14"/>
        <v>17.356454830217395</v>
      </c>
      <c r="E101">
        <f t="shared" si="15"/>
        <v>1.5840000000000001</v>
      </c>
      <c r="H101">
        <f t="shared" si="16"/>
        <v>18.940000000000012</v>
      </c>
      <c r="I101" s="63">
        <f t="shared" si="17"/>
        <v>-1.5835451697826173</v>
      </c>
      <c r="K101" s="44">
        <f t="shared" si="18"/>
        <v>17</v>
      </c>
      <c r="L101">
        <f t="shared" si="19"/>
        <v>1.94</v>
      </c>
      <c r="M101">
        <f t="shared" si="20"/>
        <v>18.940000000000012</v>
      </c>
      <c r="N101" s="44">
        <f t="shared" si="21"/>
        <v>-1.9400000000000119</v>
      </c>
      <c r="P101" s="62">
        <f t="shared" si="22"/>
        <v>18.93294786344984</v>
      </c>
      <c r="Q101" s="64">
        <f t="shared" si="23"/>
        <v>18.940000000000012</v>
      </c>
      <c r="R101" s="65">
        <f t="shared" si="24"/>
        <v>-7.0521365501718947E-3</v>
      </c>
      <c r="S101">
        <f t="shared" si="25"/>
        <v>7.0521365501718947E-3</v>
      </c>
      <c r="U101">
        <f t="shared" si="26"/>
        <v>17</v>
      </c>
      <c r="V101" s="44">
        <f t="shared" si="27"/>
        <v>1.94</v>
      </c>
      <c r="W101">
        <f t="shared" si="28"/>
        <v>18.940000000000012</v>
      </c>
      <c r="X101" s="44">
        <f t="shared" si="29"/>
        <v>-1.9400000000000119</v>
      </c>
    </row>
    <row r="102" spans="1:24" ht="12.75" customHeight="1" x14ac:dyDescent="0.3">
      <c r="A102">
        <f t="shared" si="30"/>
        <v>19.330000000000013</v>
      </c>
      <c r="B102" s="26">
        <f t="shared" si="12"/>
        <v>129.24077037145446</v>
      </c>
      <c r="C102" s="18">
        <f t="shared" si="13"/>
        <v>534</v>
      </c>
      <c r="D102" s="62">
        <f t="shared" si="14"/>
        <v>17.712544062964398</v>
      </c>
      <c r="E102">
        <f t="shared" si="15"/>
        <v>1.617</v>
      </c>
      <c r="H102">
        <f t="shared" si="16"/>
        <v>19.330000000000013</v>
      </c>
      <c r="I102" s="63">
        <f t="shared" si="17"/>
        <v>-1.617455937035615</v>
      </c>
      <c r="K102" s="44">
        <f t="shared" si="18"/>
        <v>17</v>
      </c>
      <c r="L102">
        <f t="shared" si="19"/>
        <v>2.33</v>
      </c>
      <c r="M102">
        <f t="shared" si="20"/>
        <v>19.330000000000013</v>
      </c>
      <c r="N102" s="44">
        <f t="shared" si="21"/>
        <v>-2.3300000000000125</v>
      </c>
      <c r="P102" s="62">
        <f t="shared" si="22"/>
        <v>19.308386502443113</v>
      </c>
      <c r="Q102" s="64">
        <f t="shared" si="23"/>
        <v>19.330000000000013</v>
      </c>
      <c r="R102" s="65">
        <f t="shared" si="24"/>
        <v>-2.1613497556899119E-2</v>
      </c>
      <c r="S102">
        <f t="shared" si="25"/>
        <v>2.1613497556899119E-2</v>
      </c>
      <c r="U102">
        <f t="shared" si="26"/>
        <v>17</v>
      </c>
      <c r="V102" s="44">
        <f t="shared" si="27"/>
        <v>2.33</v>
      </c>
      <c r="W102">
        <f t="shared" si="28"/>
        <v>19.330000000000013</v>
      </c>
      <c r="X102" s="44">
        <f t="shared" si="29"/>
        <v>-2.3300000000000125</v>
      </c>
    </row>
    <row r="103" spans="1:24" ht="12.75" customHeight="1" x14ac:dyDescent="0.3">
      <c r="A103">
        <f t="shared" si="30"/>
        <v>19.720000000000013</v>
      </c>
      <c r="B103" s="26">
        <f t="shared" si="12"/>
        <v>126.94014631080171</v>
      </c>
      <c r="C103" s="18">
        <f t="shared" si="13"/>
        <v>543</v>
      </c>
      <c r="D103" s="62">
        <f t="shared" si="14"/>
        <v>18.113144449804771</v>
      </c>
      <c r="E103">
        <f t="shared" si="15"/>
        <v>1.607</v>
      </c>
      <c r="H103">
        <f t="shared" si="16"/>
        <v>19.720000000000013</v>
      </c>
      <c r="I103" s="63">
        <f t="shared" si="17"/>
        <v>-1.6068555501952417</v>
      </c>
      <c r="K103" s="44">
        <f t="shared" si="18"/>
        <v>18</v>
      </c>
      <c r="L103">
        <f t="shared" si="19"/>
        <v>1.72</v>
      </c>
      <c r="M103">
        <f t="shared" si="20"/>
        <v>19.720000000000013</v>
      </c>
      <c r="N103" s="44">
        <f t="shared" si="21"/>
        <v>-1.7200000000000131</v>
      </c>
      <c r="P103" s="62">
        <f t="shared" si="22"/>
        <v>19.726214830026663</v>
      </c>
      <c r="Q103" s="64">
        <f t="shared" si="23"/>
        <v>19.720000000000013</v>
      </c>
      <c r="R103" s="65">
        <f t="shared" si="24"/>
        <v>6.21483002665002E-3</v>
      </c>
      <c r="S103">
        <f t="shared" si="25"/>
        <v>6.21483002665002E-3</v>
      </c>
      <c r="U103">
        <f t="shared" si="26"/>
        <v>18</v>
      </c>
      <c r="V103" s="44">
        <f t="shared" si="27"/>
        <v>1.72</v>
      </c>
      <c r="W103">
        <f t="shared" si="28"/>
        <v>19.720000000000013</v>
      </c>
      <c r="X103" s="44">
        <f t="shared" si="29"/>
        <v>-1.7200000000000131</v>
      </c>
    </row>
    <row r="104" spans="1:24" ht="12.75" customHeight="1" x14ac:dyDescent="0.3">
      <c r="A104">
        <f t="shared" si="30"/>
        <v>20.110000000000014</v>
      </c>
      <c r="B104" s="26">
        <f t="shared" si="12"/>
        <v>124.68643232123347</v>
      </c>
      <c r="C104" s="18">
        <f t="shared" si="13"/>
        <v>551</v>
      </c>
      <c r="D104" s="62">
        <f t="shared" si="14"/>
        <v>18.469233682551771</v>
      </c>
      <c r="E104">
        <f t="shared" si="15"/>
        <v>1.641</v>
      </c>
      <c r="H104">
        <f t="shared" si="16"/>
        <v>20.110000000000014</v>
      </c>
      <c r="I104" s="63">
        <f t="shared" si="17"/>
        <v>-1.640766317448243</v>
      </c>
      <c r="K104" s="44">
        <f t="shared" si="18"/>
        <v>18</v>
      </c>
      <c r="L104">
        <f t="shared" si="19"/>
        <v>2.11</v>
      </c>
      <c r="M104">
        <f t="shared" si="20"/>
        <v>20.110000000000014</v>
      </c>
      <c r="N104" s="44">
        <f t="shared" si="21"/>
        <v>-2.1100000000000136</v>
      </c>
      <c r="P104" s="62">
        <f t="shared" si="22"/>
        <v>20.093704791884363</v>
      </c>
      <c r="Q104" s="64">
        <f t="shared" si="23"/>
        <v>20.110000000000014</v>
      </c>
      <c r="R104" s="65">
        <f t="shared" si="24"/>
        <v>-1.6295208115650439E-2</v>
      </c>
      <c r="S104">
        <f t="shared" si="25"/>
        <v>1.6295208115650439E-2</v>
      </c>
      <c r="U104">
        <f t="shared" si="26"/>
        <v>18</v>
      </c>
      <c r="V104" s="44">
        <f t="shared" si="27"/>
        <v>2.11</v>
      </c>
      <c r="W104">
        <f t="shared" si="28"/>
        <v>20.110000000000014</v>
      </c>
      <c r="X104" s="44">
        <f t="shared" si="29"/>
        <v>-2.1100000000000136</v>
      </c>
    </row>
    <row r="105" spans="1:24" ht="12.75" customHeight="1" x14ac:dyDescent="0.3">
      <c r="A105">
        <f t="shared" si="30"/>
        <v>20.500000000000014</v>
      </c>
      <c r="B105" s="26">
        <f t="shared" si="12"/>
        <v>122.47855881462289</v>
      </c>
      <c r="C105" s="18">
        <f t="shared" si="13"/>
        <v>560</v>
      </c>
      <c r="D105" s="62">
        <f t="shared" si="14"/>
        <v>18.869834069392148</v>
      </c>
      <c r="E105">
        <f t="shared" si="15"/>
        <v>1.63</v>
      </c>
      <c r="H105">
        <f t="shared" si="16"/>
        <v>20.500000000000014</v>
      </c>
      <c r="I105" s="63">
        <f t="shared" si="17"/>
        <v>-1.6301659306078662</v>
      </c>
      <c r="K105" s="44">
        <f t="shared" si="18"/>
        <v>18</v>
      </c>
      <c r="L105">
        <f t="shared" si="19"/>
        <v>2.5</v>
      </c>
      <c r="M105">
        <f t="shared" si="20"/>
        <v>20.500000000000014</v>
      </c>
      <c r="N105" s="44">
        <f t="shared" si="21"/>
        <v>-2.5000000000000142</v>
      </c>
      <c r="P105" s="62">
        <f t="shared" si="22"/>
        <v>20.50286615142852</v>
      </c>
      <c r="Q105" s="64">
        <f t="shared" si="23"/>
        <v>20.500000000000014</v>
      </c>
      <c r="R105" s="65">
        <f t="shared" si="24"/>
        <v>2.866151428506214E-3</v>
      </c>
      <c r="S105">
        <f t="shared" si="25"/>
        <v>2.866151428506214E-3</v>
      </c>
      <c r="U105">
        <f t="shared" si="26"/>
        <v>18</v>
      </c>
      <c r="V105" s="44">
        <f t="shared" si="27"/>
        <v>2.5</v>
      </c>
      <c r="W105">
        <f t="shared" si="28"/>
        <v>20.500000000000014</v>
      </c>
      <c r="X105" s="44">
        <f t="shared" si="29"/>
        <v>-2.5000000000000142</v>
      </c>
    </row>
    <row r="106" spans="1:24" ht="12.75" customHeight="1" x14ac:dyDescent="0.3">
      <c r="A106">
        <f t="shared" si="30"/>
        <v>20.890000000000015</v>
      </c>
      <c r="B106" s="26">
        <f t="shared" si="12"/>
        <v>120.3154830375063</v>
      </c>
      <c r="C106" s="18">
        <f t="shared" si="13"/>
        <v>569</v>
      </c>
      <c r="D106" s="62">
        <f t="shared" si="14"/>
        <v>19.270434456232522</v>
      </c>
      <c r="E106">
        <f t="shared" si="15"/>
        <v>1.62</v>
      </c>
      <c r="H106">
        <f t="shared" si="16"/>
        <v>20.890000000000015</v>
      </c>
      <c r="I106" s="63">
        <f t="shared" si="17"/>
        <v>-1.619565543767493</v>
      </c>
      <c r="K106" s="44">
        <f t="shared" si="18"/>
        <v>19</v>
      </c>
      <c r="L106">
        <f t="shared" si="19"/>
        <v>1.89</v>
      </c>
      <c r="M106">
        <f t="shared" si="20"/>
        <v>20.890000000000015</v>
      </c>
      <c r="N106" s="44">
        <f t="shared" si="21"/>
        <v>-1.8900000000000148</v>
      </c>
      <c r="P106" s="62">
        <f t="shared" si="22"/>
        <v>20.907650710109579</v>
      </c>
      <c r="Q106" s="64">
        <f t="shared" si="23"/>
        <v>20.890000000000015</v>
      </c>
      <c r="R106" s="65">
        <f t="shared" si="24"/>
        <v>1.7650710109563761E-2</v>
      </c>
      <c r="S106">
        <f t="shared" si="25"/>
        <v>1.7650710109563761E-2</v>
      </c>
      <c r="U106">
        <f t="shared" si="26"/>
        <v>19</v>
      </c>
      <c r="V106" s="44">
        <f t="shared" si="27"/>
        <v>1.89</v>
      </c>
      <c r="W106">
        <f t="shared" si="28"/>
        <v>20.890000000000015</v>
      </c>
      <c r="X106" s="44">
        <f t="shared" si="29"/>
        <v>-1.8900000000000148</v>
      </c>
    </row>
    <row r="107" spans="1:24" ht="12.75" customHeight="1" x14ac:dyDescent="0.3">
      <c r="A107">
        <f t="shared" si="30"/>
        <v>21.280000000000015</v>
      </c>
      <c r="B107" s="26">
        <f t="shared" si="12"/>
        <v>118.19618833891469</v>
      </c>
      <c r="C107" s="18">
        <f t="shared" si="13"/>
        <v>577</v>
      </c>
      <c r="D107" s="62">
        <f t="shared" si="14"/>
        <v>19.626523688979521</v>
      </c>
      <c r="E107">
        <f t="shared" si="15"/>
        <v>1.653</v>
      </c>
      <c r="H107">
        <f t="shared" si="16"/>
        <v>21.280000000000015</v>
      </c>
      <c r="I107" s="63">
        <f t="shared" si="17"/>
        <v>-1.6534763110204942</v>
      </c>
      <c r="K107" s="44">
        <f t="shared" si="18"/>
        <v>19</v>
      </c>
      <c r="L107">
        <f t="shared" si="19"/>
        <v>2.2799999999999998</v>
      </c>
      <c r="M107">
        <f t="shared" si="20"/>
        <v>21.280000000000015</v>
      </c>
      <c r="N107" s="44">
        <f t="shared" si="21"/>
        <v>-2.2800000000000153</v>
      </c>
      <c r="P107" s="62">
        <f t="shared" si="22"/>
        <v>21.263896543913518</v>
      </c>
      <c r="Q107" s="64">
        <f t="shared" si="23"/>
        <v>21.280000000000015</v>
      </c>
      <c r="R107" s="65">
        <f t="shared" si="24"/>
        <v>-1.6103456086497658E-2</v>
      </c>
      <c r="S107">
        <f t="shared" si="25"/>
        <v>1.6103456086497658E-2</v>
      </c>
      <c r="U107">
        <f t="shared" si="26"/>
        <v>19</v>
      </c>
      <c r="V107" s="44">
        <f t="shared" si="27"/>
        <v>2.2799999999999998</v>
      </c>
      <c r="W107">
        <f t="shared" si="28"/>
        <v>21.280000000000015</v>
      </c>
      <c r="X107" s="44">
        <f t="shared" si="29"/>
        <v>-2.2800000000000153</v>
      </c>
    </row>
    <row r="108" spans="1:24" ht="12.75" customHeight="1" x14ac:dyDescent="0.3">
      <c r="A108">
        <f t="shared" si="30"/>
        <v>21.670000000000016</v>
      </c>
      <c r="B108" s="26">
        <f t="shared" si="12"/>
        <v>116.11968345973884</v>
      </c>
      <c r="C108" s="18">
        <f t="shared" si="13"/>
        <v>586</v>
      </c>
      <c r="D108" s="62">
        <f t="shared" si="14"/>
        <v>20.027124075819899</v>
      </c>
      <c r="E108">
        <f t="shared" si="15"/>
        <v>1.643</v>
      </c>
      <c r="H108">
        <f t="shared" si="16"/>
        <v>21.670000000000016</v>
      </c>
      <c r="I108" s="63">
        <f t="shared" si="17"/>
        <v>-1.6428759241801174</v>
      </c>
      <c r="K108" s="44">
        <f t="shared" si="18"/>
        <v>20</v>
      </c>
      <c r="L108">
        <f t="shared" si="19"/>
        <v>1.67</v>
      </c>
      <c r="M108">
        <f t="shared" si="20"/>
        <v>21.670000000000016</v>
      </c>
      <c r="N108" s="44">
        <f t="shared" si="21"/>
        <v>-1.6700000000000159</v>
      </c>
      <c r="P108" s="62">
        <f t="shared" si="22"/>
        <v>21.660785373769272</v>
      </c>
      <c r="Q108" s="64">
        <f t="shared" si="23"/>
        <v>21.670000000000016</v>
      </c>
      <c r="R108" s="65">
        <f t="shared" si="24"/>
        <v>-9.214626230743761E-3</v>
      </c>
      <c r="S108">
        <f t="shared" si="25"/>
        <v>9.214626230743761E-3</v>
      </c>
      <c r="U108">
        <f t="shared" si="26"/>
        <v>20</v>
      </c>
      <c r="V108" s="44">
        <f t="shared" si="27"/>
        <v>1.67</v>
      </c>
      <c r="W108">
        <f t="shared" si="28"/>
        <v>21.670000000000016</v>
      </c>
      <c r="X108" s="44">
        <f t="shared" si="29"/>
        <v>-1.6700000000000159</v>
      </c>
    </row>
    <row r="109" spans="1:24" ht="12.75" customHeight="1" x14ac:dyDescent="0.3">
      <c r="A109">
        <f t="shared" si="30"/>
        <v>22.060000000000016</v>
      </c>
      <c r="B109" s="26">
        <f t="shared" si="12"/>
        <v>114.08500184294421</v>
      </c>
      <c r="C109" s="18">
        <f t="shared" si="13"/>
        <v>595</v>
      </c>
      <c r="D109" s="62">
        <f t="shared" si="14"/>
        <v>20.427724462660272</v>
      </c>
      <c r="E109">
        <f t="shared" si="15"/>
        <v>1.6319999999999999</v>
      </c>
      <c r="H109">
        <f t="shared" si="16"/>
        <v>22.060000000000016</v>
      </c>
      <c r="I109" s="63">
        <f t="shared" si="17"/>
        <v>-1.6322755373397442</v>
      </c>
      <c r="K109" s="44">
        <f t="shared" si="18"/>
        <v>20</v>
      </c>
      <c r="L109">
        <f t="shared" si="19"/>
        <v>2.06</v>
      </c>
      <c r="M109">
        <f t="shared" si="20"/>
        <v>22.060000000000016</v>
      </c>
      <c r="N109" s="44">
        <f t="shared" si="21"/>
        <v>-2.0600000000000165</v>
      </c>
      <c r="P109" s="62">
        <f t="shared" si="22"/>
        <v>22.053679743758494</v>
      </c>
      <c r="Q109" s="64">
        <f t="shared" si="23"/>
        <v>22.060000000000016</v>
      </c>
      <c r="R109" s="65">
        <f t="shared" si="24"/>
        <v>-6.3202562415227703E-3</v>
      </c>
      <c r="S109">
        <f t="shared" si="25"/>
        <v>6.3202562415227703E-3</v>
      </c>
      <c r="U109">
        <f t="shared" si="26"/>
        <v>20</v>
      </c>
      <c r="V109" s="44">
        <f t="shared" si="27"/>
        <v>2.06</v>
      </c>
      <c r="W109">
        <f t="shared" si="28"/>
        <v>22.060000000000016</v>
      </c>
      <c r="X109" s="44">
        <f t="shared" si="29"/>
        <v>-2.0600000000000165</v>
      </c>
    </row>
    <row r="110" spans="1:24" ht="12.75" customHeight="1" x14ac:dyDescent="0.3">
      <c r="A110">
        <f t="shared" si="30"/>
        <v>22.450000000000017</v>
      </c>
      <c r="B110" s="26">
        <f t="shared" si="12"/>
        <v>112.09120096398613</v>
      </c>
      <c r="C110" s="18">
        <f t="shared" si="13"/>
        <v>604</v>
      </c>
      <c r="D110" s="62">
        <f t="shared" si="14"/>
        <v>20.82832484950065</v>
      </c>
      <c r="E110">
        <f t="shared" si="15"/>
        <v>1.6220000000000001</v>
      </c>
      <c r="H110">
        <f t="shared" si="16"/>
        <v>22.450000000000017</v>
      </c>
      <c r="I110" s="63">
        <f t="shared" si="17"/>
        <v>-1.6216751504993674</v>
      </c>
      <c r="K110" s="44">
        <f t="shared" si="18"/>
        <v>20</v>
      </c>
      <c r="L110">
        <f t="shared" si="19"/>
        <v>2.4500000000000002</v>
      </c>
      <c r="M110">
        <f t="shared" si="20"/>
        <v>22.450000000000017</v>
      </c>
      <c r="N110" s="44">
        <f t="shared" si="21"/>
        <v>-2.4500000000000171</v>
      </c>
      <c r="P110" s="62">
        <f t="shared" si="22"/>
        <v>22.442701047150138</v>
      </c>
      <c r="Q110" s="64">
        <f t="shared" si="23"/>
        <v>22.450000000000017</v>
      </c>
      <c r="R110" s="65">
        <f t="shared" si="24"/>
        <v>-7.2989528498794698E-3</v>
      </c>
      <c r="S110">
        <f t="shared" si="25"/>
        <v>7.2989528498794698E-3</v>
      </c>
      <c r="U110">
        <f t="shared" si="26"/>
        <v>20</v>
      </c>
      <c r="V110" s="44">
        <f t="shared" si="27"/>
        <v>2.4500000000000002</v>
      </c>
      <c r="W110">
        <f t="shared" si="28"/>
        <v>22.450000000000017</v>
      </c>
      <c r="X110" s="44">
        <f t="shared" si="29"/>
        <v>-2.4500000000000171</v>
      </c>
    </row>
    <row r="111" spans="1:24" ht="12.75" customHeight="1" x14ac:dyDescent="0.3">
      <c r="A111">
        <f t="shared" si="30"/>
        <v>22.840000000000018</v>
      </c>
      <c r="B111" s="26">
        <f t="shared" si="12"/>
        <v>110.13736168079107</v>
      </c>
      <c r="C111" s="18">
        <f t="shared" si="13"/>
        <v>613</v>
      </c>
      <c r="D111" s="62">
        <f t="shared" si="14"/>
        <v>21.228925236341023</v>
      </c>
      <c r="E111">
        <f t="shared" si="15"/>
        <v>1.611</v>
      </c>
      <c r="H111">
        <f t="shared" si="16"/>
        <v>22.840000000000018</v>
      </c>
      <c r="I111" s="63">
        <f t="shared" si="17"/>
        <v>-1.6110747636589942</v>
      </c>
      <c r="K111" s="44">
        <f t="shared" si="18"/>
        <v>21</v>
      </c>
      <c r="L111">
        <f t="shared" si="19"/>
        <v>1.84</v>
      </c>
      <c r="M111">
        <f t="shared" si="20"/>
        <v>22.840000000000018</v>
      </c>
      <c r="N111" s="44">
        <f t="shared" si="21"/>
        <v>-1.8400000000000176</v>
      </c>
      <c r="P111" s="62">
        <f t="shared" si="22"/>
        <v>22.82796557041712</v>
      </c>
      <c r="Q111" s="64">
        <f t="shared" si="23"/>
        <v>22.840000000000018</v>
      </c>
      <c r="R111" s="65">
        <f t="shared" si="24"/>
        <v>-1.2034429582897133E-2</v>
      </c>
      <c r="S111">
        <f t="shared" si="25"/>
        <v>1.2034429582897133E-2</v>
      </c>
      <c r="U111">
        <f t="shared" si="26"/>
        <v>21</v>
      </c>
      <c r="V111" s="44">
        <f t="shared" si="27"/>
        <v>1.84</v>
      </c>
      <c r="W111">
        <f t="shared" si="28"/>
        <v>22.840000000000018</v>
      </c>
      <c r="X111" s="44">
        <f t="shared" si="29"/>
        <v>-1.8400000000000176</v>
      </c>
    </row>
    <row r="112" spans="1:24" ht="12.75" customHeight="1" x14ac:dyDescent="0.3">
      <c r="A112">
        <f t="shared" si="30"/>
        <v>23.230000000000018</v>
      </c>
      <c r="B112" s="26">
        <f t="shared" si="12"/>
        <v>108.2225876026876</v>
      </c>
      <c r="C112" s="18">
        <f t="shared" si="13"/>
        <v>622</v>
      </c>
      <c r="D112" s="62">
        <f t="shared" si="14"/>
        <v>21.629525623181401</v>
      </c>
      <c r="E112">
        <f t="shared" si="15"/>
        <v>1.6</v>
      </c>
      <c r="H112">
        <f t="shared" si="16"/>
        <v>23.230000000000018</v>
      </c>
      <c r="I112" s="63">
        <f t="shared" si="17"/>
        <v>-1.6004743768186174</v>
      </c>
      <c r="K112" s="44">
        <f t="shared" si="18"/>
        <v>21</v>
      </c>
      <c r="L112">
        <f t="shared" si="19"/>
        <v>2.23</v>
      </c>
      <c r="M112">
        <f t="shared" si="20"/>
        <v>23.230000000000018</v>
      </c>
      <c r="N112" s="44">
        <f t="shared" si="21"/>
        <v>-2.2300000000000182</v>
      </c>
      <c r="P112" s="62">
        <f t="shared" si="22"/>
        <v>23.209584783049081</v>
      </c>
      <c r="Q112" s="64">
        <f t="shared" si="23"/>
        <v>23.230000000000018</v>
      </c>
      <c r="R112" s="65">
        <f t="shared" si="24"/>
        <v>-2.0415216950937065E-2</v>
      </c>
      <c r="S112">
        <f t="shared" si="25"/>
        <v>2.0415216950937065E-2</v>
      </c>
      <c r="U112">
        <f t="shared" si="26"/>
        <v>21</v>
      </c>
      <c r="V112" s="44">
        <f t="shared" si="27"/>
        <v>2.23</v>
      </c>
      <c r="W112">
        <f t="shared" si="28"/>
        <v>23.230000000000018</v>
      </c>
      <c r="X112" s="44">
        <f t="shared" si="29"/>
        <v>-2.2300000000000182</v>
      </c>
    </row>
    <row r="113" spans="1:24" ht="12.75" customHeight="1" x14ac:dyDescent="0.3">
      <c r="A113">
        <f t="shared" si="30"/>
        <v>23.620000000000019</v>
      </c>
      <c r="B113" s="26">
        <f t="shared" si="12"/>
        <v>106.34600447770295</v>
      </c>
      <c r="C113" s="18">
        <f t="shared" si="13"/>
        <v>632</v>
      </c>
      <c r="D113" s="62">
        <f t="shared" si="14"/>
        <v>22.074637164115149</v>
      </c>
      <c r="E113">
        <f t="shared" si="15"/>
        <v>1.5449999999999999</v>
      </c>
      <c r="H113">
        <f t="shared" si="16"/>
        <v>23.620000000000019</v>
      </c>
      <c r="I113" s="63">
        <f t="shared" si="17"/>
        <v>-1.5453628358848697</v>
      </c>
      <c r="K113" s="44">
        <f t="shared" si="18"/>
        <v>22</v>
      </c>
      <c r="L113">
        <f t="shared" si="19"/>
        <v>1.62</v>
      </c>
      <c r="M113">
        <f t="shared" si="20"/>
        <v>23.620000000000019</v>
      </c>
      <c r="N113" s="44">
        <f t="shared" si="21"/>
        <v>-1.6200000000000188</v>
      </c>
      <c r="P113" s="62">
        <f t="shared" si="22"/>
        <v>23.629460666361354</v>
      </c>
      <c r="Q113" s="64">
        <f t="shared" si="23"/>
        <v>23.620000000000019</v>
      </c>
      <c r="R113" s="65">
        <f t="shared" si="24"/>
        <v>9.4606663613348019E-3</v>
      </c>
      <c r="S113">
        <f t="shared" si="25"/>
        <v>9.4606663613348019E-3</v>
      </c>
      <c r="U113">
        <f t="shared" si="26"/>
        <v>22</v>
      </c>
      <c r="V113" s="44">
        <f t="shared" si="27"/>
        <v>1.62</v>
      </c>
      <c r="W113">
        <f t="shared" si="28"/>
        <v>23.620000000000019</v>
      </c>
      <c r="X113" s="44">
        <f t="shared" si="29"/>
        <v>-1.6200000000000188</v>
      </c>
    </row>
    <row r="114" spans="1:24" ht="12.75" customHeight="1" x14ac:dyDescent="0.3">
      <c r="A114">
        <f t="shared" si="30"/>
        <v>24.010000000000019</v>
      </c>
      <c r="B114" s="26">
        <f t="shared" si="12"/>
        <v>104.50675959764777</v>
      </c>
      <c r="C114" s="18">
        <f t="shared" si="13"/>
        <v>641</v>
      </c>
      <c r="D114" s="62">
        <f t="shared" si="14"/>
        <v>22.475237550955526</v>
      </c>
      <c r="E114">
        <f t="shared" si="15"/>
        <v>1.5349999999999999</v>
      </c>
      <c r="H114">
        <f t="shared" si="16"/>
        <v>24.010000000000019</v>
      </c>
      <c r="I114" s="63">
        <f t="shared" si="17"/>
        <v>-1.5347624490444929</v>
      </c>
      <c r="K114" s="44">
        <f t="shared" si="18"/>
        <v>22</v>
      </c>
      <c r="L114">
        <f t="shared" si="19"/>
        <v>2.0099999999999998</v>
      </c>
      <c r="M114">
        <f t="shared" si="20"/>
        <v>24.010000000000019</v>
      </c>
      <c r="N114" s="44">
        <f t="shared" si="21"/>
        <v>-2.0100000000000193</v>
      </c>
      <c r="P114" s="62">
        <f t="shared" si="22"/>
        <v>24.003730131831162</v>
      </c>
      <c r="Q114" s="64">
        <f t="shared" si="23"/>
        <v>24.010000000000019</v>
      </c>
      <c r="R114" s="65">
        <f t="shared" si="24"/>
        <v>-6.2698681688573288E-3</v>
      </c>
      <c r="S114">
        <f t="shared" si="25"/>
        <v>6.2698681688573288E-3</v>
      </c>
      <c r="U114">
        <f t="shared" si="26"/>
        <v>22</v>
      </c>
      <c r="V114" s="44">
        <f t="shared" si="27"/>
        <v>2.0099999999999998</v>
      </c>
      <c r="W114">
        <f t="shared" si="28"/>
        <v>24.010000000000019</v>
      </c>
      <c r="X114" s="44">
        <f t="shared" si="29"/>
        <v>-2.0100000000000193</v>
      </c>
    </row>
    <row r="115" spans="1:24" ht="12.75" customHeight="1" x14ac:dyDescent="0.3">
      <c r="A115">
        <f t="shared" si="30"/>
        <v>24.40000000000002</v>
      </c>
      <c r="B115" s="26">
        <f t="shared" si="12"/>
        <v>102.70402122043758</v>
      </c>
      <c r="C115" s="18">
        <f t="shared" si="13"/>
        <v>651</v>
      </c>
      <c r="D115" s="62">
        <f t="shared" si="14"/>
        <v>22.920349091889275</v>
      </c>
      <c r="E115">
        <f t="shared" si="15"/>
        <v>1.48</v>
      </c>
      <c r="H115">
        <f t="shared" si="16"/>
        <v>24.40000000000002</v>
      </c>
      <c r="I115" s="63">
        <f t="shared" si="17"/>
        <v>-1.4796509081107452</v>
      </c>
      <c r="K115" s="44">
        <f t="shared" si="18"/>
        <v>22</v>
      </c>
      <c r="L115">
        <f t="shared" si="19"/>
        <v>2.4</v>
      </c>
      <c r="M115">
        <f t="shared" si="20"/>
        <v>24.40000000000002</v>
      </c>
      <c r="N115" s="44">
        <f t="shared" si="21"/>
        <v>-2.4000000000000199</v>
      </c>
      <c r="P115" s="62">
        <f t="shared" si="22"/>
        <v>24.415687785872478</v>
      </c>
      <c r="Q115" s="64">
        <f t="shared" si="23"/>
        <v>24.40000000000002</v>
      </c>
      <c r="R115" s="65">
        <f t="shared" si="24"/>
        <v>1.5687785872458448E-2</v>
      </c>
      <c r="S115">
        <f t="shared" si="25"/>
        <v>1.5687785872458448E-2</v>
      </c>
      <c r="U115">
        <f t="shared" si="26"/>
        <v>22</v>
      </c>
      <c r="V115" s="44">
        <f t="shared" si="27"/>
        <v>2.4</v>
      </c>
      <c r="W115">
        <f t="shared" si="28"/>
        <v>24.40000000000002</v>
      </c>
      <c r="X115" s="44">
        <f t="shared" si="29"/>
        <v>-2.4000000000000199</v>
      </c>
    </row>
    <row r="116" spans="1:24" ht="12.75" customHeight="1" x14ac:dyDescent="0.3">
      <c r="A116">
        <f t="shared" si="30"/>
        <v>24.79000000000002</v>
      </c>
      <c r="B116" s="26">
        <f t="shared" si="12"/>
        <v>100.93697800911875</v>
      </c>
      <c r="C116" s="18">
        <f t="shared" si="13"/>
        <v>660</v>
      </c>
      <c r="D116" s="62">
        <f t="shared" si="14"/>
        <v>23.320949478729652</v>
      </c>
      <c r="E116">
        <f t="shared" si="15"/>
        <v>1.4690000000000001</v>
      </c>
      <c r="H116">
        <f t="shared" si="16"/>
        <v>24.79000000000002</v>
      </c>
      <c r="I116" s="63">
        <f t="shared" si="17"/>
        <v>-1.4690505212703684</v>
      </c>
      <c r="K116" s="44">
        <f t="shared" si="18"/>
        <v>23</v>
      </c>
      <c r="L116">
        <f t="shared" si="19"/>
        <v>1.79</v>
      </c>
      <c r="M116">
        <f t="shared" si="20"/>
        <v>24.79000000000002</v>
      </c>
      <c r="N116" s="44">
        <f t="shared" si="21"/>
        <v>-1.7900000000000205</v>
      </c>
      <c r="P116" s="62">
        <f t="shared" si="22"/>
        <v>24.783045103450775</v>
      </c>
      <c r="Q116" s="64">
        <f t="shared" si="23"/>
        <v>24.79000000000002</v>
      </c>
      <c r="R116" s="65">
        <f t="shared" si="24"/>
        <v>-6.9548965492458592E-3</v>
      </c>
      <c r="S116">
        <f t="shared" si="25"/>
        <v>6.9548965492458592E-3</v>
      </c>
      <c r="U116">
        <f t="shared" si="26"/>
        <v>23</v>
      </c>
      <c r="V116" s="44">
        <f t="shared" si="27"/>
        <v>1.79</v>
      </c>
      <c r="W116">
        <f t="shared" si="28"/>
        <v>24.79000000000002</v>
      </c>
      <c r="X116" s="44">
        <f t="shared" si="29"/>
        <v>-1.7900000000000205</v>
      </c>
    </row>
    <row r="117" spans="1:24" ht="12.75" customHeight="1" x14ac:dyDescent="0.3">
      <c r="A117">
        <f t="shared" si="30"/>
        <v>25.180000000000021</v>
      </c>
      <c r="B117" s="26">
        <f t="shared" si="12"/>
        <v>99.204838487076302</v>
      </c>
      <c r="C117" s="18">
        <f t="shared" si="13"/>
        <v>670</v>
      </c>
      <c r="D117" s="62">
        <f t="shared" si="14"/>
        <v>23.7660610196634</v>
      </c>
      <c r="E117">
        <f t="shared" si="15"/>
        <v>1.4139999999999999</v>
      </c>
      <c r="H117">
        <f t="shared" si="16"/>
        <v>25.180000000000021</v>
      </c>
      <c r="I117" s="63">
        <f t="shared" si="17"/>
        <v>-1.4139389803366207</v>
      </c>
      <c r="K117" s="44">
        <f t="shared" si="18"/>
        <v>23</v>
      </c>
      <c r="L117">
        <f t="shared" si="19"/>
        <v>2.1800000000000002</v>
      </c>
      <c r="M117">
        <f t="shared" si="20"/>
        <v>25.180000000000021</v>
      </c>
      <c r="N117" s="44">
        <f t="shared" si="21"/>
        <v>-2.180000000000021</v>
      </c>
      <c r="P117" s="62">
        <f t="shared" si="22"/>
        <v>25.187550792255252</v>
      </c>
      <c r="Q117" s="64">
        <f t="shared" si="23"/>
        <v>25.180000000000021</v>
      </c>
      <c r="R117" s="65">
        <f t="shared" si="24"/>
        <v>7.5507922552304763E-3</v>
      </c>
      <c r="S117">
        <f t="shared" si="25"/>
        <v>7.5507922552304763E-3</v>
      </c>
      <c r="U117">
        <f t="shared" si="26"/>
        <v>23</v>
      </c>
      <c r="V117" s="44">
        <f t="shared" si="27"/>
        <v>2.1800000000000002</v>
      </c>
      <c r="W117">
        <f t="shared" si="28"/>
        <v>25.180000000000021</v>
      </c>
      <c r="X117" s="44">
        <f t="shared" si="29"/>
        <v>-2.180000000000021</v>
      </c>
    </row>
    <row r="118" spans="1:24" ht="12.75" customHeight="1" x14ac:dyDescent="0.3">
      <c r="A118">
        <f t="shared" si="30"/>
        <v>25.570000000000022</v>
      </c>
      <c r="B118" s="26">
        <f t="shared" si="12"/>
        <v>97.506830508930619</v>
      </c>
      <c r="C118" s="18">
        <f t="shared" si="13"/>
        <v>680</v>
      </c>
      <c r="D118" s="62">
        <f t="shared" si="14"/>
        <v>24.211172560597152</v>
      </c>
      <c r="E118">
        <f t="shared" si="15"/>
        <v>1.359</v>
      </c>
      <c r="H118">
        <f t="shared" si="16"/>
        <v>25.570000000000022</v>
      </c>
      <c r="I118" s="63">
        <f t="shared" si="17"/>
        <v>-1.3588274394028694</v>
      </c>
      <c r="K118" s="44">
        <f t="shared" si="18"/>
        <v>24</v>
      </c>
      <c r="L118">
        <f t="shared" si="19"/>
        <v>1.57</v>
      </c>
      <c r="M118">
        <f t="shared" si="20"/>
        <v>25.570000000000022</v>
      </c>
      <c r="N118" s="44">
        <f t="shared" si="21"/>
        <v>-1.5700000000000216</v>
      </c>
      <c r="P118" s="62">
        <f t="shared" si="22"/>
        <v>25.588309108503438</v>
      </c>
      <c r="Q118" s="64">
        <f t="shared" si="23"/>
        <v>25.570000000000022</v>
      </c>
      <c r="R118" s="65">
        <f t="shared" si="24"/>
        <v>1.8309108503416383E-2</v>
      </c>
      <c r="S118">
        <f t="shared" si="25"/>
        <v>1.8309108503416383E-2</v>
      </c>
      <c r="U118">
        <f t="shared" si="26"/>
        <v>24</v>
      </c>
      <c r="V118" s="44">
        <f t="shared" si="27"/>
        <v>1.57</v>
      </c>
      <c r="W118">
        <f t="shared" si="28"/>
        <v>25.570000000000022</v>
      </c>
      <c r="X118" s="44">
        <f t="shared" si="29"/>
        <v>-1.5700000000000216</v>
      </c>
    </row>
    <row r="119" spans="1:24" ht="12.75" customHeight="1" x14ac:dyDescent="0.3">
      <c r="A119">
        <f t="shared" si="30"/>
        <v>25.960000000000022</v>
      </c>
      <c r="B119" s="26">
        <f t="shared" si="12"/>
        <v>95.842200746635655</v>
      </c>
      <c r="C119" s="18">
        <f t="shared" si="13"/>
        <v>689</v>
      </c>
      <c r="D119" s="62">
        <f t="shared" si="14"/>
        <v>24.611772947437526</v>
      </c>
      <c r="E119">
        <f t="shared" si="15"/>
        <v>1.3480000000000001</v>
      </c>
      <c r="H119">
        <f t="shared" si="16"/>
        <v>25.960000000000022</v>
      </c>
      <c r="I119" s="63">
        <f t="shared" si="17"/>
        <v>-1.3482270525624962</v>
      </c>
      <c r="K119" s="44">
        <f t="shared" si="18"/>
        <v>24</v>
      </c>
      <c r="L119">
        <f t="shared" si="19"/>
        <v>1.96</v>
      </c>
      <c r="M119">
        <f t="shared" si="20"/>
        <v>25.960000000000022</v>
      </c>
      <c r="N119" s="44">
        <f t="shared" si="21"/>
        <v>-1.9600000000000222</v>
      </c>
      <c r="P119" s="62">
        <f t="shared" si="22"/>
        <v>25.945881934410693</v>
      </c>
      <c r="Q119" s="64">
        <f t="shared" si="23"/>
        <v>25.960000000000022</v>
      </c>
      <c r="R119" s="65">
        <f t="shared" si="24"/>
        <v>-1.4118065589329376E-2</v>
      </c>
      <c r="S119">
        <f t="shared" si="25"/>
        <v>1.4118065589329376E-2</v>
      </c>
      <c r="U119">
        <f t="shared" si="26"/>
        <v>24</v>
      </c>
      <c r="V119" s="44">
        <f t="shared" si="27"/>
        <v>1.96</v>
      </c>
      <c r="W119">
        <f t="shared" si="28"/>
        <v>25.960000000000022</v>
      </c>
      <c r="X119" s="44">
        <f t="shared" si="29"/>
        <v>-1.9600000000000222</v>
      </c>
    </row>
    <row r="120" spans="1:24" ht="12.75" customHeight="1" x14ac:dyDescent="0.3">
      <c r="A120">
        <f t="shared" si="30"/>
        <v>26.350000000000023</v>
      </c>
      <c r="B120" s="26">
        <f t="shared" si="12"/>
        <v>94.210214190308662</v>
      </c>
      <c r="C120" s="18">
        <f t="shared" si="13"/>
        <v>699</v>
      </c>
      <c r="D120" s="62">
        <f t="shared" si="14"/>
        <v>25.056884488371278</v>
      </c>
      <c r="E120">
        <f t="shared" si="15"/>
        <v>1.2929999999999999</v>
      </c>
      <c r="H120">
        <f t="shared" si="16"/>
        <v>26.350000000000023</v>
      </c>
      <c r="I120" s="63">
        <f t="shared" si="17"/>
        <v>-1.2931155116287449</v>
      </c>
      <c r="K120" s="44">
        <f t="shared" si="18"/>
        <v>25</v>
      </c>
      <c r="L120">
        <f t="shared" si="19"/>
        <v>1.35</v>
      </c>
      <c r="M120">
        <f t="shared" si="20"/>
        <v>26.350000000000023</v>
      </c>
      <c r="N120" s="44">
        <f t="shared" si="21"/>
        <v>-1.3500000000000227</v>
      </c>
      <c r="P120" s="62">
        <f t="shared" si="22"/>
        <v>26.339830572814606</v>
      </c>
      <c r="Q120" s="64">
        <f t="shared" si="23"/>
        <v>26.350000000000023</v>
      </c>
      <c r="R120" s="65">
        <f t="shared" si="24"/>
        <v>-1.0169427185417135E-2</v>
      </c>
      <c r="S120">
        <f t="shared" si="25"/>
        <v>1.0169427185417135E-2</v>
      </c>
      <c r="U120">
        <f t="shared" si="26"/>
        <v>25</v>
      </c>
      <c r="V120" s="44">
        <f t="shared" si="27"/>
        <v>1.35</v>
      </c>
      <c r="W120">
        <f t="shared" si="28"/>
        <v>26.350000000000023</v>
      </c>
      <c r="X120" s="44">
        <f t="shared" si="29"/>
        <v>-1.3500000000000227</v>
      </c>
    </row>
    <row r="121" spans="1:24" ht="12.75" customHeight="1" x14ac:dyDescent="0.3">
      <c r="A121">
        <f t="shared" si="30"/>
        <v>26.740000000000023</v>
      </c>
      <c r="B121" s="26">
        <f t="shared" si="12"/>
        <v>92.610153663345613</v>
      </c>
      <c r="C121" s="18">
        <f t="shared" si="13"/>
        <v>709</v>
      </c>
      <c r="D121" s="62">
        <f t="shared" si="14"/>
        <v>25.50199602930503</v>
      </c>
      <c r="E121">
        <f t="shared" si="15"/>
        <v>1.238</v>
      </c>
      <c r="H121">
        <f t="shared" si="16"/>
        <v>26.740000000000023</v>
      </c>
      <c r="I121" s="63">
        <f t="shared" si="17"/>
        <v>-1.2380039706949937</v>
      </c>
      <c r="K121" s="44">
        <f t="shared" si="18"/>
        <v>25</v>
      </c>
      <c r="L121">
        <f t="shared" si="19"/>
        <v>1.74</v>
      </c>
      <c r="M121">
        <f t="shared" si="20"/>
        <v>26.740000000000023</v>
      </c>
      <c r="N121" s="44">
        <f t="shared" si="21"/>
        <v>-1.7400000000000233</v>
      </c>
      <c r="P121" s="62">
        <f t="shared" si="22"/>
        <v>26.730349996709549</v>
      </c>
      <c r="Q121" s="64">
        <f t="shared" si="23"/>
        <v>26.740000000000023</v>
      </c>
      <c r="R121" s="65">
        <f t="shared" si="24"/>
        <v>-9.6500032904742739E-3</v>
      </c>
      <c r="S121">
        <f t="shared" si="25"/>
        <v>9.6500032904742739E-3</v>
      </c>
      <c r="U121">
        <f t="shared" si="26"/>
        <v>25</v>
      </c>
      <c r="V121" s="44">
        <f t="shared" si="27"/>
        <v>1.74</v>
      </c>
      <c r="W121">
        <f t="shared" si="28"/>
        <v>26.740000000000023</v>
      </c>
      <c r="X121" s="44">
        <f t="shared" si="29"/>
        <v>-1.7400000000000233</v>
      </c>
    </row>
    <row r="122" spans="1:24" ht="12.75" customHeight="1" x14ac:dyDescent="0.3">
      <c r="A122">
        <f t="shared" si="30"/>
        <v>27.130000000000024</v>
      </c>
      <c r="B122" s="26">
        <f t="shared" si="12"/>
        <v>91.0413193513793</v>
      </c>
      <c r="C122" s="18">
        <f t="shared" si="13"/>
        <v>719</v>
      </c>
      <c r="D122" s="62">
        <f t="shared" si="14"/>
        <v>25.947107570238778</v>
      </c>
      <c r="E122">
        <f t="shared" si="15"/>
        <v>1.1830000000000001</v>
      </c>
      <c r="H122">
        <f t="shared" si="16"/>
        <v>27.130000000000024</v>
      </c>
      <c r="I122" s="63">
        <f t="shared" si="17"/>
        <v>-1.182892429761246</v>
      </c>
      <c r="K122" s="44">
        <f t="shared" si="18"/>
        <v>25</v>
      </c>
      <c r="L122">
        <f t="shared" si="19"/>
        <v>2.13</v>
      </c>
      <c r="M122">
        <f t="shared" si="20"/>
        <v>27.130000000000024</v>
      </c>
      <c r="N122" s="44">
        <f t="shared" si="21"/>
        <v>-2.1300000000000239</v>
      </c>
      <c r="P122" s="62">
        <f t="shared" si="22"/>
        <v>27.117541510244337</v>
      </c>
      <c r="Q122" s="64">
        <f t="shared" si="23"/>
        <v>27.130000000000024</v>
      </c>
      <c r="R122" s="65">
        <f t="shared" si="24"/>
        <v>-1.2458489755687197E-2</v>
      </c>
      <c r="S122">
        <f t="shared" si="25"/>
        <v>1.2458489755687197E-2</v>
      </c>
      <c r="U122">
        <f t="shared" si="26"/>
        <v>25</v>
      </c>
      <c r="V122" s="44">
        <f t="shared" si="27"/>
        <v>2.13</v>
      </c>
      <c r="W122">
        <f t="shared" si="28"/>
        <v>27.130000000000024</v>
      </c>
      <c r="X122" s="44">
        <f t="shared" si="29"/>
        <v>-2.1300000000000239</v>
      </c>
    </row>
    <row r="123" spans="1:24" ht="12.75" customHeight="1" x14ac:dyDescent="0.3">
      <c r="A123">
        <f t="shared" si="30"/>
        <v>27.520000000000024</v>
      </c>
      <c r="B123" s="26">
        <f t="shared" si="12"/>
        <v>89.503028344658034</v>
      </c>
      <c r="C123" s="18">
        <f t="shared" si="13"/>
        <v>729</v>
      </c>
      <c r="D123" s="62">
        <f t="shared" si="14"/>
        <v>26.39221911117253</v>
      </c>
      <c r="E123">
        <f t="shared" si="15"/>
        <v>1.1279999999999999</v>
      </c>
      <c r="H123">
        <f t="shared" si="16"/>
        <v>27.520000000000024</v>
      </c>
      <c r="I123" s="63">
        <f t="shared" si="17"/>
        <v>-1.1277808888274947</v>
      </c>
      <c r="K123" s="44">
        <f t="shared" si="18"/>
        <v>26</v>
      </c>
      <c r="L123">
        <f t="shared" si="19"/>
        <v>1.52</v>
      </c>
      <c r="M123">
        <f t="shared" si="20"/>
        <v>27.520000000000024</v>
      </c>
      <c r="N123" s="44">
        <f t="shared" si="21"/>
        <v>-1.5200000000000244</v>
      </c>
      <c r="P123" s="62">
        <f t="shared" si="22"/>
        <v>27.501502485965432</v>
      </c>
      <c r="Q123" s="64">
        <f t="shared" si="23"/>
        <v>27.520000000000024</v>
      </c>
      <c r="R123" s="65">
        <f t="shared" si="24"/>
        <v>-1.8497514034592655E-2</v>
      </c>
      <c r="S123">
        <f t="shared" si="25"/>
        <v>1.8497514034592655E-2</v>
      </c>
      <c r="U123">
        <f t="shared" si="26"/>
        <v>26</v>
      </c>
      <c r="V123" s="44">
        <f t="shared" si="27"/>
        <v>1.52</v>
      </c>
      <c r="W123">
        <f t="shared" si="28"/>
        <v>27.520000000000024</v>
      </c>
      <c r="X123" s="44">
        <f t="shared" si="29"/>
        <v>-1.5200000000000244</v>
      </c>
    </row>
    <row r="124" spans="1:24" ht="12.75" customHeight="1" x14ac:dyDescent="0.3">
      <c r="A124">
        <f t="shared" si="30"/>
        <v>27.910000000000025</v>
      </c>
      <c r="B124" s="26">
        <f t="shared" si="12"/>
        <v>87.994614193437712</v>
      </c>
      <c r="C124" s="18">
        <f t="shared" si="13"/>
        <v>740</v>
      </c>
      <c r="D124" s="62">
        <f t="shared" si="14"/>
        <v>26.881841806199652</v>
      </c>
      <c r="E124">
        <f t="shared" si="15"/>
        <v>1.028</v>
      </c>
      <c r="H124">
        <f t="shared" si="16"/>
        <v>27.910000000000025</v>
      </c>
      <c r="I124" s="63">
        <f t="shared" si="17"/>
        <v>-1.0281581938003725</v>
      </c>
      <c r="K124" s="44">
        <f t="shared" si="18"/>
        <v>26</v>
      </c>
      <c r="L124">
        <f t="shared" si="19"/>
        <v>1.91</v>
      </c>
      <c r="M124">
        <f t="shared" si="20"/>
        <v>27.910000000000025</v>
      </c>
      <c r="N124" s="44">
        <f t="shared" si="21"/>
        <v>-1.910000000000025</v>
      </c>
      <c r="P124" s="62">
        <f t="shared" si="22"/>
        <v>27.920239953392922</v>
      </c>
      <c r="Q124" s="64">
        <f t="shared" si="23"/>
        <v>27.910000000000025</v>
      </c>
      <c r="R124" s="65">
        <f t="shared" si="24"/>
        <v>1.0239953392897405E-2</v>
      </c>
      <c r="S124">
        <f t="shared" si="25"/>
        <v>1.0239953392897405E-2</v>
      </c>
      <c r="U124">
        <f t="shared" si="26"/>
        <v>26</v>
      </c>
      <c r="V124" s="44">
        <f t="shared" si="27"/>
        <v>1.91</v>
      </c>
      <c r="W124">
        <f t="shared" si="28"/>
        <v>27.910000000000025</v>
      </c>
      <c r="X124" s="44">
        <f t="shared" si="29"/>
        <v>-1.910000000000025</v>
      </c>
    </row>
    <row r="125" spans="1:24" ht="12.75" customHeight="1" x14ac:dyDescent="0.3">
      <c r="A125">
        <f t="shared" si="30"/>
        <v>28.300000000000026</v>
      </c>
      <c r="B125" s="26">
        <f t="shared" si="12"/>
        <v>86.515426475987496</v>
      </c>
      <c r="C125" s="18">
        <f t="shared" si="13"/>
        <v>750</v>
      </c>
      <c r="D125" s="62">
        <f t="shared" si="14"/>
        <v>27.326953347133404</v>
      </c>
      <c r="E125">
        <f t="shared" si="15"/>
        <v>0.97299999999999998</v>
      </c>
      <c r="H125">
        <f t="shared" si="16"/>
        <v>28.300000000000026</v>
      </c>
      <c r="I125" s="63">
        <f t="shared" si="17"/>
        <v>-0.97304665286662129</v>
      </c>
      <c r="K125" s="44">
        <f t="shared" si="18"/>
        <v>27</v>
      </c>
      <c r="L125">
        <f t="shared" si="19"/>
        <v>1.3</v>
      </c>
      <c r="M125">
        <f t="shared" si="20"/>
        <v>28.300000000000026</v>
      </c>
      <c r="N125" s="44">
        <f t="shared" si="21"/>
        <v>-1.3000000000000256</v>
      </c>
      <c r="P125" s="62">
        <f t="shared" si="22"/>
        <v>28.297717427514272</v>
      </c>
      <c r="Q125" s="64">
        <f t="shared" si="23"/>
        <v>28.300000000000026</v>
      </c>
      <c r="R125" s="65">
        <f t="shared" si="24"/>
        <v>-2.2825724857540308E-3</v>
      </c>
      <c r="S125">
        <f t="shared" si="25"/>
        <v>2.2825724857540308E-3</v>
      </c>
      <c r="U125">
        <f t="shared" si="26"/>
        <v>27</v>
      </c>
      <c r="V125" s="44">
        <f t="shared" si="27"/>
        <v>1.3</v>
      </c>
      <c r="W125">
        <f t="shared" si="28"/>
        <v>28.300000000000026</v>
      </c>
      <c r="X125" s="44">
        <f t="shared" si="29"/>
        <v>-1.3000000000000256</v>
      </c>
    </row>
    <row r="126" spans="1:24" ht="12.75" customHeight="1" x14ac:dyDescent="0.3">
      <c r="A126">
        <f t="shared" si="30"/>
        <v>28.690000000000026</v>
      </c>
      <c r="B126" s="26">
        <f t="shared" si="12"/>
        <v>85.0648303788291</v>
      </c>
      <c r="C126" s="18">
        <f t="shared" si="13"/>
        <v>760</v>
      </c>
      <c r="D126" s="62">
        <f t="shared" si="14"/>
        <v>27.772064888067156</v>
      </c>
      <c r="E126">
        <f t="shared" si="15"/>
        <v>0.91800000000000004</v>
      </c>
      <c r="H126">
        <f t="shared" si="16"/>
        <v>28.690000000000026</v>
      </c>
      <c r="I126" s="63">
        <f t="shared" si="17"/>
        <v>-0.91793511193287003</v>
      </c>
      <c r="K126" s="44">
        <f t="shared" si="18"/>
        <v>27</v>
      </c>
      <c r="L126">
        <f t="shared" si="19"/>
        <v>1.69</v>
      </c>
      <c r="M126">
        <f t="shared" si="20"/>
        <v>28.690000000000026</v>
      </c>
      <c r="N126" s="44">
        <f t="shared" si="21"/>
        <v>-1.6900000000000261</v>
      </c>
      <c r="P126" s="62">
        <f t="shared" si="22"/>
        <v>28.672243417857828</v>
      </c>
      <c r="Q126" s="64">
        <f t="shared" si="23"/>
        <v>28.690000000000026</v>
      </c>
      <c r="R126" s="65">
        <f t="shared" si="24"/>
        <v>-1.7756582142197885E-2</v>
      </c>
      <c r="S126">
        <f t="shared" si="25"/>
        <v>1.7756582142197885E-2</v>
      </c>
      <c r="U126">
        <f t="shared" si="26"/>
        <v>27</v>
      </c>
      <c r="V126" s="44">
        <f t="shared" si="27"/>
        <v>1.69</v>
      </c>
      <c r="W126">
        <f t="shared" si="28"/>
        <v>28.690000000000026</v>
      </c>
      <c r="X126" s="44">
        <f t="shared" si="29"/>
        <v>-1.6900000000000261</v>
      </c>
    </row>
    <row r="127" spans="1:24" ht="12.75" customHeight="1" x14ac:dyDescent="0.3">
      <c r="A127">
        <f t="shared" si="30"/>
        <v>29.080000000000027</v>
      </c>
      <c r="B127" s="26">
        <f t="shared" si="12"/>
        <v>83.642206288836718</v>
      </c>
      <c r="C127" s="18">
        <f t="shared" si="13"/>
        <v>771</v>
      </c>
      <c r="D127" s="62">
        <f t="shared" si="14"/>
        <v>28.261687583094279</v>
      </c>
      <c r="E127">
        <f t="shared" si="15"/>
        <v>0.81799999999999995</v>
      </c>
      <c r="H127">
        <f t="shared" si="16"/>
        <v>29.080000000000027</v>
      </c>
      <c r="I127" s="63">
        <f t="shared" si="17"/>
        <v>-0.81831241690574785</v>
      </c>
      <c r="K127" s="44">
        <f t="shared" si="18"/>
        <v>28</v>
      </c>
      <c r="L127">
        <f t="shared" si="19"/>
        <v>1.08</v>
      </c>
      <c r="M127">
        <f t="shared" si="20"/>
        <v>29.080000000000027</v>
      </c>
      <c r="N127" s="44">
        <f t="shared" si="21"/>
        <v>-1.0800000000000267</v>
      </c>
      <c r="P127" s="62">
        <f t="shared" si="22"/>
        <v>29.080912370283556</v>
      </c>
      <c r="Q127" s="64">
        <f t="shared" si="23"/>
        <v>29.080000000000027</v>
      </c>
      <c r="R127" s="65">
        <f t="shared" si="24"/>
        <v>9.1237028352963989E-4</v>
      </c>
      <c r="S127">
        <f t="shared" si="25"/>
        <v>9.1237028352963989E-4</v>
      </c>
      <c r="U127">
        <f t="shared" si="26"/>
        <v>28</v>
      </c>
      <c r="V127" s="44">
        <f t="shared" si="27"/>
        <v>1.08</v>
      </c>
      <c r="W127">
        <f t="shared" si="28"/>
        <v>29.080000000000027</v>
      </c>
      <c r="X127" s="44">
        <f t="shared" si="29"/>
        <v>-1.0800000000000267</v>
      </c>
    </row>
    <row r="128" spans="1:24" ht="12.75" customHeight="1" x14ac:dyDescent="0.3">
      <c r="A128">
        <f t="shared" si="30"/>
        <v>29.470000000000027</v>
      </c>
      <c r="B128" s="26">
        <f t="shared" si="12"/>
        <v>82.246949396838446</v>
      </c>
      <c r="C128" s="18">
        <f t="shared" si="13"/>
        <v>782</v>
      </c>
      <c r="D128" s="62">
        <f t="shared" si="14"/>
        <v>28.751310278121409</v>
      </c>
      <c r="E128">
        <f t="shared" si="15"/>
        <v>0.71899999999999997</v>
      </c>
      <c r="H128">
        <f t="shared" si="16"/>
        <v>29.470000000000027</v>
      </c>
      <c r="I128" s="63">
        <f t="shared" si="17"/>
        <v>-0.71868972187861857</v>
      </c>
      <c r="K128" s="44">
        <f t="shared" si="18"/>
        <v>28</v>
      </c>
      <c r="L128">
        <f t="shared" si="19"/>
        <v>1.47</v>
      </c>
      <c r="M128">
        <f t="shared" si="20"/>
        <v>29.470000000000027</v>
      </c>
      <c r="N128" s="44">
        <f t="shared" si="21"/>
        <v>-1.4700000000000273</v>
      </c>
      <c r="P128" s="62">
        <f t="shared" si="22"/>
        <v>29.486217448533978</v>
      </c>
      <c r="Q128" s="64">
        <f t="shared" si="23"/>
        <v>29.470000000000027</v>
      </c>
      <c r="R128" s="65">
        <f t="shared" si="24"/>
        <v>1.6217448533950574E-2</v>
      </c>
      <c r="S128">
        <f t="shared" si="25"/>
        <v>1.6217448533950574E-2</v>
      </c>
      <c r="U128">
        <f t="shared" si="26"/>
        <v>28</v>
      </c>
      <c r="V128" s="44">
        <f t="shared" si="27"/>
        <v>1.47</v>
      </c>
      <c r="W128">
        <f t="shared" si="28"/>
        <v>29.470000000000027</v>
      </c>
      <c r="X128" s="44">
        <f t="shared" si="29"/>
        <v>-1.4700000000000273</v>
      </c>
    </row>
    <row r="129" spans="1:24" ht="12.75" customHeight="1" x14ac:dyDescent="0.3">
      <c r="A129">
        <f t="shared" si="30"/>
        <v>29.860000000000028</v>
      </c>
      <c r="B129" s="26">
        <f t="shared" si="12"/>
        <v>80.878469312372872</v>
      </c>
      <c r="C129" s="18">
        <f t="shared" si="13"/>
        <v>792</v>
      </c>
      <c r="D129" s="62">
        <f t="shared" si="14"/>
        <v>29.196421819055153</v>
      </c>
      <c r="E129">
        <f t="shared" si="15"/>
        <v>0.66400000000000003</v>
      </c>
      <c r="H129">
        <f t="shared" si="16"/>
        <v>29.860000000000028</v>
      </c>
      <c r="I129" s="63">
        <f t="shared" si="17"/>
        <v>-0.66357818094487442</v>
      </c>
      <c r="K129" s="44">
        <f t="shared" si="18"/>
        <v>29</v>
      </c>
      <c r="L129">
        <f t="shared" si="19"/>
        <v>0.86</v>
      </c>
      <c r="M129">
        <f t="shared" si="20"/>
        <v>29.860000000000028</v>
      </c>
      <c r="N129" s="44">
        <f t="shared" si="21"/>
        <v>-0.86000000000002785</v>
      </c>
      <c r="P129" s="62">
        <f t="shared" si="22"/>
        <v>29.851843911224023</v>
      </c>
      <c r="Q129" s="64">
        <f t="shared" si="23"/>
        <v>29.860000000000028</v>
      </c>
      <c r="R129" s="65">
        <f t="shared" si="24"/>
        <v>-8.1560887760048217E-3</v>
      </c>
      <c r="S129">
        <f t="shared" si="25"/>
        <v>8.1560887760048217E-3</v>
      </c>
      <c r="U129">
        <f t="shared" si="26"/>
        <v>29</v>
      </c>
      <c r="V129" s="44">
        <f t="shared" si="27"/>
        <v>0.86</v>
      </c>
      <c r="W129">
        <f t="shared" si="28"/>
        <v>29.860000000000028</v>
      </c>
      <c r="X129" s="44">
        <f t="shared" si="29"/>
        <v>-0.86000000000002785</v>
      </c>
    </row>
    <row r="130" spans="1:24" ht="12.75" customHeight="1" x14ac:dyDescent="0.3">
      <c r="A130">
        <f t="shared" si="30"/>
        <v>30.250000000000028</v>
      </c>
      <c r="B130" s="26">
        <f t="shared" si="12"/>
        <v>79.536189689265171</v>
      </c>
      <c r="C130" s="18">
        <f t="shared" si="13"/>
        <v>803</v>
      </c>
      <c r="D130" s="62">
        <f t="shared" si="14"/>
        <v>29.686044514082283</v>
      </c>
      <c r="E130">
        <f t="shared" si="15"/>
        <v>0.56399999999999995</v>
      </c>
      <c r="H130">
        <f t="shared" si="16"/>
        <v>30.250000000000028</v>
      </c>
      <c r="I130" s="63">
        <f t="shared" si="17"/>
        <v>-0.56395548591774514</v>
      </c>
      <c r="K130" s="44">
        <f t="shared" si="18"/>
        <v>29</v>
      </c>
      <c r="L130">
        <f t="shared" si="19"/>
        <v>1.25</v>
      </c>
      <c r="M130">
        <f t="shared" si="20"/>
        <v>30.250000000000028</v>
      </c>
      <c r="N130" s="44">
        <f t="shared" si="21"/>
        <v>-1.2500000000000284</v>
      </c>
      <c r="P130" s="62">
        <f t="shared" si="22"/>
        <v>30.251008495941676</v>
      </c>
      <c r="Q130" s="64">
        <f t="shared" si="23"/>
        <v>30.250000000000028</v>
      </c>
      <c r="R130" s="65">
        <f t="shared" si="24"/>
        <v>1.0084959416474248E-3</v>
      </c>
      <c r="S130">
        <f t="shared" si="25"/>
        <v>1.0084959416474248E-3</v>
      </c>
      <c r="U130">
        <f t="shared" si="26"/>
        <v>29</v>
      </c>
      <c r="V130" s="44">
        <f t="shared" si="27"/>
        <v>1.25</v>
      </c>
      <c r="W130">
        <f t="shared" si="28"/>
        <v>30.250000000000028</v>
      </c>
      <c r="X130" s="44">
        <f t="shared" si="29"/>
        <v>-1.2500000000000284</v>
      </c>
    </row>
    <row r="131" spans="1:24" ht="12.75" customHeight="1" x14ac:dyDescent="0.3">
      <c r="A131">
        <f t="shared" si="30"/>
        <v>30.640000000000029</v>
      </c>
      <c r="B131" s="26">
        <f t="shared" si="12"/>
        <v>78.219547861694352</v>
      </c>
      <c r="C131" s="18">
        <f t="shared" si="13"/>
        <v>814</v>
      </c>
      <c r="D131" s="62">
        <f t="shared" si="14"/>
        <v>30.175667209109406</v>
      </c>
      <c r="E131">
        <f t="shared" si="15"/>
        <v>0.46400000000000002</v>
      </c>
      <c r="H131">
        <f t="shared" si="16"/>
        <v>30.640000000000029</v>
      </c>
      <c r="I131" s="63">
        <f t="shared" si="17"/>
        <v>-0.46433279089062296</v>
      </c>
      <c r="K131" s="44">
        <f t="shared" si="18"/>
        <v>30</v>
      </c>
      <c r="L131">
        <f t="shared" si="19"/>
        <v>0.64</v>
      </c>
      <c r="M131">
        <f t="shared" si="20"/>
        <v>30.640000000000029</v>
      </c>
      <c r="N131" s="44">
        <f t="shared" si="21"/>
        <v>-0.64000000000002899</v>
      </c>
      <c r="P131" s="62">
        <f t="shared" si="22"/>
        <v>30.647096800402608</v>
      </c>
      <c r="Q131" s="64">
        <f t="shared" si="23"/>
        <v>30.640000000000029</v>
      </c>
      <c r="R131" s="65">
        <f t="shared" si="24"/>
        <v>7.0968004025786513E-3</v>
      </c>
      <c r="S131">
        <f t="shared" si="25"/>
        <v>7.0968004025786513E-3</v>
      </c>
      <c r="U131">
        <f t="shared" si="26"/>
        <v>30</v>
      </c>
      <c r="V131" s="44">
        <f t="shared" si="27"/>
        <v>0.64</v>
      </c>
      <c r="W131">
        <f t="shared" si="28"/>
        <v>30.640000000000029</v>
      </c>
      <c r="X131" s="44">
        <f t="shared" si="29"/>
        <v>-0.64000000000002899</v>
      </c>
    </row>
    <row r="132" spans="1:24" ht="12.75" customHeight="1" x14ac:dyDescent="0.3">
      <c r="A132">
        <f t="shared" si="30"/>
        <v>31.03000000000003</v>
      </c>
      <c r="B132" s="26">
        <f t="shared" si="12"/>
        <v>76.92799449044054</v>
      </c>
      <c r="C132" s="18">
        <f t="shared" si="13"/>
        <v>825</v>
      </c>
      <c r="D132" s="62">
        <f t="shared" si="14"/>
        <v>30.665289904136536</v>
      </c>
      <c r="E132">
        <f t="shared" si="15"/>
        <v>0.36499999999999999</v>
      </c>
      <c r="H132">
        <f t="shared" si="16"/>
        <v>31.03000000000003</v>
      </c>
      <c r="I132" s="63">
        <f t="shared" si="17"/>
        <v>-0.36471009586349368</v>
      </c>
      <c r="K132" s="44">
        <f t="shared" si="18"/>
        <v>30</v>
      </c>
      <c r="L132">
        <f t="shared" si="19"/>
        <v>1.03</v>
      </c>
      <c r="M132">
        <f t="shared" si="20"/>
        <v>31.03000000000003</v>
      </c>
      <c r="N132" s="44">
        <f t="shared" si="21"/>
        <v>-1.0300000000000296</v>
      </c>
      <c r="P132" s="62">
        <f t="shared" si="22"/>
        <v>31.040200524329464</v>
      </c>
      <c r="Q132" s="64">
        <f t="shared" si="23"/>
        <v>31.03000000000003</v>
      </c>
      <c r="R132" s="65">
        <f t="shared" si="24"/>
        <v>1.0200524329434302E-2</v>
      </c>
      <c r="S132">
        <f t="shared" si="25"/>
        <v>1.0200524329434302E-2</v>
      </c>
      <c r="U132">
        <f t="shared" si="26"/>
        <v>30</v>
      </c>
      <c r="V132" s="44">
        <f t="shared" si="27"/>
        <v>1.03</v>
      </c>
      <c r="W132">
        <f t="shared" si="28"/>
        <v>31.03000000000003</v>
      </c>
      <c r="X132" s="44">
        <f t="shared" si="29"/>
        <v>-1.0300000000000296</v>
      </c>
    </row>
    <row r="133" spans="1:24" ht="12.75" customHeight="1" x14ac:dyDescent="0.3">
      <c r="A133">
        <f t="shared" si="30"/>
        <v>31.42000000000003</v>
      </c>
      <c r="B133" s="26">
        <f t="shared" si="12"/>
        <v>75.660993219003444</v>
      </c>
      <c r="C133" s="18">
        <f t="shared" si="13"/>
        <v>836</v>
      </c>
      <c r="D133" s="62">
        <f t="shared" si="14"/>
        <v>31.154912599163659</v>
      </c>
      <c r="E133">
        <f t="shared" si="15"/>
        <v>0.26500000000000001</v>
      </c>
      <c r="H133">
        <f t="shared" si="16"/>
        <v>31.42000000000003</v>
      </c>
      <c r="I133" s="63">
        <f t="shared" si="17"/>
        <v>-0.2650874008363715</v>
      </c>
      <c r="K133" s="44">
        <f t="shared" si="18"/>
        <v>31</v>
      </c>
      <c r="L133">
        <f t="shared" si="19"/>
        <v>0.42</v>
      </c>
      <c r="M133">
        <f t="shared" si="20"/>
        <v>31.42000000000003</v>
      </c>
      <c r="N133" s="44">
        <f t="shared" si="21"/>
        <v>-0.42000000000003013</v>
      </c>
      <c r="P133" s="62">
        <f t="shared" si="22"/>
        <v>31.430408014988586</v>
      </c>
      <c r="Q133" s="64">
        <f t="shared" si="23"/>
        <v>31.42000000000003</v>
      </c>
      <c r="R133" s="65">
        <f t="shared" si="24"/>
        <v>1.0408014988556147E-2</v>
      </c>
      <c r="S133">
        <f t="shared" si="25"/>
        <v>1.0408014988556147E-2</v>
      </c>
      <c r="U133">
        <f t="shared" si="26"/>
        <v>31</v>
      </c>
      <c r="V133" s="44">
        <f t="shared" si="27"/>
        <v>0.42</v>
      </c>
      <c r="W133">
        <f t="shared" si="28"/>
        <v>31.42000000000003</v>
      </c>
      <c r="X133" s="44">
        <f t="shared" si="29"/>
        <v>-0.42000000000003013</v>
      </c>
    </row>
    <row r="134" spans="1:24" ht="12.75" customHeight="1" x14ac:dyDescent="0.3">
      <c r="A134">
        <f t="shared" si="30"/>
        <v>31.810000000000031</v>
      </c>
      <c r="B134" s="26">
        <f t="shared" si="12"/>
        <v>74.418020339299503</v>
      </c>
      <c r="C134" s="18">
        <f t="shared" si="13"/>
        <v>847</v>
      </c>
      <c r="D134" s="62">
        <f t="shared" si="14"/>
        <v>31.644535294190781</v>
      </c>
      <c r="E134">
        <f t="shared" si="15"/>
        <v>0.16500000000000001</v>
      </c>
      <c r="H134">
        <f t="shared" si="16"/>
        <v>31.810000000000031</v>
      </c>
      <c r="I134" s="63">
        <f t="shared" si="17"/>
        <v>-0.16546470580924932</v>
      </c>
      <c r="K134" s="44">
        <f t="shared" si="18"/>
        <v>31</v>
      </c>
      <c r="L134">
        <f t="shared" si="19"/>
        <v>0.81</v>
      </c>
      <c r="M134">
        <f t="shared" si="20"/>
        <v>31.810000000000031</v>
      </c>
      <c r="N134" s="44">
        <f t="shared" si="21"/>
        <v>-0.8100000000000307</v>
      </c>
      <c r="P134" s="62">
        <f t="shared" si="22"/>
        <v>31.817804439479858</v>
      </c>
      <c r="Q134" s="64">
        <f t="shared" si="23"/>
        <v>31.810000000000031</v>
      </c>
      <c r="R134" s="65">
        <f t="shared" si="24"/>
        <v>7.8044394798268968E-3</v>
      </c>
      <c r="S134">
        <f t="shared" si="25"/>
        <v>7.8044394798268968E-3</v>
      </c>
      <c r="U134">
        <f t="shared" si="26"/>
        <v>31</v>
      </c>
      <c r="V134" s="44">
        <f t="shared" si="27"/>
        <v>0.81</v>
      </c>
      <c r="W134">
        <f t="shared" si="28"/>
        <v>31.810000000000031</v>
      </c>
      <c r="X134" s="44">
        <f t="shared" si="29"/>
        <v>-0.8100000000000307</v>
      </c>
    </row>
    <row r="135" spans="1:24" ht="12.75" customHeight="1" x14ac:dyDescent="0.3">
      <c r="A135">
        <f t="shared" si="30"/>
        <v>32.200000000000031</v>
      </c>
      <c r="B135" s="26">
        <f t="shared" si="12"/>
        <v>73.19856446665213</v>
      </c>
      <c r="C135" s="18">
        <f t="shared" si="13"/>
        <v>858</v>
      </c>
      <c r="D135" s="62">
        <f t="shared" si="14"/>
        <v>32.134157989217911</v>
      </c>
      <c r="E135">
        <f t="shared" si="15"/>
        <v>6.6000000000000003E-2</v>
      </c>
      <c r="H135">
        <f t="shared" si="16"/>
        <v>32.200000000000031</v>
      </c>
      <c r="I135" s="63">
        <f t="shared" si="17"/>
        <v>-6.5842010782120042E-2</v>
      </c>
      <c r="K135" s="44">
        <f t="shared" si="18"/>
        <v>32</v>
      </c>
      <c r="L135">
        <f t="shared" si="19"/>
        <v>0.2</v>
      </c>
      <c r="M135">
        <f t="shared" si="20"/>
        <v>32.200000000000031</v>
      </c>
      <c r="N135" s="44">
        <f t="shared" si="21"/>
        <v>-0.20000000000003126</v>
      </c>
      <c r="P135" s="62">
        <f t="shared" si="22"/>
        <v>32.202471946207197</v>
      </c>
      <c r="Q135" s="64">
        <f t="shared" si="23"/>
        <v>32.200000000000031</v>
      </c>
      <c r="R135" s="65">
        <f t="shared" si="24"/>
        <v>2.4719462071658427E-3</v>
      </c>
      <c r="S135">
        <f t="shared" si="25"/>
        <v>2.4719462071658427E-3</v>
      </c>
      <c r="U135">
        <f t="shared" si="26"/>
        <v>32</v>
      </c>
      <c r="V135" s="44">
        <f t="shared" si="27"/>
        <v>0.2</v>
      </c>
      <c r="W135">
        <f t="shared" si="28"/>
        <v>32.200000000000031</v>
      </c>
      <c r="X135" s="44">
        <f t="shared" si="29"/>
        <v>-0.20000000000003126</v>
      </c>
    </row>
    <row r="136" spans="1:24" ht="12.75" customHeight="1" x14ac:dyDescent="0.3">
      <c r="A136">
        <f t="shared" si="30"/>
        <v>32.590000000000032</v>
      </c>
      <c r="B136" s="26">
        <f t="shared" si="12"/>
        <v>72.002126223794846</v>
      </c>
      <c r="C136" s="18">
        <f t="shared" si="13"/>
        <v>869</v>
      </c>
      <c r="D136" s="62">
        <f t="shared" si="14"/>
        <v>32.623780684245034</v>
      </c>
      <c r="E136">
        <f t="shared" si="15"/>
        <v>3.4000000000000002E-2</v>
      </c>
      <c r="H136">
        <f t="shared" si="16"/>
        <v>32.590000000000032</v>
      </c>
      <c r="I136" s="63">
        <f t="shared" si="17"/>
        <v>3.3780684245002135E-2</v>
      </c>
      <c r="K136" s="44">
        <f t="shared" si="18"/>
        <v>32</v>
      </c>
      <c r="L136">
        <f t="shared" si="19"/>
        <v>0.59</v>
      </c>
      <c r="M136">
        <f t="shared" si="20"/>
        <v>32.590000000000032</v>
      </c>
      <c r="N136" s="44">
        <f t="shared" si="21"/>
        <v>-0.59000000000003183</v>
      </c>
      <c r="P136" s="62">
        <f t="shared" si="22"/>
        <v>32.584489816339953</v>
      </c>
      <c r="Q136" s="64">
        <f t="shared" si="23"/>
        <v>32.590000000000032</v>
      </c>
      <c r="R136" s="65">
        <f t="shared" si="24"/>
        <v>-5.5101836600783827E-3</v>
      </c>
      <c r="S136">
        <f t="shared" si="25"/>
        <v>5.5101836600783827E-3</v>
      </c>
      <c r="U136">
        <f t="shared" si="26"/>
        <v>32</v>
      </c>
      <c r="V136" s="44">
        <f t="shared" si="27"/>
        <v>0.59</v>
      </c>
      <c r="W136">
        <f t="shared" si="28"/>
        <v>32.590000000000032</v>
      </c>
      <c r="X136" s="44">
        <f t="shared" si="29"/>
        <v>-0.59000000000003183</v>
      </c>
    </row>
    <row r="137" spans="1:24" ht="12.75" customHeight="1" x14ac:dyDescent="0.3">
      <c r="A137">
        <f t="shared" si="30"/>
        <v>32.980000000000032</v>
      </c>
      <c r="B137" s="26">
        <f t="shared" si="12"/>
        <v>70.828217933623847</v>
      </c>
      <c r="C137" s="18">
        <f t="shared" si="13"/>
        <v>880</v>
      </c>
      <c r="D137" s="62">
        <f t="shared" si="14"/>
        <v>33.113403379272157</v>
      </c>
      <c r="E137">
        <f t="shared" si="15"/>
        <v>0.13300000000000001</v>
      </c>
      <c r="H137">
        <f t="shared" si="16"/>
        <v>32.980000000000032</v>
      </c>
      <c r="I137" s="63">
        <f t="shared" si="17"/>
        <v>0.13340337927212431</v>
      </c>
      <c r="K137" s="44">
        <f t="shared" si="18"/>
        <v>33</v>
      </c>
      <c r="L137">
        <f t="shared" si="19"/>
        <v>0.02</v>
      </c>
      <c r="M137">
        <f t="shared" si="20"/>
        <v>32.980000000000032</v>
      </c>
      <c r="N137" s="44">
        <f t="shared" si="21"/>
        <v>1.9999999999967599E-2</v>
      </c>
      <c r="P137" s="62">
        <f t="shared" si="22"/>
        <v>32.963934606008877</v>
      </c>
      <c r="Q137" s="64">
        <f t="shared" si="23"/>
        <v>32.980000000000032</v>
      </c>
      <c r="R137" s="65">
        <f t="shared" si="24"/>
        <v>-1.6065393991155474E-2</v>
      </c>
      <c r="S137">
        <f t="shared" si="25"/>
        <v>1.6065393991155474E-2</v>
      </c>
      <c r="U137">
        <f t="shared" si="26"/>
        <v>33</v>
      </c>
      <c r="V137" s="44">
        <f t="shared" si="27"/>
        <v>0.02</v>
      </c>
      <c r="W137">
        <f t="shared" si="28"/>
        <v>32.980000000000032</v>
      </c>
      <c r="X137" s="44">
        <f t="shared" si="29"/>
        <v>1.9999999999967599E-2</v>
      </c>
    </row>
    <row r="138" spans="1:24" ht="12.75" customHeight="1" x14ac:dyDescent="0.3">
      <c r="A138">
        <f t="shared" si="30"/>
        <v>33.370000000000033</v>
      </c>
      <c r="B138" s="26">
        <f t="shared" si="12"/>
        <v>69.676363320437929</v>
      </c>
      <c r="C138" s="18">
        <f t="shared" si="13"/>
        <v>892</v>
      </c>
      <c r="D138" s="62">
        <f t="shared" si="14"/>
        <v>33.647537228392657</v>
      </c>
      <c r="E138">
        <f t="shared" si="15"/>
        <v>0.27800000000000002</v>
      </c>
      <c r="H138">
        <f t="shared" si="16"/>
        <v>33.370000000000033</v>
      </c>
      <c r="I138" s="63">
        <f t="shared" si="17"/>
        <v>0.27753722839262451</v>
      </c>
      <c r="K138" s="44">
        <f t="shared" si="18"/>
        <v>33</v>
      </c>
      <c r="L138">
        <f t="shared" si="19"/>
        <v>0.37</v>
      </c>
      <c r="M138">
        <f t="shared" si="20"/>
        <v>33.370000000000033</v>
      </c>
      <c r="N138" s="44">
        <f t="shared" si="21"/>
        <v>-0.37000000000003297</v>
      </c>
      <c r="P138" s="62">
        <f t="shared" si="22"/>
        <v>33.375026635174038</v>
      </c>
      <c r="Q138" s="64">
        <f t="shared" si="23"/>
        <v>33.370000000000033</v>
      </c>
      <c r="R138" s="65">
        <f t="shared" si="24"/>
        <v>5.0266351740049231E-3</v>
      </c>
      <c r="S138">
        <f t="shared" si="25"/>
        <v>5.0266351740049231E-3</v>
      </c>
      <c r="U138">
        <f t="shared" si="26"/>
        <v>33</v>
      </c>
      <c r="V138" s="44">
        <f t="shared" si="27"/>
        <v>0.37</v>
      </c>
      <c r="W138">
        <f t="shared" si="28"/>
        <v>33.370000000000033</v>
      </c>
      <c r="X138" s="44">
        <f t="shared" si="29"/>
        <v>-0.37000000000003297</v>
      </c>
    </row>
    <row r="139" spans="1:24" ht="12.75" customHeight="1" x14ac:dyDescent="0.3">
      <c r="A139">
        <f t="shared" si="30"/>
        <v>33.760000000000034</v>
      </c>
      <c r="B139" s="26">
        <f t="shared" si="12"/>
        <v>68.546097219413738</v>
      </c>
      <c r="C139" s="18">
        <f t="shared" si="13"/>
        <v>903</v>
      </c>
      <c r="D139" s="62">
        <f t="shared" si="14"/>
        <v>34.137159923419787</v>
      </c>
      <c r="E139">
        <f t="shared" si="15"/>
        <v>0.377</v>
      </c>
      <c r="H139">
        <f t="shared" si="16"/>
        <v>33.760000000000034</v>
      </c>
      <c r="I139" s="63">
        <f t="shared" si="17"/>
        <v>0.3771599234197538</v>
      </c>
      <c r="K139" s="44">
        <f t="shared" si="18"/>
        <v>34</v>
      </c>
      <c r="L139">
        <f t="shared" si="19"/>
        <v>0.24</v>
      </c>
      <c r="M139">
        <f t="shared" si="20"/>
        <v>33.760000000000034</v>
      </c>
      <c r="N139" s="44">
        <f t="shared" si="21"/>
        <v>0.23999999999996646</v>
      </c>
      <c r="P139" s="62">
        <f t="shared" si="22"/>
        <v>33.749327463154316</v>
      </c>
      <c r="Q139" s="64">
        <f t="shared" si="23"/>
        <v>33.760000000000034</v>
      </c>
      <c r="R139" s="65">
        <f t="shared" si="24"/>
        <v>-1.0672536845717673E-2</v>
      </c>
      <c r="S139">
        <f t="shared" si="25"/>
        <v>1.0672536845717673E-2</v>
      </c>
      <c r="U139">
        <f t="shared" si="26"/>
        <v>34</v>
      </c>
      <c r="V139" s="44">
        <f t="shared" si="27"/>
        <v>0.24</v>
      </c>
      <c r="W139">
        <f t="shared" si="28"/>
        <v>33.760000000000034</v>
      </c>
      <c r="X139" s="44">
        <f t="shared" si="29"/>
        <v>0.23999999999996646</v>
      </c>
    </row>
    <row r="140" spans="1:24" ht="12.75" customHeight="1" x14ac:dyDescent="0.3">
      <c r="A140">
        <f t="shared" si="30"/>
        <v>34.150000000000034</v>
      </c>
      <c r="B140" s="26">
        <f t="shared" si="12"/>
        <v>67.436965294076657</v>
      </c>
      <c r="C140" s="18">
        <f t="shared" si="13"/>
        <v>915</v>
      </c>
      <c r="D140" s="62">
        <f t="shared" si="14"/>
        <v>34.671293772540288</v>
      </c>
      <c r="E140">
        <f t="shared" si="15"/>
        <v>0.52100000000000002</v>
      </c>
      <c r="H140">
        <f t="shared" si="16"/>
        <v>34.150000000000034</v>
      </c>
      <c r="I140" s="63">
        <f t="shared" si="17"/>
        <v>0.521293772540254</v>
      </c>
      <c r="K140" s="44">
        <f t="shared" si="18"/>
        <v>34</v>
      </c>
      <c r="L140">
        <f t="shared" si="19"/>
        <v>0.15</v>
      </c>
      <c r="M140">
        <f t="shared" si="20"/>
        <v>34.150000000000034</v>
      </c>
      <c r="N140" s="44">
        <f t="shared" si="21"/>
        <v>-0.15000000000003411</v>
      </c>
      <c r="P140" s="62">
        <f t="shared" si="22"/>
        <v>34.154975183126567</v>
      </c>
      <c r="Q140" s="64">
        <f t="shared" si="23"/>
        <v>34.150000000000034</v>
      </c>
      <c r="R140" s="65">
        <f t="shared" si="24"/>
        <v>4.9751831265325563E-3</v>
      </c>
      <c r="S140">
        <f t="shared" si="25"/>
        <v>4.9751831265325563E-3</v>
      </c>
      <c r="U140">
        <f t="shared" si="26"/>
        <v>34</v>
      </c>
      <c r="V140" s="44">
        <f t="shared" si="27"/>
        <v>0.15</v>
      </c>
      <c r="W140">
        <f t="shared" si="28"/>
        <v>34.150000000000034</v>
      </c>
      <c r="X140" s="44">
        <f t="shared" si="29"/>
        <v>-0.15000000000003411</v>
      </c>
    </row>
    <row r="141" spans="1:24" ht="12.75" customHeight="1" x14ac:dyDescent="0.3">
      <c r="A141">
        <f t="shared" si="30"/>
        <v>34.540000000000035</v>
      </c>
      <c r="B141" s="26">
        <f t="shared" si="12"/>
        <v>66.348523761526138</v>
      </c>
      <c r="C141" s="18">
        <f t="shared" si="13"/>
        <v>926</v>
      </c>
      <c r="D141" s="62">
        <f t="shared" si="14"/>
        <v>35.160916467567411</v>
      </c>
      <c r="E141">
        <f t="shared" si="15"/>
        <v>0.621</v>
      </c>
      <c r="H141">
        <f t="shared" si="16"/>
        <v>34.540000000000035</v>
      </c>
      <c r="I141" s="63">
        <f t="shared" si="17"/>
        <v>0.62091646756737617</v>
      </c>
      <c r="K141" s="44">
        <f t="shared" si="18"/>
        <v>35</v>
      </c>
      <c r="L141">
        <f t="shared" si="19"/>
        <v>0.46</v>
      </c>
      <c r="M141">
        <f t="shared" si="20"/>
        <v>34.540000000000035</v>
      </c>
      <c r="N141" s="44">
        <f t="shared" si="21"/>
        <v>0.45999999999996533</v>
      </c>
      <c r="P141" s="62">
        <f t="shared" si="22"/>
        <v>34.524433599933388</v>
      </c>
      <c r="Q141" s="64">
        <f t="shared" si="23"/>
        <v>34.540000000000035</v>
      </c>
      <c r="R141" s="65">
        <f t="shared" si="24"/>
        <v>-1.5566400066646224E-2</v>
      </c>
      <c r="S141">
        <f t="shared" si="25"/>
        <v>1.5566400066646224E-2</v>
      </c>
      <c r="U141">
        <f t="shared" si="26"/>
        <v>35</v>
      </c>
      <c r="V141" s="44">
        <f t="shared" si="27"/>
        <v>0.46</v>
      </c>
      <c r="W141">
        <f t="shared" si="28"/>
        <v>34.540000000000035</v>
      </c>
      <c r="X141" s="44">
        <f t="shared" si="29"/>
        <v>0.45999999999996533</v>
      </c>
    </row>
    <row r="142" spans="1:24" ht="12.75" customHeight="1" x14ac:dyDescent="0.3">
      <c r="A142">
        <f t="shared" si="30"/>
        <v>34.930000000000035</v>
      </c>
      <c r="B142" s="26">
        <f t="shared" si="12"/>
        <v>65.280339125193166</v>
      </c>
      <c r="C142" s="18">
        <f t="shared" si="13"/>
        <v>938</v>
      </c>
      <c r="D142" s="62">
        <f t="shared" si="14"/>
        <v>35.695050316687912</v>
      </c>
      <c r="E142">
        <f t="shared" si="15"/>
        <v>0.76500000000000001</v>
      </c>
      <c r="H142">
        <f t="shared" si="16"/>
        <v>34.930000000000035</v>
      </c>
      <c r="I142" s="63">
        <f t="shared" si="17"/>
        <v>0.76505031668787637</v>
      </c>
      <c r="K142" s="44">
        <f t="shared" si="18"/>
        <v>35</v>
      </c>
      <c r="L142">
        <f t="shared" si="19"/>
        <v>7.0000000000000007E-2</v>
      </c>
      <c r="M142">
        <f t="shared" si="20"/>
        <v>34.930000000000035</v>
      </c>
      <c r="N142" s="44">
        <f t="shared" si="21"/>
        <v>6.9999999999964757E-2</v>
      </c>
      <c r="P142" s="62">
        <f t="shared" si="22"/>
        <v>34.924954880961764</v>
      </c>
      <c r="Q142" s="64">
        <f t="shared" si="23"/>
        <v>34.930000000000035</v>
      </c>
      <c r="R142" s="65">
        <f t="shared" si="24"/>
        <v>-5.0451190382716504E-3</v>
      </c>
      <c r="S142">
        <f t="shared" si="25"/>
        <v>5.0451190382716504E-3</v>
      </c>
      <c r="U142">
        <f t="shared" si="26"/>
        <v>35</v>
      </c>
      <c r="V142" s="44">
        <f t="shared" si="27"/>
        <v>7.0000000000000007E-2</v>
      </c>
      <c r="W142">
        <f t="shared" si="28"/>
        <v>34.930000000000035</v>
      </c>
      <c r="X142" s="44">
        <f t="shared" si="29"/>
        <v>6.9999999999964757E-2</v>
      </c>
    </row>
    <row r="143" spans="1:24" ht="12.75" customHeight="1" x14ac:dyDescent="0.3">
      <c r="A143">
        <f t="shared" si="30"/>
        <v>35.320000000000036</v>
      </c>
      <c r="B143" s="26">
        <f t="shared" si="12"/>
        <v>64.231987914904437</v>
      </c>
      <c r="C143" s="18">
        <f t="shared" si="13"/>
        <v>950</v>
      </c>
      <c r="D143" s="62">
        <f t="shared" si="14"/>
        <v>36.229184165808412</v>
      </c>
      <c r="E143">
        <f t="shared" si="15"/>
        <v>0.90900000000000003</v>
      </c>
      <c r="H143">
        <f t="shared" si="16"/>
        <v>35.320000000000036</v>
      </c>
      <c r="I143" s="63">
        <f t="shared" si="17"/>
        <v>0.90918416580837658</v>
      </c>
      <c r="K143" s="44">
        <f t="shared" si="18"/>
        <v>36</v>
      </c>
      <c r="L143">
        <f t="shared" si="19"/>
        <v>0.68</v>
      </c>
      <c r="M143">
        <f t="shared" si="20"/>
        <v>35.320000000000036</v>
      </c>
      <c r="N143" s="44">
        <f t="shared" si="21"/>
        <v>0.67999999999996419</v>
      </c>
      <c r="P143" s="62">
        <f t="shared" si="22"/>
        <v>35.32292073194651</v>
      </c>
      <c r="Q143" s="64">
        <f t="shared" si="23"/>
        <v>35.320000000000036</v>
      </c>
      <c r="R143" s="65">
        <f t="shared" si="24"/>
        <v>2.9207319464745751E-3</v>
      </c>
      <c r="S143">
        <f t="shared" si="25"/>
        <v>2.9207319464745751E-3</v>
      </c>
      <c r="U143">
        <f t="shared" si="26"/>
        <v>36</v>
      </c>
      <c r="V143" s="44">
        <f t="shared" si="27"/>
        <v>0.68</v>
      </c>
      <c r="W143">
        <f t="shared" si="28"/>
        <v>35.320000000000036</v>
      </c>
      <c r="X143" s="44">
        <f t="shared" si="29"/>
        <v>0.67999999999996419</v>
      </c>
    </row>
    <row r="144" spans="1:24" ht="12.75" customHeight="1" x14ac:dyDescent="0.3">
      <c r="A144">
        <f t="shared" si="30"/>
        <v>35.710000000000036</v>
      </c>
      <c r="B144" s="26">
        <f t="shared" si="12"/>
        <v>63.203056434039652</v>
      </c>
      <c r="C144" s="18">
        <f t="shared" si="13"/>
        <v>962</v>
      </c>
      <c r="D144" s="62">
        <f t="shared" si="14"/>
        <v>36.763318014928913</v>
      </c>
      <c r="E144">
        <f t="shared" si="15"/>
        <v>1.0529999999999999</v>
      </c>
      <c r="H144">
        <f t="shared" si="16"/>
        <v>35.710000000000036</v>
      </c>
      <c r="I144" s="63">
        <f t="shared" si="17"/>
        <v>1.0533180149288768</v>
      </c>
      <c r="K144" s="44">
        <f t="shared" si="18"/>
        <v>36</v>
      </c>
      <c r="L144">
        <f t="shared" si="19"/>
        <v>0.28999999999999998</v>
      </c>
      <c r="M144">
        <f t="shared" si="20"/>
        <v>35.710000000000036</v>
      </c>
      <c r="N144" s="44">
        <f t="shared" si="21"/>
        <v>0.28999999999996362</v>
      </c>
      <c r="P144" s="62">
        <f t="shared" si="22"/>
        <v>35.718409330888051</v>
      </c>
      <c r="Q144" s="64">
        <f t="shared" si="23"/>
        <v>35.710000000000036</v>
      </c>
      <c r="R144" s="65">
        <f t="shared" si="24"/>
        <v>8.4093308880142104E-3</v>
      </c>
      <c r="S144">
        <f t="shared" si="25"/>
        <v>8.4093308880142104E-3</v>
      </c>
      <c r="U144">
        <f t="shared" si="26"/>
        <v>36</v>
      </c>
      <c r="V144" s="44">
        <f t="shared" si="27"/>
        <v>0.28999999999999998</v>
      </c>
      <c r="W144">
        <f t="shared" si="28"/>
        <v>35.710000000000036</v>
      </c>
      <c r="X144" s="44">
        <f t="shared" si="29"/>
        <v>0.28999999999996362</v>
      </c>
    </row>
    <row r="145" spans="1:24" ht="12.75" customHeight="1" x14ac:dyDescent="0.3">
      <c r="A145">
        <f t="shared" si="30"/>
        <v>36.100000000000037</v>
      </c>
      <c r="B145" s="26">
        <f t="shared" si="12"/>
        <v>62.193140513577191</v>
      </c>
      <c r="C145" s="18">
        <f t="shared" si="13"/>
        <v>974</v>
      </c>
      <c r="D145" s="62">
        <f t="shared" si="14"/>
        <v>37.297451864049414</v>
      </c>
      <c r="E145">
        <f t="shared" si="15"/>
        <v>1.1970000000000001</v>
      </c>
      <c r="H145">
        <f t="shared" si="16"/>
        <v>36.100000000000037</v>
      </c>
      <c r="I145" s="63">
        <f t="shared" si="17"/>
        <v>1.197451864049377</v>
      </c>
      <c r="K145" s="44">
        <f t="shared" si="18"/>
        <v>37</v>
      </c>
      <c r="L145">
        <f t="shared" si="19"/>
        <v>0.9</v>
      </c>
      <c r="M145">
        <f t="shared" si="20"/>
        <v>36.100000000000037</v>
      </c>
      <c r="N145" s="44">
        <f t="shared" si="21"/>
        <v>0.89999999999996305</v>
      </c>
      <c r="P145" s="62">
        <f t="shared" si="22"/>
        <v>36.11149627854536</v>
      </c>
      <c r="Q145" s="64">
        <f t="shared" si="23"/>
        <v>36.100000000000037</v>
      </c>
      <c r="R145" s="65">
        <f t="shared" si="24"/>
        <v>1.149627854532298E-2</v>
      </c>
      <c r="S145">
        <f t="shared" si="25"/>
        <v>1.149627854532298E-2</v>
      </c>
      <c r="U145">
        <f t="shared" si="26"/>
        <v>37</v>
      </c>
      <c r="V145" s="44">
        <f t="shared" si="27"/>
        <v>0.9</v>
      </c>
      <c r="W145">
        <f t="shared" si="28"/>
        <v>36.100000000000037</v>
      </c>
      <c r="X145" s="44">
        <f t="shared" si="29"/>
        <v>0.89999999999996305</v>
      </c>
    </row>
    <row r="146" spans="1:24" ht="12.75" customHeight="1" x14ac:dyDescent="0.3">
      <c r="A146">
        <f t="shared" si="30"/>
        <v>36.490000000000038</v>
      </c>
      <c r="B146" s="26">
        <f t="shared" si="12"/>
        <v>61.201845272823263</v>
      </c>
      <c r="C146" s="18">
        <f t="shared" si="13"/>
        <v>986</v>
      </c>
      <c r="D146" s="62">
        <f t="shared" si="14"/>
        <v>37.831585713169915</v>
      </c>
      <c r="E146">
        <f t="shared" si="15"/>
        <v>1.3420000000000001</v>
      </c>
      <c r="H146">
        <f t="shared" si="16"/>
        <v>36.490000000000038</v>
      </c>
      <c r="I146" s="63">
        <f t="shared" si="17"/>
        <v>1.3415857131698772</v>
      </c>
      <c r="K146" s="44">
        <f t="shared" si="18"/>
        <v>37</v>
      </c>
      <c r="L146">
        <f t="shared" si="19"/>
        <v>0.51</v>
      </c>
      <c r="M146">
        <f t="shared" si="20"/>
        <v>36.490000000000038</v>
      </c>
      <c r="N146" s="44">
        <f t="shared" si="21"/>
        <v>0.50999999999996248</v>
      </c>
      <c r="P146" s="62">
        <f t="shared" si="22"/>
        <v>36.502254724494321</v>
      </c>
      <c r="Q146" s="64">
        <f t="shared" si="23"/>
        <v>36.490000000000038</v>
      </c>
      <c r="R146" s="65">
        <f t="shared" si="24"/>
        <v>1.2254724494283664E-2</v>
      </c>
      <c r="S146">
        <f t="shared" si="25"/>
        <v>1.2254724494283664E-2</v>
      </c>
      <c r="U146">
        <f t="shared" si="26"/>
        <v>37</v>
      </c>
      <c r="V146" s="44">
        <f t="shared" si="27"/>
        <v>0.51</v>
      </c>
      <c r="W146">
        <f t="shared" si="28"/>
        <v>36.490000000000038</v>
      </c>
      <c r="X146" s="44">
        <f t="shared" si="29"/>
        <v>0.50999999999996248</v>
      </c>
    </row>
    <row r="147" spans="1:24" ht="12.75" customHeight="1" x14ac:dyDescent="0.3">
      <c r="A147">
        <f t="shared" si="30"/>
        <v>36.880000000000038</v>
      </c>
      <c r="B147" s="26">
        <f t="shared" si="12"/>
        <v>60.228784886632411</v>
      </c>
      <c r="C147" s="18">
        <f t="shared" si="13"/>
        <v>998</v>
      </c>
      <c r="D147" s="62">
        <f t="shared" si="14"/>
        <v>38.365719562290415</v>
      </c>
      <c r="E147">
        <f t="shared" si="15"/>
        <v>1.486</v>
      </c>
      <c r="H147">
        <f t="shared" si="16"/>
        <v>36.880000000000038</v>
      </c>
      <c r="I147" s="63">
        <f t="shared" si="17"/>
        <v>1.4857195622903774</v>
      </c>
      <c r="K147" s="44">
        <f t="shared" si="18"/>
        <v>38</v>
      </c>
      <c r="L147">
        <f t="shared" si="19"/>
        <v>1.1200000000000001</v>
      </c>
      <c r="M147">
        <f t="shared" si="20"/>
        <v>36.880000000000038</v>
      </c>
      <c r="N147" s="44">
        <f t="shared" si="21"/>
        <v>1.1199999999999619</v>
      </c>
      <c r="P147" s="62">
        <f t="shared" si="22"/>
        <v>36.890755485810132</v>
      </c>
      <c r="Q147" s="64">
        <f t="shared" si="23"/>
        <v>36.880000000000038</v>
      </c>
      <c r="R147" s="65">
        <f t="shared" si="24"/>
        <v>1.0755485810094001E-2</v>
      </c>
      <c r="S147">
        <f t="shared" si="25"/>
        <v>1.0755485810094001E-2</v>
      </c>
      <c r="U147">
        <f t="shared" si="26"/>
        <v>38</v>
      </c>
      <c r="V147" s="44">
        <f t="shared" si="27"/>
        <v>1.1200000000000001</v>
      </c>
      <c r="W147">
        <f t="shared" si="28"/>
        <v>36.880000000000038</v>
      </c>
      <c r="X147" s="44">
        <f t="shared" si="29"/>
        <v>1.1199999999999619</v>
      </c>
    </row>
    <row r="148" spans="1:24" ht="12.75" customHeight="1" x14ac:dyDescent="0.3">
      <c r="A148">
        <f t="shared" si="30"/>
        <v>37.270000000000039</v>
      </c>
      <c r="B148" s="26">
        <f t="shared" si="12"/>
        <v>59.273582358930142</v>
      </c>
      <c r="C148" s="18">
        <f t="shared" si="13"/>
        <v>1010</v>
      </c>
      <c r="D148" s="62">
        <f t="shared" si="14"/>
        <v>38.899853411410916</v>
      </c>
      <c r="E148">
        <f t="shared" si="15"/>
        <v>1.63</v>
      </c>
      <c r="H148">
        <f t="shared" si="16"/>
        <v>37.270000000000039</v>
      </c>
      <c r="I148" s="63">
        <f t="shared" si="17"/>
        <v>1.6298534114108776</v>
      </c>
      <c r="K148" s="44">
        <f t="shared" si="18"/>
        <v>38</v>
      </c>
      <c r="L148">
        <f t="shared" si="19"/>
        <v>0.73</v>
      </c>
      <c r="M148">
        <f t="shared" si="20"/>
        <v>37.270000000000039</v>
      </c>
      <c r="N148" s="44">
        <f t="shared" si="21"/>
        <v>0.72999999999996135</v>
      </c>
      <c r="P148" s="62">
        <f t="shared" si="22"/>
        <v>37.277067158893487</v>
      </c>
      <c r="Q148" s="64">
        <f t="shared" si="23"/>
        <v>37.270000000000039</v>
      </c>
      <c r="R148" s="65">
        <f t="shared" si="24"/>
        <v>7.0671588934487772E-3</v>
      </c>
      <c r="S148">
        <f t="shared" si="25"/>
        <v>7.0671588934487772E-3</v>
      </c>
      <c r="U148">
        <f t="shared" si="26"/>
        <v>38</v>
      </c>
      <c r="V148" s="44">
        <f t="shared" si="27"/>
        <v>0.73</v>
      </c>
      <c r="W148">
        <f t="shared" si="28"/>
        <v>37.270000000000039</v>
      </c>
      <c r="X148" s="44">
        <f t="shared" si="29"/>
        <v>0.72999999999996135</v>
      </c>
    </row>
    <row r="149" spans="1:24" ht="12.75" customHeight="1" x14ac:dyDescent="0.3">
      <c r="A149">
        <f t="shared" si="30"/>
        <v>37.660000000000039</v>
      </c>
      <c r="B149" s="26">
        <f t="shared" si="12"/>
        <v>58.335869302352862</v>
      </c>
      <c r="C149" s="18">
        <f t="shared" si="13"/>
        <v>1022</v>
      </c>
      <c r="D149" s="62">
        <f t="shared" si="14"/>
        <v>39.433987260531417</v>
      </c>
      <c r="E149">
        <f t="shared" si="15"/>
        <v>1.774</v>
      </c>
      <c r="H149">
        <f t="shared" si="16"/>
        <v>37.660000000000039</v>
      </c>
      <c r="I149" s="63">
        <f t="shared" si="17"/>
        <v>1.7739872605313778</v>
      </c>
      <c r="K149" s="44">
        <f t="shared" si="18"/>
        <v>39</v>
      </c>
      <c r="L149">
        <f t="shared" si="19"/>
        <v>1.34</v>
      </c>
      <c r="M149">
        <f t="shared" si="20"/>
        <v>37.660000000000039</v>
      </c>
      <c r="N149" s="44">
        <f t="shared" si="21"/>
        <v>1.3399999999999608</v>
      </c>
      <c r="P149" s="62">
        <f t="shared" si="22"/>
        <v>37.661256224919327</v>
      </c>
      <c r="Q149" s="64">
        <f t="shared" si="23"/>
        <v>37.660000000000039</v>
      </c>
      <c r="R149" s="65">
        <f t="shared" si="24"/>
        <v>1.2562249192882291E-3</v>
      </c>
      <c r="S149">
        <f t="shared" si="25"/>
        <v>1.2562249192882291E-3</v>
      </c>
      <c r="U149">
        <f t="shared" si="26"/>
        <v>39</v>
      </c>
      <c r="V149" s="44">
        <f t="shared" si="27"/>
        <v>1.34</v>
      </c>
      <c r="W149">
        <f t="shared" si="28"/>
        <v>37.660000000000039</v>
      </c>
      <c r="X149" s="44">
        <f t="shared" si="29"/>
        <v>1.3399999999999608</v>
      </c>
    </row>
    <row r="150" spans="1:24" ht="12.75" customHeight="1" x14ac:dyDescent="0.3">
      <c r="A150">
        <f t="shared" si="30"/>
        <v>38.05000000000004</v>
      </c>
      <c r="B150" s="26">
        <f t="shared" si="12"/>
        <v>57.415285723831289</v>
      </c>
      <c r="C150" s="18">
        <f t="shared" si="13"/>
        <v>1034</v>
      </c>
      <c r="D150" s="62">
        <f t="shared" si="14"/>
        <v>39.968121109651918</v>
      </c>
      <c r="E150">
        <f t="shared" si="15"/>
        <v>1.9179999999999999</v>
      </c>
      <c r="H150">
        <f t="shared" si="16"/>
        <v>38.05000000000004</v>
      </c>
      <c r="I150" s="63">
        <f t="shared" si="17"/>
        <v>1.918121109651878</v>
      </c>
      <c r="K150" s="44">
        <f t="shared" si="18"/>
        <v>39</v>
      </c>
      <c r="L150">
        <f t="shared" si="19"/>
        <v>0.95</v>
      </c>
      <c r="M150">
        <f t="shared" si="20"/>
        <v>38.05000000000004</v>
      </c>
      <c r="N150" s="44">
        <f t="shared" si="21"/>
        <v>0.94999999999996021</v>
      </c>
      <c r="P150" s="62">
        <f t="shared" si="22"/>
        <v>38.043387149347495</v>
      </c>
      <c r="Q150" s="64">
        <f t="shared" si="23"/>
        <v>38.05000000000004</v>
      </c>
      <c r="R150" s="65">
        <f t="shared" si="24"/>
        <v>-6.6128506525444664E-3</v>
      </c>
      <c r="S150">
        <f t="shared" si="25"/>
        <v>6.6128506525444664E-3</v>
      </c>
      <c r="U150">
        <f t="shared" si="26"/>
        <v>39</v>
      </c>
      <c r="V150" s="44">
        <f t="shared" si="27"/>
        <v>0.95</v>
      </c>
      <c r="W150">
        <f t="shared" si="28"/>
        <v>38.05000000000004</v>
      </c>
      <c r="X150" s="44">
        <f t="shared" si="29"/>
        <v>0.94999999999996021</v>
      </c>
    </row>
    <row r="151" spans="1:24" ht="12.75" customHeight="1" x14ac:dyDescent="0.3">
      <c r="A151">
        <f t="shared" si="30"/>
        <v>38.44000000000004</v>
      </c>
      <c r="B151" s="26">
        <f t="shared" si="12"/>
        <v>56.511479815942522</v>
      </c>
      <c r="C151" s="18">
        <f t="shared" si="13"/>
        <v>1047</v>
      </c>
      <c r="D151" s="62">
        <f t="shared" si="14"/>
        <v>40.546766112865789</v>
      </c>
      <c r="E151">
        <f t="shared" si="15"/>
        <v>2.1070000000000002</v>
      </c>
      <c r="H151">
        <f t="shared" si="16"/>
        <v>38.44000000000004</v>
      </c>
      <c r="I151" s="63">
        <f t="shared" si="17"/>
        <v>2.1067661128657491</v>
      </c>
      <c r="K151" s="44">
        <f t="shared" si="18"/>
        <v>40</v>
      </c>
      <c r="L151">
        <f t="shared" si="19"/>
        <v>1.56</v>
      </c>
      <c r="M151">
        <f t="shared" si="20"/>
        <v>38.44000000000004</v>
      </c>
      <c r="N151" s="44">
        <f t="shared" si="21"/>
        <v>1.5599999999999596</v>
      </c>
      <c r="P151" s="62">
        <f t="shared" si="22"/>
        <v>38.455112256565656</v>
      </c>
      <c r="Q151" s="64">
        <f t="shared" si="23"/>
        <v>38.44000000000004</v>
      </c>
      <c r="R151" s="65">
        <f t="shared" si="24"/>
        <v>1.5112256565615212E-2</v>
      </c>
      <c r="S151">
        <f t="shared" si="25"/>
        <v>1.5112256565615212E-2</v>
      </c>
      <c r="U151">
        <f t="shared" si="26"/>
        <v>40</v>
      </c>
      <c r="V151" s="44">
        <f t="shared" si="27"/>
        <v>1.56</v>
      </c>
      <c r="W151">
        <f t="shared" si="28"/>
        <v>38.44000000000004</v>
      </c>
      <c r="X151" s="44">
        <f t="shared" si="29"/>
        <v>1.5599999999999596</v>
      </c>
    </row>
    <row r="152" spans="1:24" ht="12.75" customHeight="1" x14ac:dyDescent="0.3">
      <c r="A152">
        <f t="shared" si="30"/>
        <v>38.830000000000041</v>
      </c>
      <c r="B152" s="26">
        <f t="shared" si="12"/>
        <v>55.624107753865431</v>
      </c>
      <c r="C152" s="18">
        <f t="shared" si="13"/>
        <v>1059</v>
      </c>
      <c r="D152" s="62">
        <f t="shared" si="14"/>
        <v>41.08089996198629</v>
      </c>
      <c r="E152">
        <f t="shared" si="15"/>
        <v>2.2509999999999999</v>
      </c>
      <c r="H152">
        <f t="shared" si="16"/>
        <v>38.830000000000041</v>
      </c>
      <c r="I152" s="63">
        <f t="shared" si="17"/>
        <v>2.2508999619862493</v>
      </c>
      <c r="K152" s="44">
        <f t="shared" si="18"/>
        <v>41</v>
      </c>
      <c r="L152">
        <f t="shared" si="19"/>
        <v>2.17</v>
      </c>
      <c r="M152">
        <f t="shared" si="20"/>
        <v>38.830000000000041</v>
      </c>
      <c r="N152" s="44">
        <f t="shared" si="21"/>
        <v>2.1699999999999591</v>
      </c>
      <c r="P152" s="62">
        <f t="shared" si="22"/>
        <v>38.833154140470185</v>
      </c>
      <c r="Q152" s="64">
        <f t="shared" si="23"/>
        <v>38.830000000000041</v>
      </c>
      <c r="R152" s="65">
        <f t="shared" si="24"/>
        <v>3.1541404701442843E-3</v>
      </c>
      <c r="S152">
        <f t="shared" si="25"/>
        <v>3.1541404701442843E-3</v>
      </c>
      <c r="U152">
        <f t="shared" si="26"/>
        <v>41</v>
      </c>
      <c r="V152" s="44">
        <f t="shared" si="27"/>
        <v>2.17</v>
      </c>
      <c r="W152">
        <f t="shared" si="28"/>
        <v>38.830000000000041</v>
      </c>
      <c r="X152" s="44">
        <f t="shared" si="29"/>
        <v>2.1699999999999591</v>
      </c>
    </row>
    <row r="153" spans="1:24" ht="12.75" customHeight="1" x14ac:dyDescent="0.3">
      <c r="A153">
        <f t="shared" si="30"/>
        <v>39.220000000000041</v>
      </c>
      <c r="B153" s="26">
        <f t="shared" si="12"/>
        <v>54.752833497778909</v>
      </c>
      <c r="C153" s="18">
        <f t="shared" si="13"/>
        <v>1071</v>
      </c>
      <c r="D153" s="62">
        <f t="shared" si="14"/>
        <v>41.615033811106791</v>
      </c>
      <c r="E153">
        <f t="shared" si="15"/>
        <v>2.395</v>
      </c>
      <c r="H153">
        <f t="shared" si="16"/>
        <v>39.220000000000041</v>
      </c>
      <c r="I153" s="63">
        <f t="shared" si="17"/>
        <v>2.3950338111067495</v>
      </c>
      <c r="K153" s="44">
        <f t="shared" si="18"/>
        <v>41</v>
      </c>
      <c r="L153">
        <f t="shared" si="19"/>
        <v>1.78</v>
      </c>
      <c r="M153">
        <f t="shared" si="20"/>
        <v>39.220000000000041</v>
      </c>
      <c r="N153" s="44">
        <f t="shared" si="21"/>
        <v>1.7799999999999585</v>
      </c>
      <c r="P153" s="62">
        <f t="shared" si="22"/>
        <v>39.209324936258554</v>
      </c>
      <c r="Q153" s="64">
        <f t="shared" si="23"/>
        <v>39.220000000000041</v>
      </c>
      <c r="R153" s="65">
        <f t="shared" si="24"/>
        <v>-1.0675063741487634E-2</v>
      </c>
      <c r="S153">
        <f t="shared" si="25"/>
        <v>1.0675063741487634E-2</v>
      </c>
      <c r="U153">
        <f t="shared" si="26"/>
        <v>41</v>
      </c>
      <c r="V153" s="44">
        <f t="shared" si="27"/>
        <v>1.78</v>
      </c>
      <c r="W153">
        <f t="shared" si="28"/>
        <v>39.220000000000041</v>
      </c>
      <c r="X153" s="44">
        <f t="shared" si="29"/>
        <v>1.7799999999999585</v>
      </c>
    </row>
    <row r="154" spans="1:24" ht="12.75" customHeight="1" x14ac:dyDescent="0.3">
      <c r="A154">
        <f t="shared" si="30"/>
        <v>39.610000000000042</v>
      </c>
      <c r="B154" s="26">
        <f t="shared" si="12"/>
        <v>53.897328600544427</v>
      </c>
      <c r="C154" s="18">
        <f t="shared" si="13"/>
        <v>1084</v>
      </c>
      <c r="D154" s="62">
        <f t="shared" si="14"/>
        <v>42.19367881432067</v>
      </c>
      <c r="E154">
        <f t="shared" si="15"/>
        <v>2.5840000000000001</v>
      </c>
      <c r="H154">
        <f t="shared" si="16"/>
        <v>39.610000000000042</v>
      </c>
      <c r="I154" s="63">
        <f t="shared" si="17"/>
        <v>2.5836788143206277</v>
      </c>
      <c r="K154" s="44">
        <f t="shared" si="18"/>
        <v>42</v>
      </c>
      <c r="L154">
        <f t="shared" si="19"/>
        <v>2.39</v>
      </c>
      <c r="M154">
        <f t="shared" si="20"/>
        <v>39.610000000000042</v>
      </c>
      <c r="N154" s="44">
        <f t="shared" si="21"/>
        <v>2.3899999999999579</v>
      </c>
      <c r="P154" s="62">
        <f t="shared" si="22"/>
        <v>39.614798080243645</v>
      </c>
      <c r="Q154" s="64">
        <f t="shared" si="23"/>
        <v>39.610000000000042</v>
      </c>
      <c r="R154" s="65">
        <f t="shared" si="24"/>
        <v>4.7980802436029535E-3</v>
      </c>
      <c r="S154">
        <f t="shared" si="25"/>
        <v>4.7980802436029535E-3</v>
      </c>
      <c r="U154">
        <f t="shared" si="26"/>
        <v>42</v>
      </c>
      <c r="V154" s="44">
        <f t="shared" si="27"/>
        <v>2.39</v>
      </c>
      <c r="W154">
        <f t="shared" si="28"/>
        <v>39.610000000000042</v>
      </c>
      <c r="X154" s="44">
        <f t="shared" si="29"/>
        <v>2.3899999999999579</v>
      </c>
    </row>
    <row r="155" spans="1:24" ht="12.75" customHeight="1" x14ac:dyDescent="0.3">
      <c r="A155">
        <f t="shared" si="30"/>
        <v>40.000000000000043</v>
      </c>
      <c r="B155" s="26">
        <f t="shared" si="12"/>
        <v>53.057272020523513</v>
      </c>
      <c r="C155" s="18">
        <f t="shared" si="13"/>
        <v>1096</v>
      </c>
      <c r="D155" s="62">
        <f t="shared" si="14"/>
        <v>42.727812663441171</v>
      </c>
      <c r="E155">
        <f t="shared" si="15"/>
        <v>2.7280000000000002</v>
      </c>
      <c r="H155">
        <f t="shared" si="16"/>
        <v>40.000000000000043</v>
      </c>
      <c r="I155" s="63">
        <f t="shared" si="17"/>
        <v>2.7278126634411279</v>
      </c>
      <c r="K155" s="44">
        <f t="shared" si="18"/>
        <v>42</v>
      </c>
      <c r="L155">
        <f t="shared" si="19"/>
        <v>2</v>
      </c>
      <c r="M155">
        <f t="shared" si="20"/>
        <v>40.000000000000043</v>
      </c>
      <c r="N155" s="44">
        <f t="shared" si="21"/>
        <v>1.9999999999999574</v>
      </c>
      <c r="P155" s="62">
        <f t="shared" si="22"/>
        <v>39.987252512273869</v>
      </c>
      <c r="Q155" s="64">
        <f t="shared" si="23"/>
        <v>40.000000000000043</v>
      </c>
      <c r="R155" s="65">
        <f t="shared" si="24"/>
        <v>-1.274748772617329E-2</v>
      </c>
      <c r="S155">
        <f t="shared" si="25"/>
        <v>1.274748772617329E-2</v>
      </c>
      <c r="U155">
        <f t="shared" si="26"/>
        <v>42</v>
      </c>
      <c r="V155" s="44">
        <f t="shared" si="27"/>
        <v>2</v>
      </c>
      <c r="W155">
        <f t="shared" si="28"/>
        <v>40.000000000000043</v>
      </c>
      <c r="X155" s="44">
        <f t="shared" si="29"/>
        <v>1.9999999999999574</v>
      </c>
    </row>
    <row r="156" spans="1:24" ht="12.75" customHeight="1" x14ac:dyDescent="0.25"/>
    <row r="157" spans="1:24" ht="12.75" customHeight="1" x14ac:dyDescent="0.25">
      <c r="S157">
        <f>AVERAGE(S55:S155)</f>
        <v>1.2268176644358262E-2</v>
      </c>
      <c r="X157">
        <f>AVERAGE(X55:X155)</f>
        <v>-0.48019801980199622</v>
      </c>
    </row>
    <row r="158" spans="1:24" ht="12.75" customHeight="1" x14ac:dyDescent="0.25">
      <c r="S158">
        <f>MAX(S55:S155)</f>
        <v>2.9779702981469924E-2</v>
      </c>
    </row>
    <row r="159" spans="1:24" ht="12.75" customHeight="1" x14ac:dyDescent="0.3">
      <c r="A159" s="92" t="s">
        <v>72</v>
      </c>
      <c r="B159" s="69"/>
      <c r="C159" s="69"/>
      <c r="D159" s="44">
        <f>2^(CEILING(LN(ABS(Sheet0!O30*100))/LN(2),1))</f>
        <v>8</v>
      </c>
    </row>
    <row r="160" spans="1:24" ht="12.75" customHeight="1" x14ac:dyDescent="0.3">
      <c r="A160" s="92" t="s">
        <v>73</v>
      </c>
      <c r="B160" s="69"/>
      <c r="C160" s="69"/>
      <c r="D160" s="44">
        <f>2^(CEILING(LN(ABS(Sheet0!O30*100))/LN(2),1))-1</f>
        <v>7</v>
      </c>
    </row>
    <row r="161" spans="1:1" ht="12.75" customHeight="1" x14ac:dyDescent="0.25">
      <c r="A161" s="66"/>
    </row>
    <row r="162" spans="1:1" ht="12.75" customHeight="1" x14ac:dyDescent="0.25">
      <c r="A162" s="67"/>
    </row>
  </sheetData>
  <mergeCells count="36">
    <mergeCell ref="A53:H53"/>
    <mergeCell ref="A159:C159"/>
    <mergeCell ref="A160:C160"/>
    <mergeCell ref="P12:R12"/>
    <mergeCell ref="P17:R17"/>
    <mergeCell ref="P18:R18"/>
    <mergeCell ref="P19:Q19"/>
    <mergeCell ref="P20:Q20"/>
    <mergeCell ref="P26:R42"/>
    <mergeCell ref="P14:R14"/>
    <mergeCell ref="P22:R24"/>
    <mergeCell ref="N37:O37"/>
    <mergeCell ref="N39:O39"/>
    <mergeCell ref="A42:L42"/>
    <mergeCell ref="A43:L43"/>
    <mergeCell ref="A46:L46"/>
    <mergeCell ref="N22:O22"/>
    <mergeCell ref="N26:O26"/>
    <mergeCell ref="N27:O27"/>
    <mergeCell ref="N32:O32"/>
    <mergeCell ref="N33:O33"/>
    <mergeCell ref="S26:X42"/>
    <mergeCell ref="S14:X25"/>
    <mergeCell ref="T53:U53"/>
    <mergeCell ref="P15:R15"/>
    <mergeCell ref="P16:R16"/>
    <mergeCell ref="P10:R10"/>
    <mergeCell ref="P11:R11"/>
    <mergeCell ref="N14:O14"/>
    <mergeCell ref="A1:O1"/>
    <mergeCell ref="N3:X3"/>
    <mergeCell ref="N5:O5"/>
    <mergeCell ref="P5:R7"/>
    <mergeCell ref="S5:X13"/>
    <mergeCell ref="P8:R8"/>
    <mergeCell ref="P9:R9"/>
  </mergeCells>
  <conditionalFormatting sqref="O8">
    <cfRule type="cellIs" dxfId="3" priority="1" operator="notEqual">
      <formula>$O$7</formula>
    </cfRule>
  </conditionalFormatting>
  <conditionalFormatting sqref="N11:R12 N7:O7">
    <cfRule type="expression" dxfId="2" priority="2">
      <formula>NOT($O$7-$O$8 = 0)</formula>
    </cfRule>
  </conditionalFormatting>
  <conditionalFormatting sqref="A4:L40">
    <cfRule type="expression" dxfId="1" priority="3">
      <formula>ISEVEN(ROW())</formula>
    </cfRule>
  </conditionalFormatting>
  <conditionalFormatting sqref="O15">
    <cfRule type="expression" dxfId="0" priority="4">
      <formula>AND(O15 &lt;&gt; "Gnd", O15 &lt;&gt; "Vcc")</formula>
    </cfRule>
  </conditionalFormatting>
  <dataValidations count="3">
    <dataValidation type="decimal" allowBlank="1" showInputMessage="1" prompt="Minimum 1, Maximum 1000, Whole Numbers Only" sqref="O38" xr:uid="{00000000-0002-0000-0000-000000000000}">
      <formula1>1</formula1>
      <formula2>1000</formula2>
    </dataValidation>
    <dataValidation type="decimal" operator="greaterThan" allowBlank="1" showInputMessage="1" showErrorMessage="1" prompt="This is in Ohms, eg, for a &quot;10k&quot; thermistor, enter 10000" sqref="O9" xr:uid="{00000000-0002-0000-0000-000001000000}">
      <formula1>1000</formula1>
    </dataValidation>
    <dataValidation type="list" allowBlank="1" showErrorMessage="1" sqref="O15" xr:uid="{00000000-0002-0000-0000-000002000000}">
      <formula1>"Vcc,Gnd"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 Reyes</cp:lastModifiedBy>
  <dcterms:modified xsi:type="dcterms:W3CDTF">2022-06-14T11:29:22Z</dcterms:modified>
</cp:coreProperties>
</file>