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-15" yWindow="-15" windowWidth="9615" windowHeight="11325" tabRatio="689" activeTab="4"/>
  </bookViews>
  <sheets>
    <sheet name="Risultati" sheetId="1" r:id="rId1"/>
    <sheet name="Riassunto" sheetId="2" r:id="rId2"/>
    <sheet name="RisultatiSP" sheetId="3" r:id="rId3"/>
    <sheet name="RiassuntoSP" sheetId="4" r:id="rId4"/>
    <sheet name="SC vs SP" sheetId="5" r:id="rId5"/>
  </sheets>
  <calcPr calcId="125725"/>
</workbook>
</file>

<file path=xl/calcChain.xml><?xml version="1.0" encoding="utf-8"?>
<calcChain xmlns="http://schemas.openxmlformats.org/spreadsheetml/2006/main">
  <c r="F20" i="5"/>
  <c r="F21"/>
  <c r="H21" l="1"/>
  <c r="G21"/>
  <c r="H20"/>
  <c r="G20"/>
  <c r="F12" i="1" l="1"/>
  <c r="F46" s="1"/>
  <c r="N9" i="3" l="1"/>
  <c r="O9"/>
  <c r="J9"/>
  <c r="K9"/>
  <c r="W7" i="1"/>
  <c r="U7"/>
  <c r="W6"/>
  <c r="U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5"/>
  <c r="X6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5"/>
  <c r="T6"/>
  <c r="T7"/>
  <c r="T8"/>
  <c r="T9"/>
  <c r="T10"/>
  <c r="T11"/>
  <c r="T12"/>
  <c r="S7" s="1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5"/>
  <c r="N19" i="3"/>
  <c r="O19"/>
  <c r="J19"/>
  <c r="K19"/>
  <c r="F19"/>
  <c r="G19"/>
  <c r="N18"/>
  <c r="O18"/>
  <c r="J18"/>
  <c r="K18"/>
  <c r="F18"/>
  <c r="G18"/>
  <c r="S6" i="1" l="1"/>
  <c r="O53"/>
  <c r="K53"/>
  <c r="G53"/>
  <c r="N17" i="3"/>
  <c r="N20"/>
  <c r="J20"/>
  <c r="F20"/>
  <c r="J17"/>
  <c r="F17"/>
  <c r="N14"/>
  <c r="N16"/>
  <c r="J16"/>
  <c r="F16"/>
  <c r="N15"/>
  <c r="J15"/>
  <c r="J14"/>
  <c r="F14"/>
  <c r="N13"/>
  <c r="J13"/>
  <c r="F13"/>
  <c r="N12"/>
  <c r="J12"/>
  <c r="F12"/>
  <c r="N11"/>
  <c r="F10"/>
  <c r="F7"/>
  <c r="N6"/>
  <c r="J6"/>
  <c r="F6"/>
  <c r="N5"/>
  <c r="J5"/>
  <c r="O20"/>
  <c r="O17"/>
  <c r="P50" s="1"/>
  <c r="O16"/>
  <c r="P49" s="1"/>
  <c r="O15"/>
  <c r="O14"/>
  <c r="P44" s="1"/>
  <c r="O13"/>
  <c r="P40" s="1"/>
  <c r="O12"/>
  <c r="P39" s="1"/>
  <c r="O11"/>
  <c r="P35" s="1"/>
  <c r="O10"/>
  <c r="P34" s="1"/>
  <c r="O8"/>
  <c r="P30" s="1"/>
  <c r="O7"/>
  <c r="P29" s="1"/>
  <c r="O6"/>
  <c r="P28" s="1"/>
  <c r="O5"/>
  <c r="P27" s="1"/>
  <c r="K6"/>
  <c r="L28" s="1"/>
  <c r="K7"/>
  <c r="L29" s="1"/>
  <c r="K8"/>
  <c r="L30" s="1"/>
  <c r="K10"/>
  <c r="L34" s="1"/>
  <c r="K11"/>
  <c r="L35" s="1"/>
  <c r="K12"/>
  <c r="L39" s="1"/>
  <c r="K13"/>
  <c r="L40" s="1"/>
  <c r="K14"/>
  <c r="L44" s="1"/>
  <c r="K15"/>
  <c r="L45" s="1"/>
  <c r="K16"/>
  <c r="L49" s="1"/>
  <c r="K17"/>
  <c r="L50" s="1"/>
  <c r="K20"/>
  <c r="L59" s="1"/>
  <c r="K5"/>
  <c r="G6"/>
  <c r="H28" s="1"/>
  <c r="G7"/>
  <c r="H29" s="1"/>
  <c r="G8"/>
  <c r="H30" s="1"/>
  <c r="G10"/>
  <c r="H34" s="1"/>
  <c r="G11"/>
  <c r="H35" s="1"/>
  <c r="G12"/>
  <c r="H39" s="1"/>
  <c r="G13"/>
  <c r="H40" s="1"/>
  <c r="G14"/>
  <c r="H44" s="1"/>
  <c r="G15"/>
  <c r="H45" s="1"/>
  <c r="G16"/>
  <c r="H49" s="1"/>
  <c r="G17"/>
  <c r="H50" s="1"/>
  <c r="G20"/>
  <c r="H59" s="1"/>
  <c r="G5"/>
  <c r="H27" s="1"/>
  <c r="F5"/>
  <c r="P59"/>
  <c r="P33"/>
  <c r="H33"/>
  <c r="P23"/>
  <c r="L23"/>
  <c r="J23" s="1"/>
  <c r="H23"/>
  <c r="G23" s="1"/>
  <c r="P22"/>
  <c r="L22"/>
  <c r="H22"/>
  <c r="P45"/>
  <c r="L33"/>
  <c r="O48" i="1"/>
  <c r="N48"/>
  <c r="P49"/>
  <c r="P48"/>
  <c r="J48"/>
  <c r="F48"/>
  <c r="L48"/>
  <c r="L49" s="1"/>
  <c r="K48"/>
  <c r="G48"/>
  <c r="H48"/>
  <c r="G28" i="3" l="1"/>
  <c r="K28"/>
  <c r="O28"/>
  <c r="P24"/>
  <c r="O23"/>
  <c r="H24"/>
  <c r="F23"/>
  <c r="N23"/>
  <c r="L24"/>
  <c r="K23"/>
  <c r="K22"/>
  <c r="N24"/>
  <c r="F22"/>
  <c r="J22"/>
  <c r="N22"/>
  <c r="F24"/>
  <c r="J24"/>
  <c r="G27"/>
  <c r="O26"/>
  <c r="G22"/>
  <c r="G24" s="1"/>
  <c r="O22"/>
  <c r="O27"/>
  <c r="L27"/>
  <c r="K26" s="1"/>
  <c r="G26"/>
  <c r="O49" i="1"/>
  <c r="K49"/>
  <c r="O24" i="3" l="1"/>
  <c r="K24"/>
  <c r="K27"/>
  <c r="F44" i="1" l="1"/>
  <c r="N43"/>
  <c r="J43"/>
  <c r="F43"/>
  <c r="N42"/>
  <c r="J42"/>
  <c r="J41"/>
  <c r="F41"/>
  <c r="N40"/>
  <c r="J40"/>
  <c r="F40"/>
  <c r="N39"/>
  <c r="J39"/>
  <c r="N38"/>
  <c r="J38"/>
  <c r="F38"/>
  <c r="F37"/>
  <c r="N36"/>
  <c r="J36"/>
  <c r="F36"/>
  <c r="N35"/>
  <c r="J35"/>
  <c r="N34"/>
  <c r="J34"/>
  <c r="N33"/>
  <c r="J33"/>
  <c r="J46" s="1"/>
  <c r="F33"/>
  <c r="F32"/>
  <c r="N31"/>
  <c r="J31"/>
  <c r="F31"/>
  <c r="N30"/>
  <c r="J30"/>
  <c r="F30"/>
  <c r="N29"/>
  <c r="J29"/>
  <c r="N28"/>
  <c r="F27"/>
  <c r="N26"/>
  <c r="J26"/>
  <c r="F26"/>
  <c r="N25"/>
  <c r="N47" s="1"/>
  <c r="J25"/>
  <c r="N24"/>
  <c r="F22"/>
  <c r="N21"/>
  <c r="J21"/>
  <c r="F21"/>
  <c r="N19"/>
  <c r="F17"/>
  <c r="J16"/>
  <c r="F16"/>
  <c r="N15"/>
  <c r="N12"/>
  <c r="J12"/>
  <c r="J11"/>
  <c r="F11"/>
  <c r="N7"/>
  <c r="N5"/>
  <c r="O5"/>
  <c r="O6"/>
  <c r="P52" s="1"/>
  <c r="O7"/>
  <c r="P53" s="1"/>
  <c r="O8"/>
  <c r="P54" s="1"/>
  <c r="O9"/>
  <c r="P55" s="1"/>
  <c r="O10"/>
  <c r="O11"/>
  <c r="O12"/>
  <c r="P58" s="1"/>
  <c r="O13"/>
  <c r="P59" s="1"/>
  <c r="O14"/>
  <c r="P60" s="1"/>
  <c r="O15"/>
  <c r="O16"/>
  <c r="O17"/>
  <c r="P63" s="1"/>
  <c r="O18"/>
  <c r="P64" s="1"/>
  <c r="O19"/>
  <c r="P65" s="1"/>
  <c r="O20"/>
  <c r="O21"/>
  <c r="O22"/>
  <c r="O23"/>
  <c r="P69" s="1"/>
  <c r="O24"/>
  <c r="P70" s="1"/>
  <c r="O25"/>
  <c r="O26"/>
  <c r="O27"/>
  <c r="O28"/>
  <c r="P74" s="1"/>
  <c r="O29"/>
  <c r="P75" s="1"/>
  <c r="O30"/>
  <c r="O31"/>
  <c r="O32"/>
  <c r="O33"/>
  <c r="O34"/>
  <c r="O35"/>
  <c r="O36"/>
  <c r="O37"/>
  <c r="O38"/>
  <c r="O39"/>
  <c r="O40"/>
  <c r="O41"/>
  <c r="O42"/>
  <c r="O43"/>
  <c r="O44"/>
  <c r="P90"/>
  <c r="L90"/>
  <c r="H90"/>
  <c r="P89"/>
  <c r="L89"/>
  <c r="H89"/>
  <c r="P88"/>
  <c r="L88"/>
  <c r="H88"/>
  <c r="P87"/>
  <c r="L87"/>
  <c r="H87"/>
  <c r="P86"/>
  <c r="L86"/>
  <c r="H86"/>
  <c r="P85"/>
  <c r="L85"/>
  <c r="H85"/>
  <c r="P84"/>
  <c r="L84"/>
  <c r="P83"/>
  <c r="L83"/>
  <c r="H83"/>
  <c r="P82"/>
  <c r="L82"/>
  <c r="H82"/>
  <c r="P81"/>
  <c r="L81"/>
  <c r="H81"/>
  <c r="P80"/>
  <c r="P79"/>
  <c r="P78"/>
  <c r="L78"/>
  <c r="H78"/>
  <c r="P77"/>
  <c r="L77"/>
  <c r="H77"/>
  <c r="P76"/>
  <c r="L76"/>
  <c r="H76"/>
  <c r="H75"/>
  <c r="P73"/>
  <c r="L73"/>
  <c r="H73"/>
  <c r="P72"/>
  <c r="L72"/>
  <c r="H72"/>
  <c r="P71"/>
  <c r="L71"/>
  <c r="H71"/>
  <c r="H70"/>
  <c r="P68"/>
  <c r="L68"/>
  <c r="H68"/>
  <c r="P67"/>
  <c r="L67"/>
  <c r="H67"/>
  <c r="L66"/>
  <c r="P62"/>
  <c r="L62"/>
  <c r="H62"/>
  <c r="P61"/>
  <c r="P57"/>
  <c r="L57"/>
  <c r="H57"/>
  <c r="P56"/>
  <c r="L56"/>
  <c r="H56"/>
  <c r="L51"/>
  <c r="H51"/>
  <c r="P47"/>
  <c r="L47"/>
  <c r="H47"/>
  <c r="P46"/>
  <c r="L46"/>
  <c r="H46"/>
  <c r="K44"/>
  <c r="G44"/>
  <c r="K43"/>
  <c r="G43"/>
  <c r="K42"/>
  <c r="G42"/>
  <c r="K41"/>
  <c r="G41"/>
  <c r="K40"/>
  <c r="G40"/>
  <c r="K39"/>
  <c r="G39"/>
  <c r="K38"/>
  <c r="G38"/>
  <c r="H84" s="1"/>
  <c r="K37"/>
  <c r="G37"/>
  <c r="K36"/>
  <c r="G36"/>
  <c r="K35"/>
  <c r="G35"/>
  <c r="K34"/>
  <c r="L80" s="1"/>
  <c r="G34"/>
  <c r="H80" s="1"/>
  <c r="K33"/>
  <c r="L79" s="1"/>
  <c r="G33"/>
  <c r="H79" s="1"/>
  <c r="K32"/>
  <c r="G32"/>
  <c r="K31"/>
  <c r="G31"/>
  <c r="K30"/>
  <c r="G30"/>
  <c r="K29"/>
  <c r="L75" s="1"/>
  <c r="G29"/>
  <c r="K28"/>
  <c r="L74" s="1"/>
  <c r="G28"/>
  <c r="H74" s="1"/>
  <c r="K27"/>
  <c r="G27"/>
  <c r="K26"/>
  <c r="G26"/>
  <c r="K25"/>
  <c r="G25"/>
  <c r="K24"/>
  <c r="L70" s="1"/>
  <c r="G24"/>
  <c r="K23"/>
  <c r="L69" s="1"/>
  <c r="G23"/>
  <c r="H69" s="1"/>
  <c r="K22"/>
  <c r="G22"/>
  <c r="K21"/>
  <c r="G21"/>
  <c r="P66"/>
  <c r="K20"/>
  <c r="G20"/>
  <c r="H66" s="1"/>
  <c r="K19"/>
  <c r="L65" s="1"/>
  <c r="G19"/>
  <c r="H65" s="1"/>
  <c r="K18"/>
  <c r="L64" s="1"/>
  <c r="G18"/>
  <c r="H64" s="1"/>
  <c r="K17"/>
  <c r="L63" s="1"/>
  <c r="G17"/>
  <c r="H63" s="1"/>
  <c r="K16"/>
  <c r="G16"/>
  <c r="K15"/>
  <c r="L61" s="1"/>
  <c r="G15"/>
  <c r="H61" s="1"/>
  <c r="K14"/>
  <c r="L60" s="1"/>
  <c r="G14"/>
  <c r="H60" s="1"/>
  <c r="K13"/>
  <c r="L59" s="1"/>
  <c r="G13"/>
  <c r="H59" s="1"/>
  <c r="K12"/>
  <c r="L58" s="1"/>
  <c r="G12"/>
  <c r="H58" s="1"/>
  <c r="K11"/>
  <c r="G11"/>
  <c r="K10"/>
  <c r="G10"/>
  <c r="K9"/>
  <c r="L55" s="1"/>
  <c r="G9"/>
  <c r="H55" s="1"/>
  <c r="K8"/>
  <c r="L54" s="1"/>
  <c r="G8"/>
  <c r="H54" s="1"/>
  <c r="K7"/>
  <c r="L53" s="1"/>
  <c r="G7"/>
  <c r="H53" s="1"/>
  <c r="K6"/>
  <c r="L52" s="1"/>
  <c r="G6"/>
  <c r="K5"/>
  <c r="G5"/>
  <c r="H49" l="1"/>
  <c r="J47"/>
  <c r="G47"/>
  <c r="F47"/>
  <c r="N46"/>
  <c r="G46"/>
  <c r="K47"/>
  <c r="F49"/>
  <c r="J49"/>
  <c r="N49"/>
  <c r="O46"/>
  <c r="P51"/>
  <c r="O52" s="1"/>
  <c r="K51"/>
  <c r="O47"/>
  <c r="H52"/>
  <c r="G52" s="1"/>
  <c r="K52"/>
  <c r="K46"/>
  <c r="G49" l="1"/>
  <c r="O51"/>
  <c r="G51"/>
</calcChain>
</file>

<file path=xl/sharedStrings.xml><?xml version="1.0" encoding="utf-8"?>
<sst xmlns="http://schemas.openxmlformats.org/spreadsheetml/2006/main" count="340" uniqueCount="82">
  <si>
    <t>Problema</t>
  </si>
  <si>
    <t>Nodi</t>
  </si>
  <si>
    <t>P nodi</t>
  </si>
  <si>
    <t>Sol Ottima</t>
  </si>
  <si>
    <t>Best Sol</t>
  </si>
  <si>
    <t>TimeElap</t>
  </si>
  <si>
    <t>GapSol%</t>
  </si>
  <si>
    <t>Wrapper</t>
  </si>
  <si>
    <t>pmed1</t>
  </si>
  <si>
    <t>No</t>
  </si>
  <si>
    <t>Si</t>
  </si>
  <si>
    <t>pmed2</t>
  </si>
  <si>
    <t>pmed3</t>
  </si>
  <si>
    <t>pmed4</t>
  </si>
  <si>
    <t>pmed5</t>
  </si>
  <si>
    <t>pmed6</t>
  </si>
  <si>
    <t>pmed7</t>
  </si>
  <si>
    <t>pmed8</t>
  </si>
  <si>
    <t>pmed9</t>
  </si>
  <si>
    <t>pmed10</t>
  </si>
  <si>
    <t>pmed11</t>
  </si>
  <si>
    <t>pmed12</t>
  </si>
  <si>
    <t>pmed13</t>
  </si>
  <si>
    <t>pmed14</t>
  </si>
  <si>
    <t>pmed15</t>
  </si>
  <si>
    <t>pmed16</t>
  </si>
  <si>
    <t>pmed17</t>
  </si>
  <si>
    <t>pmed18</t>
  </si>
  <si>
    <t>pmed19</t>
  </si>
  <si>
    <t>pmed20</t>
  </si>
  <si>
    <t>pmed21</t>
  </si>
  <si>
    <t>pmed22</t>
  </si>
  <si>
    <t>pmed23</t>
  </si>
  <si>
    <t>pmed24</t>
  </si>
  <si>
    <t>pmed25</t>
  </si>
  <si>
    <t>pmed26</t>
  </si>
  <si>
    <t>pmed27</t>
  </si>
  <si>
    <t>pmed28</t>
  </si>
  <si>
    <t>pmed29</t>
  </si>
  <si>
    <t>pmed30</t>
  </si>
  <si>
    <t>pmed31</t>
  </si>
  <si>
    <t>pmed32</t>
  </si>
  <si>
    <t>pmed33</t>
  </si>
  <si>
    <t>pmed34</t>
  </si>
  <si>
    <t>pmed35</t>
  </si>
  <si>
    <t>pmed36</t>
  </si>
  <si>
    <t>pmed37</t>
  </si>
  <si>
    <t>pmed38</t>
  </si>
  <si>
    <t>pmed39</t>
  </si>
  <si>
    <t>pmed40</t>
  </si>
  <si>
    <t>Media</t>
  </si>
  <si>
    <t>Conta</t>
  </si>
  <si>
    <t>Wrapper Si</t>
  </si>
  <si>
    <t>Wrapper No</t>
  </si>
  <si>
    <t>Totale</t>
  </si>
  <si>
    <t>val w si</t>
  </si>
  <si>
    <t>min wrapper si</t>
  </si>
  <si>
    <t>Max wrapper Si</t>
  </si>
  <si>
    <t>Seed</t>
  </si>
  <si>
    <t>Error</t>
  </si>
  <si>
    <t>Wrapper Error</t>
  </si>
  <si>
    <t>Gap dall’ottimo (%)</t>
  </si>
  <si>
    <t>min</t>
  </si>
  <si>
    <t>Max</t>
  </si>
  <si>
    <t>Soluzioni</t>
  </si>
  <si>
    <t>da 3000 a 5000 aumenta perché crash CoinMP</t>
  </si>
  <si>
    <t>quindi risulta avere meno soluzioni migliorate dal</t>
  </si>
  <si>
    <t>wrapper e piu soluzioni in Error</t>
  </si>
  <si>
    <t>Solo Con Esito Positivo Wrapper</t>
  </si>
  <si>
    <t>Max Wraper Tot</t>
  </si>
  <si>
    <t>Max Wrapper Tot</t>
  </si>
  <si>
    <t>Tempo Medio (s)</t>
  </si>
  <si>
    <t>Set - Covering</t>
  </si>
  <si>
    <t>Set - Partitioning</t>
  </si>
  <si>
    <t>Risultati SC - SP (%)</t>
  </si>
  <si>
    <t>MAX</t>
  </si>
  <si>
    <t>Solo Con Esito Positivo Wrapper, Stessi Problemi</t>
  </si>
  <si>
    <t>Differenze fra Set - Covering e Set - Partitioning</t>
  </si>
  <si>
    <t>N° problemi  risolti</t>
  </si>
  <si>
    <t>vs SP Max</t>
  </si>
  <si>
    <t>vs SP Media</t>
  </si>
  <si>
    <t>vs SP min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</si>
</sst>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thin">
        <color indexed="64"/>
      </right>
      <top style="thick">
        <color auto="1"/>
      </top>
      <bottom/>
      <diagonal/>
    </border>
    <border>
      <left style="thin">
        <color indexed="64"/>
      </left>
      <right/>
      <top style="thick">
        <color auto="1"/>
      </top>
      <bottom style="thin">
        <color indexed="64"/>
      </bottom>
      <diagonal/>
    </border>
    <border>
      <left/>
      <right/>
      <top style="thick">
        <color auto="1"/>
      </top>
      <bottom style="thin">
        <color indexed="64"/>
      </bottom>
      <diagonal/>
    </border>
    <border>
      <left/>
      <right style="thick">
        <color auto="1"/>
      </right>
      <top style="thick">
        <color auto="1"/>
      </top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/>
      <right style="thick">
        <color auto="1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auto="1"/>
      </right>
      <top style="medium">
        <color indexed="64"/>
      </top>
      <bottom style="thin">
        <color indexed="64"/>
      </bottom>
      <diagonal/>
    </border>
    <border>
      <left/>
      <right style="thick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4" xfId="0" applyBorder="1"/>
    <xf numFmtId="3" fontId="0" fillId="0" borderId="9" xfId="0" applyNumberFormat="1" applyBorder="1"/>
    <xf numFmtId="4" fontId="0" fillId="0" borderId="9" xfId="0" applyNumberFormat="1" applyBorder="1"/>
    <xf numFmtId="0" fontId="0" fillId="0" borderId="10" xfId="0" applyBorder="1"/>
    <xf numFmtId="0" fontId="0" fillId="0" borderId="11" xfId="0" applyBorder="1"/>
    <xf numFmtId="2" fontId="0" fillId="0" borderId="0" xfId="0" applyNumberFormat="1"/>
    <xf numFmtId="4" fontId="0" fillId="0" borderId="0" xfId="0" applyNumberFormat="1"/>
    <xf numFmtId="0" fontId="0" fillId="0" borderId="2" xfId="0" applyBorder="1"/>
    <xf numFmtId="0" fontId="0" fillId="0" borderId="12" xfId="0" applyBorder="1"/>
    <xf numFmtId="0" fontId="1" fillId="0" borderId="0" xfId="0" applyFont="1"/>
    <xf numFmtId="0" fontId="0" fillId="0" borderId="0" xfId="0" applyFill="1" applyBorder="1"/>
    <xf numFmtId="4" fontId="0" fillId="0" borderId="0" xfId="0" applyNumberFormat="1" applyFill="1" applyBorder="1"/>
    <xf numFmtId="0" fontId="0" fillId="0" borderId="13" xfId="0" applyBorder="1"/>
    <xf numFmtId="0" fontId="0" fillId="0" borderId="14" xfId="0" applyBorder="1"/>
    <xf numFmtId="4" fontId="0" fillId="0" borderId="14" xfId="0" applyNumberFormat="1" applyBorder="1"/>
    <xf numFmtId="0" fontId="0" fillId="0" borderId="0" xfId="0" applyBorder="1"/>
    <xf numFmtId="2" fontId="0" fillId="0" borderId="0" xfId="0" applyNumberFormat="1" applyBorder="1"/>
    <xf numFmtId="4" fontId="0" fillId="0" borderId="0" xfId="0" applyNumberFormat="1" applyBorder="1"/>
    <xf numFmtId="4" fontId="0" fillId="0" borderId="3" xfId="0" applyNumberFormat="1" applyBorder="1"/>
    <xf numFmtId="0" fontId="0" fillId="0" borderId="3" xfId="0" applyBorder="1"/>
    <xf numFmtId="0" fontId="0" fillId="0" borderId="12" xfId="0" applyFont="1" applyBorder="1"/>
    <xf numFmtId="4" fontId="0" fillId="0" borderId="0" xfId="0" applyNumberFormat="1" applyFont="1"/>
    <xf numFmtId="2" fontId="0" fillId="0" borderId="0" xfId="0" applyNumberFormat="1" applyFont="1"/>
    <xf numFmtId="0" fontId="0" fillId="2" borderId="0" xfId="0" applyFill="1" applyBorder="1"/>
    <xf numFmtId="0" fontId="1" fillId="2" borderId="0" xfId="0" applyFont="1" applyFill="1" applyBorder="1"/>
    <xf numFmtId="0" fontId="3" fillId="3" borderId="14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3" fontId="3" fillId="3" borderId="0" xfId="0" applyNumberFormat="1" applyFont="1" applyFill="1" applyAlignment="1">
      <alignment horizontal="justify" vertical="top" wrapText="1"/>
    </xf>
    <xf numFmtId="2" fontId="4" fillId="4" borderId="0" xfId="0" applyNumberFormat="1" applyFont="1" applyFill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3" fontId="3" fillId="3" borderId="15" xfId="0" applyNumberFormat="1" applyFont="1" applyFill="1" applyBorder="1" applyAlignment="1">
      <alignment horizontal="justify" vertical="top" wrapText="1"/>
    </xf>
    <xf numFmtId="2" fontId="4" fillId="4" borderId="15" xfId="0" applyNumberFormat="1" applyFont="1" applyFill="1" applyBorder="1" applyAlignment="1">
      <alignment horizontal="center" vertical="center" wrapText="1"/>
    </xf>
    <xf numFmtId="2" fontId="4" fillId="5" borderId="0" xfId="0" applyNumberFormat="1" applyFont="1" applyFill="1" applyAlignment="1">
      <alignment horizontal="center" vertical="center" wrapText="1"/>
    </xf>
    <xf numFmtId="2" fontId="0" fillId="5" borderId="0" xfId="0" applyNumberFormat="1" applyFill="1" applyBorder="1" applyAlignment="1">
      <alignment horizontal="center" vertical="center"/>
    </xf>
    <xf numFmtId="0" fontId="0" fillId="0" borderId="21" xfId="0" applyBorder="1"/>
    <xf numFmtId="0" fontId="0" fillId="0" borderId="0" xfId="0" applyFont="1" applyFill="1" applyBorder="1"/>
    <xf numFmtId="0" fontId="0" fillId="0" borderId="16" xfId="0" applyBorder="1"/>
    <xf numFmtId="0" fontId="0" fillId="0" borderId="22" xfId="0" applyBorder="1"/>
    <xf numFmtId="2" fontId="0" fillId="2" borderId="0" xfId="0" applyNumberFormat="1" applyFill="1" applyBorder="1"/>
    <xf numFmtId="4" fontId="0" fillId="2" borderId="0" xfId="0" applyNumberFormat="1" applyFill="1" applyBorder="1"/>
    <xf numFmtId="0" fontId="0" fillId="2" borderId="2" xfId="0" applyFill="1" applyBorder="1"/>
    <xf numFmtId="3" fontId="0" fillId="0" borderId="25" xfId="0" applyNumberFormat="1" applyBorder="1"/>
    <xf numFmtId="3" fontId="0" fillId="0" borderId="27" xfId="0" applyNumberFormat="1" applyBorder="1"/>
    <xf numFmtId="4" fontId="0" fillId="0" borderId="0" xfId="0" applyNumberFormat="1" applyFont="1" applyBorder="1"/>
    <xf numFmtId="0" fontId="5" fillId="6" borderId="0" xfId="0" applyFont="1" applyFill="1"/>
    <xf numFmtId="0" fontId="2" fillId="6" borderId="0" xfId="0" applyFont="1" applyFill="1"/>
    <xf numFmtId="0" fontId="2" fillId="7" borderId="0" xfId="0" applyFont="1" applyFill="1"/>
    <xf numFmtId="1" fontId="0" fillId="5" borderId="0" xfId="0" applyNumberFormat="1" applyFill="1" applyBorder="1" applyAlignment="1">
      <alignment horizontal="center" vertical="center"/>
    </xf>
    <xf numFmtId="1" fontId="4" fillId="4" borderId="0" xfId="0" applyNumberFormat="1" applyFont="1" applyFill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1" fontId="4" fillId="4" borderId="15" xfId="0" applyNumberFormat="1" applyFont="1" applyFill="1" applyBorder="1" applyAlignment="1">
      <alignment horizontal="center" vertical="center" wrapText="1"/>
    </xf>
    <xf numFmtId="0" fontId="0" fillId="7" borderId="0" xfId="0" applyFill="1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v>Media</c:v>
          </c:tx>
          <c:marker>
            <c:symbol val="none"/>
          </c:marker>
          <c:cat>
            <c:numRef>
              <c:f>Riassunto!$A$3:$A$5</c:f>
              <c:numCache>
                <c:formatCode>#,##0</c:formatCode>
                <c:ptCount val="3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</c:numCache>
            </c:numRef>
          </c:cat>
          <c:val>
            <c:numRef>
              <c:f>Riassunto!$B$3:$B$5</c:f>
              <c:numCache>
                <c:formatCode>0.00</c:formatCode>
                <c:ptCount val="3"/>
                <c:pt idx="0">
                  <c:v>11.16</c:v>
                </c:pt>
                <c:pt idx="1">
                  <c:v>9.82</c:v>
                </c:pt>
                <c:pt idx="2">
                  <c:v>12</c:v>
                </c:pt>
              </c:numCache>
            </c:numRef>
          </c:val>
        </c:ser>
        <c:ser>
          <c:idx val="1"/>
          <c:order val="1"/>
          <c:tx>
            <c:v>min</c:v>
          </c:tx>
          <c:marker>
            <c:symbol val="none"/>
          </c:marker>
          <c:val>
            <c:numRef>
              <c:f>Riassunto!$C$3:$C$5</c:f>
              <c:numCache>
                <c:formatCode>0.00</c:formatCode>
                <c:ptCount val="3"/>
                <c:pt idx="0">
                  <c:v>0.83</c:v>
                </c:pt>
                <c:pt idx="1">
                  <c:v>0.17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v>Max</c:v>
          </c:tx>
          <c:marker>
            <c:symbol val="none"/>
          </c:marker>
          <c:val>
            <c:numRef>
              <c:f>Riassunto!$D$3:$D$5</c:f>
              <c:numCache>
                <c:formatCode>0.00</c:formatCode>
                <c:ptCount val="3"/>
                <c:pt idx="0">
                  <c:v>26.87</c:v>
                </c:pt>
                <c:pt idx="1">
                  <c:v>26.28</c:v>
                </c:pt>
                <c:pt idx="2">
                  <c:v>45.3</c:v>
                </c:pt>
              </c:numCache>
            </c:numRef>
          </c:val>
        </c:ser>
        <c:marker val="1"/>
        <c:axId val="85668992"/>
        <c:axId val="85670528"/>
      </c:lineChart>
      <c:catAx>
        <c:axId val="85668992"/>
        <c:scaling>
          <c:orientation val="minMax"/>
        </c:scaling>
        <c:axPos val="b"/>
        <c:numFmt formatCode="#,##0" sourceLinked="1"/>
        <c:tickLblPos val="nextTo"/>
        <c:crossAx val="85670528"/>
        <c:crosses val="autoZero"/>
        <c:auto val="1"/>
        <c:lblAlgn val="ctr"/>
        <c:lblOffset val="100"/>
      </c:catAx>
      <c:valAx>
        <c:axId val="85670528"/>
        <c:scaling>
          <c:orientation val="minMax"/>
        </c:scaling>
        <c:axPos val="l"/>
        <c:majorGridlines/>
        <c:numFmt formatCode="0.00" sourceLinked="1"/>
        <c:tickLblPos val="nextTo"/>
        <c:crossAx val="856689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v>Media</c:v>
          </c:tx>
          <c:marker>
            <c:symbol val="none"/>
          </c:marker>
          <c:cat>
            <c:numRef>
              <c:f>Riassunto!$A$20:$A$22</c:f>
              <c:numCache>
                <c:formatCode>#,##0</c:formatCode>
                <c:ptCount val="3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</c:numCache>
            </c:numRef>
          </c:cat>
          <c:val>
            <c:numRef>
              <c:f>Riassunto!$B$20:$B$22</c:f>
              <c:numCache>
                <c:formatCode>0.00</c:formatCode>
                <c:ptCount val="3"/>
                <c:pt idx="0">
                  <c:v>3.08</c:v>
                </c:pt>
                <c:pt idx="1">
                  <c:v>1.61</c:v>
                </c:pt>
                <c:pt idx="2">
                  <c:v>1.1599999999999999</c:v>
                </c:pt>
              </c:numCache>
            </c:numRef>
          </c:val>
        </c:ser>
        <c:ser>
          <c:idx val="1"/>
          <c:order val="1"/>
          <c:tx>
            <c:v>min</c:v>
          </c:tx>
          <c:marker>
            <c:symbol val="none"/>
          </c:marker>
          <c:val>
            <c:numRef>
              <c:f>Riassunto!$C$20:$C$22</c:f>
              <c:numCache>
                <c:formatCode>0.00</c:formatCode>
                <c:ptCount val="3"/>
                <c:pt idx="0">
                  <c:v>0.83</c:v>
                </c:pt>
                <c:pt idx="1">
                  <c:v>0.17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v>Max</c:v>
          </c:tx>
          <c:marker>
            <c:symbol val="none"/>
          </c:marker>
          <c:val>
            <c:numRef>
              <c:f>Riassunto!$D$20:$D$22</c:f>
              <c:numCache>
                <c:formatCode>0.00</c:formatCode>
                <c:ptCount val="3"/>
                <c:pt idx="0">
                  <c:v>10.94</c:v>
                </c:pt>
                <c:pt idx="1">
                  <c:v>7.32</c:v>
                </c:pt>
                <c:pt idx="2">
                  <c:v>5.79</c:v>
                </c:pt>
              </c:numCache>
            </c:numRef>
          </c:val>
        </c:ser>
        <c:marker val="1"/>
        <c:axId val="85691776"/>
        <c:axId val="85714048"/>
      </c:lineChart>
      <c:catAx>
        <c:axId val="85691776"/>
        <c:scaling>
          <c:orientation val="minMax"/>
        </c:scaling>
        <c:axPos val="b"/>
        <c:numFmt formatCode="#,##0" sourceLinked="1"/>
        <c:tickLblPos val="nextTo"/>
        <c:crossAx val="85714048"/>
        <c:crosses val="autoZero"/>
        <c:auto val="1"/>
        <c:lblAlgn val="ctr"/>
        <c:lblOffset val="100"/>
      </c:catAx>
      <c:valAx>
        <c:axId val="85714048"/>
        <c:scaling>
          <c:orientation val="minMax"/>
        </c:scaling>
        <c:axPos val="l"/>
        <c:majorGridlines/>
        <c:numFmt formatCode="0.00" sourceLinked="1"/>
        <c:tickLblPos val="nextTo"/>
        <c:crossAx val="856917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>
        <c:manualLayout>
          <c:layoutTarget val="inner"/>
          <c:xMode val="edge"/>
          <c:yMode val="edge"/>
          <c:x val="0.17375240594925634"/>
          <c:y val="2.8252405949256338E-2"/>
          <c:w val="0.69051137357830272"/>
          <c:h val="0.8326195683872849"/>
        </c:manualLayout>
      </c:layout>
      <c:lineChart>
        <c:grouping val="standard"/>
        <c:ser>
          <c:idx val="0"/>
          <c:order val="0"/>
          <c:tx>
            <c:v>Media</c:v>
          </c:tx>
          <c:marker>
            <c:symbol val="none"/>
          </c:marker>
          <c:cat>
            <c:numRef>
              <c:f>RiassuntoSP!$A$4:$A$6</c:f>
              <c:numCache>
                <c:formatCode>#,##0</c:formatCode>
                <c:ptCount val="3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</c:numCache>
            </c:numRef>
          </c:cat>
          <c:val>
            <c:numRef>
              <c:f>RiassuntoSP!$B$4:$B$6</c:f>
              <c:numCache>
                <c:formatCode>0.00</c:formatCode>
                <c:ptCount val="3"/>
                <c:pt idx="0">
                  <c:v>2.67</c:v>
                </c:pt>
                <c:pt idx="1">
                  <c:v>1.23</c:v>
                </c:pt>
                <c:pt idx="2">
                  <c:v>8</c:v>
                </c:pt>
              </c:numCache>
            </c:numRef>
          </c:val>
        </c:ser>
        <c:ser>
          <c:idx val="1"/>
          <c:order val="1"/>
          <c:tx>
            <c:v>min</c:v>
          </c:tx>
          <c:marker>
            <c:symbol val="none"/>
          </c:marker>
          <c:val>
            <c:numRef>
              <c:f>RiassuntoSP!$C$4:$C$6</c:f>
              <c:numCache>
                <c:formatCode>0.00</c:formatCode>
                <c:ptCount val="3"/>
                <c:pt idx="0">
                  <c:v>0.83</c:v>
                </c:pt>
                <c:pt idx="1">
                  <c:v>0.17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v>Max</c:v>
          </c:tx>
          <c:marker>
            <c:symbol val="none"/>
          </c:marker>
          <c:val>
            <c:numRef>
              <c:f>RiassuntoSP!$D$4:$D$6</c:f>
              <c:numCache>
                <c:formatCode>0.00</c:formatCode>
                <c:ptCount val="3"/>
                <c:pt idx="0">
                  <c:v>10.32</c:v>
                </c:pt>
                <c:pt idx="1">
                  <c:v>7.38</c:v>
                </c:pt>
                <c:pt idx="2">
                  <c:v>45.3</c:v>
                </c:pt>
              </c:numCache>
            </c:numRef>
          </c:val>
        </c:ser>
        <c:marker val="1"/>
        <c:axId val="85879040"/>
        <c:axId val="85884928"/>
      </c:lineChart>
      <c:catAx>
        <c:axId val="85879040"/>
        <c:scaling>
          <c:orientation val="minMax"/>
        </c:scaling>
        <c:axPos val="b"/>
        <c:numFmt formatCode="#,##0" sourceLinked="1"/>
        <c:tickLblPos val="nextTo"/>
        <c:crossAx val="85884928"/>
        <c:crosses val="autoZero"/>
        <c:auto val="1"/>
        <c:lblAlgn val="ctr"/>
        <c:lblOffset val="100"/>
      </c:catAx>
      <c:valAx>
        <c:axId val="85884928"/>
        <c:scaling>
          <c:orientation val="minMax"/>
        </c:scaling>
        <c:axPos val="l"/>
        <c:majorGridlines/>
        <c:numFmt formatCode="0.00" sourceLinked="1"/>
        <c:tickLblPos val="nextTo"/>
        <c:crossAx val="858790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v>Media</c:v>
          </c:tx>
          <c:marker>
            <c:symbol val="none"/>
          </c:marker>
          <c:cat>
            <c:numRef>
              <c:f>RiassuntoSP!$A$20:$A$22</c:f>
              <c:numCache>
                <c:formatCode>#,##0</c:formatCode>
                <c:ptCount val="3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</c:numCache>
            </c:numRef>
          </c:cat>
          <c:val>
            <c:numRef>
              <c:f>RiassuntoSP!$B$20:$B$22</c:f>
              <c:numCache>
                <c:formatCode>0.00</c:formatCode>
                <c:ptCount val="3"/>
                <c:pt idx="0">
                  <c:v>2.67</c:v>
                </c:pt>
                <c:pt idx="1">
                  <c:v>1.23</c:v>
                </c:pt>
                <c:pt idx="2">
                  <c:v>1.1599999999999999</c:v>
                </c:pt>
              </c:numCache>
            </c:numRef>
          </c:val>
        </c:ser>
        <c:ser>
          <c:idx val="1"/>
          <c:order val="1"/>
          <c:tx>
            <c:v>min</c:v>
          </c:tx>
          <c:marker>
            <c:symbol val="none"/>
          </c:marker>
          <c:val>
            <c:numRef>
              <c:f>RiassuntoSP!$C$20:$C$22</c:f>
              <c:numCache>
                <c:formatCode>0.00</c:formatCode>
                <c:ptCount val="3"/>
                <c:pt idx="0">
                  <c:v>0.83</c:v>
                </c:pt>
                <c:pt idx="1">
                  <c:v>0.17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v>Max</c:v>
          </c:tx>
          <c:marker>
            <c:symbol val="none"/>
          </c:marker>
          <c:val>
            <c:numRef>
              <c:f>RiassuntoSP!$D$20:$D$22</c:f>
              <c:numCache>
                <c:formatCode>0.00</c:formatCode>
                <c:ptCount val="3"/>
                <c:pt idx="0">
                  <c:v>10.32</c:v>
                </c:pt>
                <c:pt idx="1">
                  <c:v>7.38</c:v>
                </c:pt>
                <c:pt idx="2">
                  <c:v>5.79</c:v>
                </c:pt>
              </c:numCache>
            </c:numRef>
          </c:val>
        </c:ser>
        <c:marker val="1"/>
        <c:axId val="64252928"/>
        <c:axId val="65145472"/>
      </c:lineChart>
      <c:catAx>
        <c:axId val="64252928"/>
        <c:scaling>
          <c:orientation val="minMax"/>
        </c:scaling>
        <c:axPos val="b"/>
        <c:numFmt formatCode="#,##0" sourceLinked="1"/>
        <c:tickLblPos val="nextTo"/>
        <c:crossAx val="65145472"/>
        <c:crosses val="autoZero"/>
        <c:auto val="1"/>
        <c:lblAlgn val="ctr"/>
        <c:lblOffset val="100"/>
      </c:catAx>
      <c:valAx>
        <c:axId val="65145472"/>
        <c:scaling>
          <c:orientation val="minMax"/>
        </c:scaling>
        <c:axPos val="l"/>
        <c:majorGridlines/>
        <c:numFmt formatCode="0.00" sourceLinked="1"/>
        <c:tickLblPos val="nextTo"/>
        <c:crossAx val="642529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Tempo Medio (s)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Set - Covering</c:v>
          </c:tx>
          <c:cat>
            <c:numRef>
              <c:f>'SC vs SP'!$A$19:$A$21</c:f>
              <c:numCache>
                <c:formatCode>#,##0</c:formatCode>
                <c:ptCount val="3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</c:numCache>
            </c:numRef>
          </c:cat>
          <c:val>
            <c:numRef>
              <c:f>'SC vs SP'!$B$19:$B$21</c:f>
              <c:numCache>
                <c:formatCode>0.00</c:formatCode>
                <c:ptCount val="3"/>
                <c:pt idx="0">
                  <c:v>43.59</c:v>
                </c:pt>
                <c:pt idx="1">
                  <c:v>352.86</c:v>
                </c:pt>
                <c:pt idx="2">
                  <c:v>732.73</c:v>
                </c:pt>
              </c:numCache>
            </c:numRef>
          </c:val>
        </c:ser>
        <c:ser>
          <c:idx val="1"/>
          <c:order val="1"/>
          <c:tx>
            <c:v>Set - Partitioning</c:v>
          </c:tx>
          <c:val>
            <c:numRef>
              <c:f>'SC vs SP'!$C$19:$C$21</c:f>
              <c:numCache>
                <c:formatCode>0.00</c:formatCode>
                <c:ptCount val="3"/>
                <c:pt idx="0">
                  <c:v>1346.14</c:v>
                </c:pt>
                <c:pt idx="1">
                  <c:v>4036.55</c:v>
                </c:pt>
                <c:pt idx="2">
                  <c:v>1751.5</c:v>
                </c:pt>
              </c:numCache>
            </c:numRef>
          </c:val>
        </c:ser>
        <c:axId val="110891776"/>
        <c:axId val="110893312"/>
      </c:barChart>
      <c:catAx>
        <c:axId val="110891776"/>
        <c:scaling>
          <c:orientation val="minMax"/>
        </c:scaling>
        <c:axPos val="b"/>
        <c:numFmt formatCode="#,##0" sourceLinked="1"/>
        <c:tickLblPos val="nextTo"/>
        <c:crossAx val="110893312"/>
        <c:crosses val="autoZero"/>
        <c:auto val="1"/>
        <c:lblAlgn val="ctr"/>
        <c:lblOffset val="100"/>
      </c:catAx>
      <c:valAx>
        <c:axId val="110893312"/>
        <c:scaling>
          <c:orientation val="minMax"/>
        </c:scaling>
        <c:axPos val="l"/>
        <c:majorGridlines/>
        <c:numFmt formatCode="0.00" sourceLinked="1"/>
        <c:tickLblPos val="nextTo"/>
        <c:crossAx val="1108917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Differenza Gap</a:t>
            </a:r>
            <a:r>
              <a:rPr lang="it-IT" baseline="0"/>
              <a:t> SC-SP (%)</a:t>
            </a:r>
            <a:endParaRPr lang="it-IT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Media</c:v>
          </c:tx>
          <c:cat>
            <c:numRef>
              <c:f>'SC vs SP'!$E$19:$E$21</c:f>
              <c:numCache>
                <c:formatCode>#,##0</c:formatCode>
                <c:ptCount val="3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</c:numCache>
            </c:numRef>
          </c:cat>
          <c:val>
            <c:numRef>
              <c:f>'SC vs SP'!$F$19:$F$21</c:f>
              <c:numCache>
                <c:formatCode>0.00</c:formatCode>
                <c:ptCount val="3"/>
                <c:pt idx="0">
                  <c:v>-0.12</c:v>
                </c:pt>
                <c:pt idx="1">
                  <c:v>-3.6211216334516294E-3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min</c:v>
          </c:tx>
          <c:cat>
            <c:numRef>
              <c:f>'SC vs SP'!$E$19:$E$21</c:f>
              <c:numCache>
                <c:formatCode>#,##0</c:formatCode>
                <c:ptCount val="3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</c:numCache>
            </c:numRef>
          </c:cat>
          <c:val>
            <c:numRef>
              <c:f>'SC vs SP'!$G$19:$G$21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v>Max</c:v>
          </c:tx>
          <c:cat>
            <c:numRef>
              <c:f>'SC vs SP'!$E$19:$E$21</c:f>
              <c:numCache>
                <c:formatCode>#,##0</c:formatCode>
                <c:ptCount val="3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</c:numCache>
            </c:numRef>
          </c:cat>
          <c:val>
            <c:numRef>
              <c:f>'SC vs SP'!$H$19:$H$21</c:f>
              <c:numCache>
                <c:formatCode>0.00</c:formatCode>
                <c:ptCount val="3"/>
                <c:pt idx="0">
                  <c:v>-1.01</c:v>
                </c:pt>
                <c:pt idx="1">
                  <c:v>-5.7937946135226071E-2</c:v>
                </c:pt>
                <c:pt idx="2">
                  <c:v>0</c:v>
                </c:pt>
              </c:numCache>
            </c:numRef>
          </c:val>
        </c:ser>
        <c:marker val="1"/>
        <c:axId val="112552192"/>
        <c:axId val="117760000"/>
      </c:lineChart>
      <c:catAx>
        <c:axId val="112552192"/>
        <c:scaling>
          <c:orientation val="minMax"/>
        </c:scaling>
        <c:axPos val="b"/>
        <c:numFmt formatCode="#,##0" sourceLinked="1"/>
        <c:tickLblPos val="nextTo"/>
        <c:crossAx val="117760000"/>
        <c:crosses val="autoZero"/>
        <c:auto val="1"/>
        <c:lblAlgn val="ctr"/>
        <c:lblOffset val="100"/>
      </c:catAx>
      <c:valAx>
        <c:axId val="117760000"/>
        <c:scaling>
          <c:orientation val="minMax"/>
        </c:scaling>
        <c:axPos val="l"/>
        <c:majorGridlines/>
        <c:numFmt formatCode="0.00" sourceLinked="1"/>
        <c:tickLblPos val="nextTo"/>
        <c:crossAx val="1125521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0</xdr:row>
      <xdr:rowOff>200025</xdr:rowOff>
    </xdr:from>
    <xdr:to>
      <xdr:col>12</xdr:col>
      <xdr:colOff>76200</xdr:colOff>
      <xdr:row>13</xdr:row>
      <xdr:rowOff>133350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476250</xdr:colOff>
      <xdr:row>17</xdr:row>
      <xdr:rowOff>19050</xdr:rowOff>
    </xdr:from>
    <xdr:to>
      <xdr:col>12</xdr:col>
      <xdr:colOff>171450</xdr:colOff>
      <xdr:row>30</xdr:row>
      <xdr:rowOff>47625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1</xdr:row>
      <xdr:rowOff>142875</xdr:rowOff>
    </xdr:from>
    <xdr:to>
      <xdr:col>12</xdr:col>
      <xdr:colOff>352425</xdr:colOff>
      <xdr:row>13</xdr:row>
      <xdr:rowOff>171450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142875</xdr:colOff>
      <xdr:row>17</xdr:row>
      <xdr:rowOff>209550</xdr:rowOff>
    </xdr:from>
    <xdr:to>
      <xdr:col>12</xdr:col>
      <xdr:colOff>447675</xdr:colOff>
      <xdr:row>30</xdr:row>
      <xdr:rowOff>47625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22</xdr:row>
      <xdr:rowOff>57150</xdr:rowOff>
    </xdr:from>
    <xdr:to>
      <xdr:col>8</xdr:col>
      <xdr:colOff>104775</xdr:colOff>
      <xdr:row>36</xdr:row>
      <xdr:rowOff>133350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22</xdr:row>
      <xdr:rowOff>114300</xdr:rowOff>
    </xdr:from>
    <xdr:to>
      <xdr:col>16</xdr:col>
      <xdr:colOff>304800</xdr:colOff>
      <xdr:row>37</xdr:row>
      <xdr:rowOff>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07"/>
  <sheetViews>
    <sheetView topLeftCell="A4" zoomScaleNormal="100" workbookViewId="0">
      <selection activeCell="H13" sqref="H13"/>
    </sheetView>
  </sheetViews>
  <sheetFormatPr defaultRowHeight="15"/>
  <cols>
    <col min="1" max="1" width="14.7109375" bestFit="1" customWidth="1"/>
    <col min="6" max="6" width="10.140625" bestFit="1" customWidth="1"/>
    <col min="10" max="10" width="10.140625" bestFit="1" customWidth="1"/>
    <col min="14" max="14" width="10.140625" bestFit="1" customWidth="1"/>
  </cols>
  <sheetData>
    <row r="1" spans="1:24" ht="15.75" thickBot="1">
      <c r="A1" s="10" t="s">
        <v>58</v>
      </c>
      <c r="B1" s="10">
        <v>1657</v>
      </c>
    </row>
    <row r="2" spans="1:24">
      <c r="A2" s="53" t="s">
        <v>0</v>
      </c>
      <c r="B2" s="53" t="s">
        <v>1</v>
      </c>
      <c r="C2" s="53" t="s">
        <v>2</v>
      </c>
      <c r="D2" s="53" t="s">
        <v>3</v>
      </c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7"/>
      <c r="Q2" s="1"/>
    </row>
    <row r="3" spans="1:24">
      <c r="A3" s="54"/>
      <c r="B3" s="54"/>
      <c r="C3" s="54"/>
      <c r="D3" s="54"/>
      <c r="E3" s="58">
        <v>1000</v>
      </c>
      <c r="F3" s="59"/>
      <c r="G3" s="59"/>
      <c r="H3" s="59"/>
      <c r="I3" s="58">
        <v>3000</v>
      </c>
      <c r="J3" s="59"/>
      <c r="K3" s="59"/>
      <c r="L3" s="59"/>
      <c r="M3" s="58">
        <v>5000</v>
      </c>
      <c r="N3" s="59"/>
      <c r="O3" s="59"/>
      <c r="P3" s="60"/>
      <c r="Q3" s="1"/>
      <c r="T3" s="67">
        <v>1000</v>
      </c>
      <c r="V3" s="67">
        <v>3000</v>
      </c>
      <c r="X3" s="67">
        <v>5000</v>
      </c>
    </row>
    <row r="4" spans="1:24" ht="15.75" thickBot="1">
      <c r="A4" s="55"/>
      <c r="B4" s="55"/>
      <c r="C4" s="55"/>
      <c r="D4" s="55"/>
      <c r="E4" s="2" t="s">
        <v>4</v>
      </c>
      <c r="F4" s="3" t="s">
        <v>5</v>
      </c>
      <c r="G4" s="2" t="s">
        <v>6</v>
      </c>
      <c r="H4" s="2" t="s">
        <v>7</v>
      </c>
      <c r="I4" s="2" t="s">
        <v>4</v>
      </c>
      <c r="J4" s="2" t="s">
        <v>5</v>
      </c>
      <c r="K4" s="2" t="s">
        <v>6</v>
      </c>
      <c r="L4" s="2" t="s">
        <v>7</v>
      </c>
      <c r="M4" s="2" t="s">
        <v>4</v>
      </c>
      <c r="N4" s="2" t="s">
        <v>5</v>
      </c>
      <c r="O4" s="2" t="s">
        <v>6</v>
      </c>
      <c r="P4" s="42" t="s">
        <v>7</v>
      </c>
      <c r="Q4" s="1"/>
    </row>
    <row r="5" spans="1:24">
      <c r="A5" s="4" t="s">
        <v>8</v>
      </c>
      <c r="B5">
        <v>100</v>
      </c>
      <c r="C5">
        <v>5</v>
      </c>
      <c r="D5">
        <v>5819</v>
      </c>
      <c r="E5" s="5">
        <v>6377</v>
      </c>
      <c r="F5" s="7">
        <v>12.852</v>
      </c>
      <c r="G5" s="6">
        <f>100-100*($D5/E5)</f>
        <v>8.7501960169358597</v>
      </c>
      <c r="H5" t="s">
        <v>9</v>
      </c>
      <c r="I5" s="5">
        <v>6151</v>
      </c>
      <c r="J5" s="12">
        <v>32.218000000000004</v>
      </c>
      <c r="K5" s="6">
        <f>100-100*($D5/I5)</f>
        <v>5.3974963420582043</v>
      </c>
      <c r="L5" t="s">
        <v>9</v>
      </c>
      <c r="M5" s="5">
        <v>6151</v>
      </c>
      <c r="N5" s="7">
        <f>3*60+53.839</f>
        <v>233.839</v>
      </c>
      <c r="O5" s="6">
        <f>100-100*($D5/M5)</f>
        <v>5.3974963420582043</v>
      </c>
      <c r="P5" t="s">
        <v>9</v>
      </c>
      <c r="Q5" s="1"/>
      <c r="T5" t="str">
        <f>IF(H5="Si",F5,"")</f>
        <v/>
      </c>
      <c r="V5" t="str">
        <f>IF(L5="Si",J5,"")</f>
        <v/>
      </c>
      <c r="X5" t="str">
        <f>IF(P5="Si",N5,"")</f>
        <v/>
      </c>
    </row>
    <row r="6" spans="1:24">
      <c r="A6" s="8" t="s">
        <v>11</v>
      </c>
      <c r="B6">
        <v>100</v>
      </c>
      <c r="C6">
        <v>10</v>
      </c>
      <c r="D6">
        <v>4093</v>
      </c>
      <c r="E6" s="9">
        <v>4513</v>
      </c>
      <c r="F6" s="7">
        <v>40.432000000000002</v>
      </c>
      <c r="G6" s="6">
        <f t="shared" ref="G6:G44" si="0">100-100*($D6/E6)</f>
        <v>9.3064480389984539</v>
      </c>
      <c r="H6" t="s">
        <v>10</v>
      </c>
      <c r="I6" s="9">
        <v>4317</v>
      </c>
      <c r="J6" s="7">
        <v>73.224000000000004</v>
      </c>
      <c r="K6" s="6">
        <f t="shared" ref="K6:K44" si="1">100-100*($D6/I6)</f>
        <v>5.1887885105397231</v>
      </c>
      <c r="L6" t="s">
        <v>10</v>
      </c>
      <c r="M6" s="9">
        <v>4263</v>
      </c>
      <c r="N6" s="7">
        <v>45.732999999999997</v>
      </c>
      <c r="O6" s="6">
        <f t="shared" ref="O6:O44" si="2">100-100*($D6/M6)</f>
        <v>3.9878020173586606</v>
      </c>
      <c r="P6" t="s">
        <v>10</v>
      </c>
      <c r="Q6" s="1"/>
      <c r="S6">
        <f>MIN(T6:T44)</f>
        <v>1.663</v>
      </c>
      <c r="T6">
        <f t="shared" ref="T6:T44" si="3">IF(H6="Si",F6,"")</f>
        <v>40.432000000000002</v>
      </c>
      <c r="U6">
        <f>MIN(V6:V44)</f>
        <v>4.1150000000000002</v>
      </c>
      <c r="V6">
        <f t="shared" ref="V6:X44" si="4">IF(L6="Si",J6,"")</f>
        <v>73.224000000000004</v>
      </c>
      <c r="W6">
        <f>MIN(X6:X44)</f>
        <v>9.2170000000000005</v>
      </c>
      <c r="X6">
        <f>IF(P6="Si",N6,"")</f>
        <v>45.732999999999997</v>
      </c>
    </row>
    <row r="7" spans="1:24">
      <c r="A7" s="8" t="s">
        <v>12</v>
      </c>
      <c r="B7">
        <v>100</v>
      </c>
      <c r="C7">
        <v>10</v>
      </c>
      <c r="D7">
        <v>4250</v>
      </c>
      <c r="E7" s="9">
        <v>4621</v>
      </c>
      <c r="F7" s="7">
        <v>59.203000000000003</v>
      </c>
      <c r="G7" s="6">
        <f t="shared" si="0"/>
        <v>8.0285652456178411</v>
      </c>
      <c r="H7" t="s">
        <v>10</v>
      </c>
      <c r="I7" s="9">
        <v>4425</v>
      </c>
      <c r="J7" s="7">
        <v>63.975000000000001</v>
      </c>
      <c r="K7" s="6">
        <f t="shared" si="1"/>
        <v>3.9548022598870034</v>
      </c>
      <c r="L7" t="s">
        <v>10</v>
      </c>
      <c r="M7" s="9">
        <v>4351</v>
      </c>
      <c r="N7" s="7">
        <f>60*50.173</f>
        <v>3010.38</v>
      </c>
      <c r="O7" s="6">
        <f t="shared" si="2"/>
        <v>2.3213054470236756</v>
      </c>
      <c r="P7" t="s">
        <v>10</v>
      </c>
      <c r="Q7" s="1"/>
      <c r="S7">
        <f>MAX(T6:T44)</f>
        <v>7193.8980000000001</v>
      </c>
      <c r="T7">
        <f t="shared" si="3"/>
        <v>59.203000000000003</v>
      </c>
      <c r="U7">
        <f>MAX(V6:V44)</f>
        <v>3708.3589999999999</v>
      </c>
      <c r="V7">
        <f t="shared" si="4"/>
        <v>63.975000000000001</v>
      </c>
      <c r="W7">
        <f>MAX(X6:X44)</f>
        <v>5192.3379999999997</v>
      </c>
      <c r="X7">
        <f t="shared" ref="X7:X44" si="5">IF(P7="Si",N7,"")</f>
        <v>3010.38</v>
      </c>
    </row>
    <row r="8" spans="1:24">
      <c r="A8" s="8" t="s">
        <v>13</v>
      </c>
      <c r="B8">
        <v>100</v>
      </c>
      <c r="C8">
        <v>20</v>
      </c>
      <c r="D8">
        <v>3034</v>
      </c>
      <c r="E8" s="9">
        <v>3080</v>
      </c>
      <c r="F8" s="7">
        <v>1.7549999999999999</v>
      </c>
      <c r="G8" s="6">
        <f t="shared" si="0"/>
        <v>1.4935064935064872</v>
      </c>
      <c r="H8" t="s">
        <v>10</v>
      </c>
      <c r="I8" s="9">
        <v>3061</v>
      </c>
      <c r="J8" s="7">
        <v>4.1150000000000002</v>
      </c>
      <c r="K8" s="6">
        <f t="shared" si="1"/>
        <v>0.88206468474353983</v>
      </c>
      <c r="L8" t="s">
        <v>10</v>
      </c>
      <c r="M8" s="9">
        <v>3034</v>
      </c>
      <c r="N8" s="7">
        <v>9.2170000000000005</v>
      </c>
      <c r="O8" s="6">
        <f t="shared" si="2"/>
        <v>0</v>
      </c>
      <c r="P8" t="s">
        <v>10</v>
      </c>
      <c r="Q8" s="1"/>
      <c r="T8">
        <f t="shared" si="3"/>
        <v>1.7549999999999999</v>
      </c>
      <c r="V8">
        <f t="shared" si="4"/>
        <v>4.1150000000000002</v>
      </c>
      <c r="X8">
        <f t="shared" si="5"/>
        <v>9.2170000000000005</v>
      </c>
    </row>
    <row r="9" spans="1:24">
      <c r="A9" s="8" t="s">
        <v>14</v>
      </c>
      <c r="B9">
        <v>100</v>
      </c>
      <c r="C9">
        <v>33</v>
      </c>
      <c r="D9">
        <v>1355</v>
      </c>
      <c r="E9" s="9">
        <v>1374</v>
      </c>
      <c r="F9" s="7">
        <v>1.663</v>
      </c>
      <c r="G9" s="6">
        <f t="shared" si="0"/>
        <v>1.3828238719068509</v>
      </c>
      <c r="H9" t="s">
        <v>10</v>
      </c>
      <c r="I9" s="9">
        <v>1360</v>
      </c>
      <c r="J9" s="7">
        <v>8.4350000000000005</v>
      </c>
      <c r="K9" s="6">
        <f t="shared" si="1"/>
        <v>0.36764705882352189</v>
      </c>
      <c r="L9" t="s">
        <v>10</v>
      </c>
      <c r="M9" s="21">
        <v>1360</v>
      </c>
      <c r="N9" s="22">
        <v>20.83</v>
      </c>
      <c r="O9" s="23">
        <f t="shared" si="2"/>
        <v>0.36764705882352189</v>
      </c>
      <c r="P9" t="s">
        <v>10</v>
      </c>
      <c r="Q9" s="1"/>
      <c r="T9">
        <f t="shared" si="3"/>
        <v>1.663</v>
      </c>
      <c r="V9">
        <f t="shared" si="4"/>
        <v>8.4350000000000005</v>
      </c>
      <c r="X9">
        <f t="shared" si="5"/>
        <v>20.83</v>
      </c>
    </row>
    <row r="10" spans="1:24">
      <c r="A10" s="8" t="s">
        <v>15</v>
      </c>
      <c r="B10">
        <v>200</v>
      </c>
      <c r="C10">
        <v>5</v>
      </c>
      <c r="D10">
        <v>7824</v>
      </c>
      <c r="E10" s="9">
        <v>8505</v>
      </c>
      <c r="F10" s="7">
        <v>2.0089999999999999</v>
      </c>
      <c r="G10" s="6">
        <f t="shared" si="0"/>
        <v>8.0070546737213419</v>
      </c>
      <c r="H10" t="s">
        <v>9</v>
      </c>
      <c r="I10" s="9">
        <v>8323</v>
      </c>
      <c r="J10" s="7">
        <v>6.7409999999999997</v>
      </c>
      <c r="K10" s="6">
        <f t="shared" si="1"/>
        <v>5.995434338579841</v>
      </c>
      <c r="L10" t="s">
        <v>9</v>
      </c>
      <c r="M10" s="9">
        <v>8323</v>
      </c>
      <c r="N10" s="7">
        <v>9.2196700000000007</v>
      </c>
      <c r="O10" s="6">
        <f t="shared" si="2"/>
        <v>5.995434338579841</v>
      </c>
      <c r="P10" t="s">
        <v>9</v>
      </c>
      <c r="Q10" s="1"/>
      <c r="T10" t="str">
        <f t="shared" si="3"/>
        <v/>
      </c>
      <c r="V10" t="str">
        <f t="shared" si="4"/>
        <v/>
      </c>
      <c r="X10" t="str">
        <f t="shared" si="5"/>
        <v/>
      </c>
    </row>
    <row r="11" spans="1:24">
      <c r="A11" s="8" t="s">
        <v>16</v>
      </c>
      <c r="B11">
        <v>200</v>
      </c>
      <c r="C11">
        <v>10</v>
      </c>
      <c r="D11">
        <v>5631</v>
      </c>
      <c r="E11" s="9">
        <v>6847</v>
      </c>
      <c r="F11" s="7">
        <f>8*3600+52*60+57.258</f>
        <v>31977.258000000002</v>
      </c>
      <c r="G11" s="6">
        <f t="shared" si="0"/>
        <v>17.75960274572806</v>
      </c>
      <c r="H11" t="s">
        <v>9</v>
      </c>
      <c r="I11" s="9">
        <v>6731</v>
      </c>
      <c r="J11" s="7">
        <f>2*3600+40*60+44.37</f>
        <v>9644.3700000000008</v>
      </c>
      <c r="K11" s="6">
        <f t="shared" si="1"/>
        <v>16.342296835537056</v>
      </c>
      <c r="L11" t="s">
        <v>59</v>
      </c>
      <c r="M11" s="9">
        <v>6731</v>
      </c>
      <c r="N11" s="7">
        <v>0.877</v>
      </c>
      <c r="O11" s="6">
        <f t="shared" si="2"/>
        <v>16.342296835537056</v>
      </c>
      <c r="P11" t="s">
        <v>59</v>
      </c>
      <c r="Q11" s="1"/>
      <c r="T11" t="str">
        <f t="shared" si="3"/>
        <v/>
      </c>
      <c r="V11" t="str">
        <f t="shared" si="4"/>
        <v/>
      </c>
      <c r="X11" t="str">
        <f t="shared" si="5"/>
        <v/>
      </c>
    </row>
    <row r="12" spans="1:24">
      <c r="A12" s="8" t="s">
        <v>17</v>
      </c>
      <c r="B12">
        <v>200</v>
      </c>
      <c r="C12">
        <v>20</v>
      </c>
      <c r="D12">
        <v>4445</v>
      </c>
      <c r="E12" s="9">
        <v>4991</v>
      </c>
      <c r="F12" s="7">
        <f>3600*1+59*60+53.898</f>
        <v>7193.8980000000001</v>
      </c>
      <c r="G12" s="6">
        <f t="shared" si="0"/>
        <v>10.939691444600285</v>
      </c>
      <c r="H12" t="s">
        <v>10</v>
      </c>
      <c r="I12" s="9">
        <v>4796</v>
      </c>
      <c r="J12" s="7">
        <f>1*3600+1*60+48.359</f>
        <v>3708.3589999999999</v>
      </c>
      <c r="K12" s="6">
        <f t="shared" si="1"/>
        <v>7.3185988323602942</v>
      </c>
      <c r="L12" t="s">
        <v>10</v>
      </c>
      <c r="M12" s="9">
        <v>4718</v>
      </c>
      <c r="N12" s="7">
        <f>3600+26*60+32.338</f>
        <v>5192.3379999999997</v>
      </c>
      <c r="O12" s="6">
        <f t="shared" si="2"/>
        <v>5.7863501483679585</v>
      </c>
      <c r="P12" t="s">
        <v>10</v>
      </c>
      <c r="Q12" s="1"/>
      <c r="T12">
        <f t="shared" si="3"/>
        <v>7193.8980000000001</v>
      </c>
      <c r="V12">
        <f t="shared" si="4"/>
        <v>3708.3589999999999</v>
      </c>
      <c r="X12">
        <f t="shared" si="5"/>
        <v>5192.3379999999997</v>
      </c>
    </row>
    <row r="13" spans="1:24">
      <c r="A13" s="8" t="s">
        <v>18</v>
      </c>
      <c r="B13">
        <v>200</v>
      </c>
      <c r="C13">
        <v>40</v>
      </c>
      <c r="D13">
        <v>2734</v>
      </c>
      <c r="E13" s="9">
        <v>2770</v>
      </c>
      <c r="F13" s="7">
        <v>4.5206999999999997</v>
      </c>
      <c r="G13" s="6">
        <f t="shared" si="0"/>
        <v>1.2996389891696651</v>
      </c>
      <c r="H13" t="s">
        <v>10</v>
      </c>
      <c r="I13" s="9">
        <v>2752</v>
      </c>
      <c r="J13" s="7">
        <v>13.491</v>
      </c>
      <c r="K13" s="6">
        <f t="shared" si="1"/>
        <v>0.65406976744185386</v>
      </c>
      <c r="L13" t="s">
        <v>10</v>
      </c>
      <c r="M13" s="9">
        <v>2749</v>
      </c>
      <c r="N13" s="7">
        <v>30.564</v>
      </c>
      <c r="O13" s="6">
        <f t="shared" si="2"/>
        <v>0.54565296471443503</v>
      </c>
      <c r="P13" t="s">
        <v>10</v>
      </c>
      <c r="Q13" s="1"/>
      <c r="T13">
        <f t="shared" si="3"/>
        <v>4.5206999999999997</v>
      </c>
      <c r="V13">
        <f t="shared" si="4"/>
        <v>13.491</v>
      </c>
      <c r="X13">
        <f t="shared" si="5"/>
        <v>30.564</v>
      </c>
    </row>
    <row r="14" spans="1:24">
      <c r="A14" s="8" t="s">
        <v>19</v>
      </c>
      <c r="B14">
        <v>200</v>
      </c>
      <c r="C14">
        <v>67</v>
      </c>
      <c r="D14">
        <v>1255</v>
      </c>
      <c r="E14" s="9">
        <v>1285</v>
      </c>
      <c r="F14" s="7">
        <v>5.8224999999999998</v>
      </c>
      <c r="G14" s="6">
        <f t="shared" si="0"/>
        <v>2.3346303501945584</v>
      </c>
      <c r="H14" t="s">
        <v>10</v>
      </c>
      <c r="I14" s="9">
        <v>1265</v>
      </c>
      <c r="J14" s="7">
        <v>30.262</v>
      </c>
      <c r="K14" s="6">
        <f t="shared" si="1"/>
        <v>0.79051383399209385</v>
      </c>
      <c r="L14" t="s">
        <v>10</v>
      </c>
      <c r="M14" s="9">
        <v>1258</v>
      </c>
      <c r="N14" s="7">
        <v>74.89</v>
      </c>
      <c r="O14" s="6">
        <f t="shared" si="2"/>
        <v>0.2384737678855231</v>
      </c>
      <c r="P14" t="s">
        <v>10</v>
      </c>
      <c r="Q14" s="1"/>
      <c r="T14">
        <f t="shared" si="3"/>
        <v>5.8224999999999998</v>
      </c>
      <c r="V14">
        <f t="shared" si="4"/>
        <v>30.262</v>
      </c>
      <c r="X14">
        <f t="shared" si="5"/>
        <v>74.89</v>
      </c>
    </row>
    <row r="15" spans="1:24">
      <c r="A15" s="8" t="s">
        <v>20</v>
      </c>
      <c r="B15">
        <v>300</v>
      </c>
      <c r="C15">
        <v>5</v>
      </c>
      <c r="D15">
        <v>7696</v>
      </c>
      <c r="E15" s="9">
        <v>8655</v>
      </c>
      <c r="F15" s="7">
        <v>5.7030000000000003</v>
      </c>
      <c r="G15" s="6">
        <f t="shared" si="0"/>
        <v>11.080300404390528</v>
      </c>
      <c r="H15" t="s">
        <v>9</v>
      </c>
      <c r="I15" s="9">
        <v>8520</v>
      </c>
      <c r="J15" s="7">
        <v>68.010000000000005</v>
      </c>
      <c r="K15" s="6">
        <f t="shared" si="1"/>
        <v>9.6713615023474233</v>
      </c>
      <c r="L15" t="s">
        <v>9</v>
      </c>
      <c r="M15" s="9">
        <v>8492</v>
      </c>
      <c r="N15" s="12">
        <f>120+41.455</f>
        <v>161.45499999999998</v>
      </c>
      <c r="O15" s="6">
        <f t="shared" si="2"/>
        <v>9.3735280263777696</v>
      </c>
      <c r="P15" t="s">
        <v>9</v>
      </c>
      <c r="Q15" s="1"/>
      <c r="T15" t="str">
        <f t="shared" si="3"/>
        <v/>
      </c>
      <c r="V15" t="str">
        <f t="shared" si="4"/>
        <v/>
      </c>
      <c r="X15" t="str">
        <f t="shared" si="5"/>
        <v/>
      </c>
    </row>
    <row r="16" spans="1:24">
      <c r="A16" s="8" t="s">
        <v>21</v>
      </c>
      <c r="B16">
        <v>300</v>
      </c>
      <c r="C16">
        <v>10</v>
      </c>
      <c r="D16">
        <v>6634</v>
      </c>
      <c r="E16" s="9">
        <v>8065</v>
      </c>
      <c r="F16" s="7">
        <f>5*3600+36*60+16.996</f>
        <v>20176.995999999999</v>
      </c>
      <c r="G16" s="6">
        <f t="shared" si="0"/>
        <v>17.743335399876003</v>
      </c>
      <c r="H16" t="s">
        <v>9</v>
      </c>
      <c r="I16" s="9">
        <v>7938</v>
      </c>
      <c r="J16" s="12">
        <f>15*3600+27*60+5.701</f>
        <v>55625.701000000001</v>
      </c>
      <c r="K16" s="6">
        <f t="shared" si="1"/>
        <v>16.427311665406904</v>
      </c>
      <c r="L16" t="s">
        <v>59</v>
      </c>
      <c r="M16" s="9">
        <v>7707</v>
      </c>
      <c r="N16" s="12">
        <v>1.484</v>
      </c>
      <c r="O16" s="6">
        <f t="shared" si="2"/>
        <v>13.922408200337358</v>
      </c>
      <c r="P16" t="s">
        <v>59</v>
      </c>
      <c r="Q16" s="1"/>
      <c r="T16" t="str">
        <f t="shared" si="3"/>
        <v/>
      </c>
      <c r="V16" t="str">
        <f t="shared" si="4"/>
        <v/>
      </c>
      <c r="X16" t="str">
        <f t="shared" si="5"/>
        <v/>
      </c>
    </row>
    <row r="17" spans="1:24">
      <c r="A17" s="8" t="s">
        <v>22</v>
      </c>
      <c r="B17">
        <v>300</v>
      </c>
      <c r="C17">
        <v>30</v>
      </c>
      <c r="D17">
        <v>4374</v>
      </c>
      <c r="E17" s="9">
        <v>5933</v>
      </c>
      <c r="F17" s="7">
        <f>3*3600+57*60+9.915</f>
        <v>14229.915000000001</v>
      </c>
      <c r="G17" s="6">
        <f t="shared" si="0"/>
        <v>26.276757121186577</v>
      </c>
      <c r="H17" t="s">
        <v>59</v>
      </c>
      <c r="I17" s="9">
        <v>5933</v>
      </c>
      <c r="J17" s="7">
        <v>1.7629999999999999</v>
      </c>
      <c r="K17" s="6">
        <f t="shared" si="1"/>
        <v>26.276757121186577</v>
      </c>
      <c r="L17" t="s">
        <v>59</v>
      </c>
      <c r="M17" s="9">
        <v>5821</v>
      </c>
      <c r="N17" s="7">
        <v>1.869</v>
      </c>
      <c r="O17" s="6">
        <f t="shared" si="2"/>
        <v>24.858271774609179</v>
      </c>
      <c r="P17" t="s">
        <v>59</v>
      </c>
      <c r="Q17" s="1"/>
      <c r="T17" t="str">
        <f t="shared" si="3"/>
        <v/>
      </c>
      <c r="V17" t="str">
        <f t="shared" si="4"/>
        <v/>
      </c>
      <c r="X17" t="str">
        <f t="shared" si="5"/>
        <v/>
      </c>
    </row>
    <row r="18" spans="1:24">
      <c r="A18" s="8" t="s">
        <v>23</v>
      </c>
      <c r="B18">
        <v>300</v>
      </c>
      <c r="C18">
        <v>60</v>
      </c>
      <c r="D18">
        <v>2978</v>
      </c>
      <c r="E18" s="9">
        <v>3017</v>
      </c>
      <c r="F18" s="7">
        <v>7.3467000000000002</v>
      </c>
      <c r="G18" s="6">
        <f t="shared" si="0"/>
        <v>1.2926748425588386</v>
      </c>
      <c r="H18" t="s">
        <v>10</v>
      </c>
      <c r="I18" s="9">
        <v>2987</v>
      </c>
      <c r="J18" s="7">
        <v>26.780999999999999</v>
      </c>
      <c r="K18" s="6">
        <f t="shared" si="1"/>
        <v>0.30130565785067631</v>
      </c>
      <c r="L18" t="s">
        <v>10</v>
      </c>
      <c r="M18" s="9">
        <v>2981</v>
      </c>
      <c r="N18" s="7">
        <v>62.192999999999998</v>
      </c>
      <c r="O18" s="6">
        <f t="shared" si="2"/>
        <v>0.10063737001006245</v>
      </c>
      <c r="P18" t="s">
        <v>10</v>
      </c>
      <c r="Q18" s="1"/>
      <c r="T18">
        <f t="shared" si="3"/>
        <v>7.3467000000000002</v>
      </c>
      <c r="V18">
        <f t="shared" si="4"/>
        <v>26.780999999999999</v>
      </c>
      <c r="X18">
        <f t="shared" si="5"/>
        <v>62.192999999999998</v>
      </c>
    </row>
    <row r="19" spans="1:24">
      <c r="A19" s="8" t="s">
        <v>24</v>
      </c>
      <c r="B19">
        <v>300</v>
      </c>
      <c r="C19">
        <v>100</v>
      </c>
      <c r="D19">
        <v>1729</v>
      </c>
      <c r="E19" s="9">
        <v>1760</v>
      </c>
      <c r="F19" s="7">
        <v>14.224</v>
      </c>
      <c r="G19" s="6">
        <f t="shared" si="0"/>
        <v>1.761363636363626</v>
      </c>
      <c r="H19" t="s">
        <v>10</v>
      </c>
      <c r="I19" s="9">
        <v>1746</v>
      </c>
      <c r="J19" s="7">
        <v>70.492999999999995</v>
      </c>
      <c r="K19" s="6">
        <f t="shared" si="1"/>
        <v>0.97365406643757524</v>
      </c>
      <c r="L19" t="s">
        <v>10</v>
      </c>
      <c r="M19" s="9">
        <v>1733</v>
      </c>
      <c r="N19" s="7">
        <f>120+34.315</f>
        <v>154.315</v>
      </c>
      <c r="O19" s="6">
        <f t="shared" si="2"/>
        <v>0.23081361800346656</v>
      </c>
      <c r="P19" t="s">
        <v>10</v>
      </c>
      <c r="Q19" s="1"/>
      <c r="T19">
        <f t="shared" si="3"/>
        <v>14.224</v>
      </c>
      <c r="V19">
        <f t="shared" si="4"/>
        <v>70.492999999999995</v>
      </c>
      <c r="X19">
        <f t="shared" si="5"/>
        <v>154.315</v>
      </c>
    </row>
    <row r="20" spans="1:24">
      <c r="A20" s="8" t="s">
        <v>25</v>
      </c>
      <c r="B20">
        <v>400</v>
      </c>
      <c r="C20">
        <v>5</v>
      </c>
      <c r="D20">
        <v>8162</v>
      </c>
      <c r="E20" s="9">
        <v>9119</v>
      </c>
      <c r="F20" s="7">
        <v>13.124000000000001</v>
      </c>
      <c r="G20" s="6">
        <f t="shared" si="0"/>
        <v>10.494571773220756</v>
      </c>
      <c r="H20" t="s">
        <v>9</v>
      </c>
      <c r="I20" s="9">
        <v>8817</v>
      </c>
      <c r="J20" s="12">
        <v>37.881999999999998</v>
      </c>
      <c r="K20" s="6">
        <f t="shared" si="1"/>
        <v>7.4288306680276719</v>
      </c>
      <c r="L20" t="s">
        <v>9</v>
      </c>
      <c r="M20" s="9">
        <v>8817</v>
      </c>
      <c r="N20" s="12">
        <v>51.875999999999998</v>
      </c>
      <c r="O20" s="6">
        <f t="shared" si="2"/>
        <v>7.4288306680276719</v>
      </c>
      <c r="P20" t="s">
        <v>9</v>
      </c>
      <c r="Q20" s="1"/>
      <c r="T20" t="str">
        <f t="shared" si="3"/>
        <v/>
      </c>
      <c r="V20" t="str">
        <f t="shared" si="4"/>
        <v/>
      </c>
      <c r="X20" t="str">
        <f t="shared" si="5"/>
        <v/>
      </c>
    </row>
    <row r="21" spans="1:24">
      <c r="A21" s="8" t="s">
        <v>26</v>
      </c>
      <c r="B21">
        <v>400</v>
      </c>
      <c r="C21">
        <v>10</v>
      </c>
      <c r="D21">
        <v>6999</v>
      </c>
      <c r="E21" s="9">
        <v>8173</v>
      </c>
      <c r="F21" s="7">
        <f>3600*2+58.99</f>
        <v>7258.99</v>
      </c>
      <c r="G21" s="6">
        <f t="shared" si="0"/>
        <v>14.364370488192833</v>
      </c>
      <c r="H21" t="s">
        <v>9</v>
      </c>
      <c r="I21" s="9">
        <v>7979</v>
      </c>
      <c r="J21" s="12">
        <f>7*3600+44*60+55.458</f>
        <v>27895.457999999999</v>
      </c>
      <c r="K21" s="6">
        <f t="shared" si="1"/>
        <v>12.282240882316074</v>
      </c>
      <c r="L21" t="s">
        <v>9</v>
      </c>
      <c r="M21" s="9">
        <v>7979</v>
      </c>
      <c r="N21" s="12">
        <f>23*3600+39*60+15.336</f>
        <v>85155.335999999996</v>
      </c>
      <c r="O21" s="6">
        <f t="shared" si="2"/>
        <v>12.282240882316074</v>
      </c>
      <c r="P21" t="s">
        <v>59</v>
      </c>
      <c r="Q21" s="1"/>
      <c r="T21" t="str">
        <f t="shared" si="3"/>
        <v/>
      </c>
      <c r="V21" t="str">
        <f t="shared" si="4"/>
        <v/>
      </c>
      <c r="X21" t="str">
        <f t="shared" si="5"/>
        <v/>
      </c>
    </row>
    <row r="22" spans="1:24">
      <c r="A22" s="8" t="s">
        <v>27</v>
      </c>
      <c r="B22">
        <v>400</v>
      </c>
      <c r="C22">
        <v>40</v>
      </c>
      <c r="D22">
        <v>4809</v>
      </c>
      <c r="E22" s="9">
        <v>6285</v>
      </c>
      <c r="F22" s="7">
        <f>5*3600+34*60+49.625</f>
        <v>20089.625</v>
      </c>
      <c r="G22" s="6">
        <f t="shared" si="0"/>
        <v>23.484486873508345</v>
      </c>
      <c r="H22" t="s">
        <v>59</v>
      </c>
      <c r="I22" s="9">
        <v>6285</v>
      </c>
      <c r="J22" s="12">
        <v>1.7889999999999999</v>
      </c>
      <c r="K22" s="6">
        <f t="shared" si="1"/>
        <v>23.484486873508345</v>
      </c>
      <c r="L22" t="s">
        <v>59</v>
      </c>
      <c r="M22" s="9">
        <v>6285</v>
      </c>
      <c r="N22" s="12">
        <v>2.984</v>
      </c>
      <c r="O22" s="6">
        <f t="shared" si="2"/>
        <v>23.484486873508345</v>
      </c>
      <c r="P22" t="s">
        <v>59</v>
      </c>
      <c r="Q22" s="1"/>
      <c r="T22" t="str">
        <f t="shared" si="3"/>
        <v/>
      </c>
      <c r="V22" t="str">
        <f t="shared" si="4"/>
        <v/>
      </c>
      <c r="X22" t="str">
        <f t="shared" si="5"/>
        <v/>
      </c>
    </row>
    <row r="23" spans="1:24">
      <c r="A23" s="8" t="s">
        <v>28</v>
      </c>
      <c r="B23">
        <v>400</v>
      </c>
      <c r="C23">
        <v>80</v>
      </c>
      <c r="D23">
        <v>2845</v>
      </c>
      <c r="E23" s="9">
        <v>2889</v>
      </c>
      <c r="F23" s="7">
        <v>30.995999999999999</v>
      </c>
      <c r="G23" s="6">
        <f t="shared" si="0"/>
        <v>1.5230183454482642</v>
      </c>
      <c r="H23" t="s">
        <v>10</v>
      </c>
      <c r="I23" s="9">
        <v>2866</v>
      </c>
      <c r="J23" s="12">
        <v>64.09</v>
      </c>
      <c r="K23" s="6">
        <f t="shared" si="1"/>
        <v>0.73272854152128275</v>
      </c>
      <c r="L23" t="s">
        <v>10</v>
      </c>
      <c r="M23" s="9">
        <v>2852</v>
      </c>
      <c r="N23" s="12">
        <v>91.397000000000006</v>
      </c>
      <c r="O23" s="6">
        <f t="shared" si="2"/>
        <v>0.24544179523141452</v>
      </c>
      <c r="P23" t="s">
        <v>10</v>
      </c>
      <c r="Q23" s="1"/>
      <c r="T23">
        <f t="shared" si="3"/>
        <v>30.995999999999999</v>
      </c>
      <c r="V23">
        <f t="shared" si="4"/>
        <v>64.09</v>
      </c>
      <c r="X23">
        <f t="shared" si="5"/>
        <v>91.397000000000006</v>
      </c>
    </row>
    <row r="24" spans="1:24">
      <c r="A24" s="8" t="s">
        <v>29</v>
      </c>
      <c r="B24">
        <v>400</v>
      </c>
      <c r="C24">
        <v>133</v>
      </c>
      <c r="D24">
        <v>1789</v>
      </c>
      <c r="E24" s="9">
        <v>1804</v>
      </c>
      <c r="F24" s="7">
        <v>14.747999999999999</v>
      </c>
      <c r="G24" s="6">
        <f t="shared" si="0"/>
        <v>0.8314855875831455</v>
      </c>
      <c r="H24" t="s">
        <v>10</v>
      </c>
      <c r="I24" s="9">
        <v>1792</v>
      </c>
      <c r="J24" s="12">
        <v>103.88200000000001</v>
      </c>
      <c r="K24" s="6">
        <f t="shared" si="1"/>
        <v>0.1674107142857082</v>
      </c>
      <c r="L24" t="s">
        <v>10</v>
      </c>
      <c r="M24" s="9">
        <v>1792</v>
      </c>
      <c r="N24" s="12">
        <f>4*60+57.29</f>
        <v>297.29000000000002</v>
      </c>
      <c r="O24" s="6">
        <f t="shared" si="2"/>
        <v>0.1674107142857082</v>
      </c>
      <c r="P24" t="s">
        <v>10</v>
      </c>
      <c r="Q24" s="1"/>
      <c r="T24">
        <f t="shared" si="3"/>
        <v>14.747999999999999</v>
      </c>
      <c r="V24">
        <f t="shared" si="4"/>
        <v>103.88200000000001</v>
      </c>
      <c r="X24">
        <f t="shared" si="5"/>
        <v>297.29000000000002</v>
      </c>
    </row>
    <row r="25" spans="1:24">
      <c r="A25" s="8" t="s">
        <v>30</v>
      </c>
      <c r="B25">
        <v>500</v>
      </c>
      <c r="C25">
        <v>5</v>
      </c>
      <c r="D25">
        <v>9138</v>
      </c>
      <c r="E25" s="9">
        <v>10527</v>
      </c>
      <c r="F25" s="7">
        <v>79.531000000000006</v>
      </c>
      <c r="G25" s="6">
        <f t="shared" si="0"/>
        <v>13.19464234824737</v>
      </c>
      <c r="H25" t="s">
        <v>9</v>
      </c>
      <c r="I25" s="9">
        <v>10425</v>
      </c>
      <c r="J25" s="12">
        <f>33*60+10.042</f>
        <v>1990.0419999999999</v>
      </c>
      <c r="K25" s="6">
        <f t="shared" si="1"/>
        <v>12.345323741007192</v>
      </c>
      <c r="L25" t="s">
        <v>9</v>
      </c>
      <c r="M25" s="9">
        <v>9992</v>
      </c>
      <c r="N25" s="12">
        <f>60+48.712</f>
        <v>108.712</v>
      </c>
      <c r="O25" s="6">
        <f t="shared" si="2"/>
        <v>8.5468374699759693</v>
      </c>
      <c r="P25" t="s">
        <v>9</v>
      </c>
      <c r="Q25" s="1"/>
      <c r="T25" t="str">
        <f t="shared" si="3"/>
        <v/>
      </c>
      <c r="V25" t="str">
        <f t="shared" si="4"/>
        <v/>
      </c>
      <c r="X25" t="str">
        <f t="shared" si="5"/>
        <v/>
      </c>
    </row>
    <row r="26" spans="1:24">
      <c r="A26" s="8" t="s">
        <v>31</v>
      </c>
      <c r="B26">
        <v>500</v>
      </c>
      <c r="C26">
        <v>10</v>
      </c>
      <c r="D26">
        <v>8579</v>
      </c>
      <c r="E26" s="9">
        <v>9965</v>
      </c>
      <c r="F26" s="7">
        <f>5*3600+57*60+37.883</f>
        <v>21457.883000000002</v>
      </c>
      <c r="G26" s="6">
        <f t="shared" si="0"/>
        <v>13.908680381334676</v>
      </c>
      <c r="H26" t="s">
        <v>9</v>
      </c>
      <c r="I26" s="9">
        <v>9965</v>
      </c>
      <c r="J26" s="12">
        <f>14*3600+48*60+38.214</f>
        <v>53318.214</v>
      </c>
      <c r="K26" s="6">
        <f t="shared" si="1"/>
        <v>13.908680381334676</v>
      </c>
      <c r="L26" t="s">
        <v>9</v>
      </c>
      <c r="M26" s="9">
        <v>9965</v>
      </c>
      <c r="N26" s="12">
        <f>2*24*3600+16*3600+1*60+56.893</f>
        <v>230516.89300000001</v>
      </c>
      <c r="O26" s="6">
        <f t="shared" si="2"/>
        <v>13.908680381334676</v>
      </c>
      <c r="P26" t="s">
        <v>9</v>
      </c>
      <c r="Q26" s="1"/>
      <c r="T26" t="str">
        <f t="shared" si="3"/>
        <v/>
      </c>
      <c r="V26" t="str">
        <f t="shared" si="4"/>
        <v/>
      </c>
      <c r="X26" t="str">
        <f t="shared" si="5"/>
        <v/>
      </c>
    </row>
    <row r="27" spans="1:24">
      <c r="A27" s="8" t="s">
        <v>32</v>
      </c>
      <c r="B27">
        <v>500</v>
      </c>
      <c r="C27">
        <v>50</v>
      </c>
      <c r="D27">
        <v>4619</v>
      </c>
      <c r="E27" s="9">
        <v>6106</v>
      </c>
      <c r="F27" s="7">
        <f>5*3600+26*60+38.723</f>
        <v>19598.723000000002</v>
      </c>
      <c r="G27" s="6">
        <f t="shared" si="0"/>
        <v>24.353095316082545</v>
      </c>
      <c r="H27" t="s">
        <v>59</v>
      </c>
      <c r="I27" s="9">
        <v>6106</v>
      </c>
      <c r="J27" s="12">
        <v>3.133</v>
      </c>
      <c r="K27" s="6">
        <f t="shared" si="1"/>
        <v>24.353095316082545</v>
      </c>
      <c r="L27" t="s">
        <v>59</v>
      </c>
      <c r="M27" s="9">
        <v>6106</v>
      </c>
      <c r="N27" s="12">
        <v>5.2149999999999999</v>
      </c>
      <c r="O27" s="6">
        <f t="shared" si="2"/>
        <v>24.353095316082545</v>
      </c>
      <c r="P27" t="s">
        <v>59</v>
      </c>
      <c r="Q27" s="1"/>
      <c r="T27" t="str">
        <f t="shared" si="3"/>
        <v/>
      </c>
      <c r="V27" t="str">
        <f t="shared" si="4"/>
        <v/>
      </c>
      <c r="X27" t="str">
        <f t="shared" si="5"/>
        <v/>
      </c>
    </row>
    <row r="28" spans="1:24">
      <c r="A28" s="8" t="s">
        <v>33</v>
      </c>
      <c r="B28">
        <v>500</v>
      </c>
      <c r="C28">
        <v>100</v>
      </c>
      <c r="D28">
        <v>2961</v>
      </c>
      <c r="E28" s="9">
        <v>3022</v>
      </c>
      <c r="F28" s="7">
        <v>36.975000000000001</v>
      </c>
      <c r="G28" s="6">
        <f t="shared" si="0"/>
        <v>2.0185307743216327</v>
      </c>
      <c r="H28" t="s">
        <v>10</v>
      </c>
      <c r="I28" s="9">
        <v>2987</v>
      </c>
      <c r="J28" s="12">
        <v>57.503</v>
      </c>
      <c r="K28" s="6">
        <f t="shared" si="1"/>
        <v>0.87043856712421075</v>
      </c>
      <c r="L28" t="s">
        <v>10</v>
      </c>
      <c r="M28" s="9">
        <v>2979</v>
      </c>
      <c r="N28" s="12">
        <f>120+18.876</f>
        <v>138.876</v>
      </c>
      <c r="O28" s="6">
        <f t="shared" si="2"/>
        <v>0.60422960725074404</v>
      </c>
      <c r="P28" t="s">
        <v>10</v>
      </c>
      <c r="Q28" s="1"/>
      <c r="T28">
        <f t="shared" si="3"/>
        <v>36.975000000000001</v>
      </c>
      <c r="V28">
        <f t="shared" si="4"/>
        <v>57.503</v>
      </c>
      <c r="X28">
        <f t="shared" si="5"/>
        <v>138.876</v>
      </c>
    </row>
    <row r="29" spans="1:24">
      <c r="A29" s="8" t="s">
        <v>34</v>
      </c>
      <c r="B29">
        <v>500</v>
      </c>
      <c r="C29">
        <v>167</v>
      </c>
      <c r="D29">
        <v>1828</v>
      </c>
      <c r="E29" s="9">
        <v>1855</v>
      </c>
      <c r="F29" s="7">
        <v>31.161300000000001</v>
      </c>
      <c r="G29" s="6">
        <f t="shared" si="0"/>
        <v>1.4555256064689956</v>
      </c>
      <c r="H29" t="s">
        <v>10</v>
      </c>
      <c r="I29" s="9">
        <v>1846</v>
      </c>
      <c r="J29" s="12">
        <f>4*60+11.488</f>
        <v>251.488</v>
      </c>
      <c r="K29" s="6">
        <f t="shared" si="1"/>
        <v>0.97508125677138935</v>
      </c>
      <c r="L29" t="s">
        <v>10</v>
      </c>
      <c r="M29" s="9">
        <v>1838</v>
      </c>
      <c r="N29" s="12">
        <f>6*60+37.526</f>
        <v>397.52600000000001</v>
      </c>
      <c r="O29" s="6">
        <f t="shared" si="2"/>
        <v>0.54406964091403154</v>
      </c>
      <c r="P29" t="s">
        <v>10</v>
      </c>
      <c r="Q29" s="1"/>
      <c r="T29">
        <f t="shared" si="3"/>
        <v>31.161300000000001</v>
      </c>
      <c r="V29">
        <f t="shared" si="4"/>
        <v>251.488</v>
      </c>
      <c r="X29">
        <f t="shared" si="5"/>
        <v>397.52600000000001</v>
      </c>
    </row>
    <row r="30" spans="1:24">
      <c r="A30" s="8" t="s">
        <v>35</v>
      </c>
      <c r="B30">
        <v>600</v>
      </c>
      <c r="C30">
        <v>5</v>
      </c>
      <c r="D30">
        <v>9917</v>
      </c>
      <c r="E30" s="9">
        <v>11106</v>
      </c>
      <c r="F30" s="7">
        <f>2*60+15.758</f>
        <v>135.75800000000001</v>
      </c>
      <c r="G30" s="6">
        <f t="shared" si="0"/>
        <v>10.705924725373677</v>
      </c>
      <c r="H30" t="s">
        <v>9</v>
      </c>
      <c r="I30" s="9">
        <v>10920</v>
      </c>
      <c r="J30" s="12">
        <f>3*60+8.691</f>
        <v>188.691</v>
      </c>
      <c r="K30" s="6">
        <f t="shared" si="1"/>
        <v>9.184981684981679</v>
      </c>
      <c r="L30" t="s">
        <v>9</v>
      </c>
      <c r="M30" s="9">
        <v>10873</v>
      </c>
      <c r="N30" s="12">
        <f>2*60+52.541</f>
        <v>172.541</v>
      </c>
      <c r="O30" s="6">
        <f t="shared" si="2"/>
        <v>8.7924215947760445</v>
      </c>
      <c r="P30" t="s">
        <v>9</v>
      </c>
      <c r="Q30" s="1"/>
      <c r="T30" t="str">
        <f t="shared" si="3"/>
        <v/>
      </c>
      <c r="V30" t="str">
        <f t="shared" si="4"/>
        <v/>
      </c>
      <c r="X30" t="str">
        <f t="shared" si="5"/>
        <v/>
      </c>
    </row>
    <row r="31" spans="1:24">
      <c r="A31" s="8" t="s">
        <v>36</v>
      </c>
      <c r="B31">
        <v>600</v>
      </c>
      <c r="C31">
        <v>10</v>
      </c>
      <c r="D31">
        <v>8307</v>
      </c>
      <c r="E31" s="9">
        <v>9886</v>
      </c>
      <c r="F31" s="7">
        <f>2*3600+22*60+59.921</f>
        <v>8579.9210000000003</v>
      </c>
      <c r="G31" s="6">
        <f t="shared" si="0"/>
        <v>15.972081731741866</v>
      </c>
      <c r="H31" t="s">
        <v>9</v>
      </c>
      <c r="I31" s="9">
        <v>9718</v>
      </c>
      <c r="J31" s="12">
        <f>24*3600+8*3600+31*60+18.424</f>
        <v>117078.424</v>
      </c>
      <c r="K31" s="6">
        <f t="shared" si="1"/>
        <v>14.519448446182338</v>
      </c>
      <c r="L31" t="s">
        <v>9</v>
      </c>
      <c r="M31" s="9">
        <v>9718</v>
      </c>
      <c r="N31" s="12">
        <f>2*24*3600+2*3600+37*60+0.881</f>
        <v>182220.88099999999</v>
      </c>
      <c r="O31" s="6">
        <f t="shared" si="2"/>
        <v>14.519448446182338</v>
      </c>
      <c r="P31" t="s">
        <v>9</v>
      </c>
      <c r="Q31" s="1"/>
      <c r="T31" t="str">
        <f t="shared" si="3"/>
        <v/>
      </c>
      <c r="V31" t="str">
        <f t="shared" si="4"/>
        <v/>
      </c>
      <c r="X31" t="str">
        <f t="shared" si="5"/>
        <v/>
      </c>
    </row>
    <row r="32" spans="1:24">
      <c r="A32" s="8" t="s">
        <v>37</v>
      </c>
      <c r="B32">
        <v>600</v>
      </c>
      <c r="C32">
        <v>60</v>
      </c>
      <c r="D32">
        <v>4498</v>
      </c>
      <c r="E32" s="9">
        <v>6070</v>
      </c>
      <c r="F32" s="7">
        <f>7*3600+53*60+8.426</f>
        <v>28388.425999999999</v>
      </c>
      <c r="G32" s="6">
        <f t="shared" si="0"/>
        <v>25.897858319604623</v>
      </c>
      <c r="H32" t="s">
        <v>59</v>
      </c>
      <c r="I32" s="9">
        <v>6022</v>
      </c>
      <c r="J32" s="12">
        <v>4.0289999999999999</v>
      </c>
      <c r="K32" s="6">
        <f t="shared" si="1"/>
        <v>25.307206908003991</v>
      </c>
      <c r="L32" t="s">
        <v>59</v>
      </c>
      <c r="M32" s="9">
        <v>6022</v>
      </c>
      <c r="N32" s="12">
        <v>7.6210000000000004</v>
      </c>
      <c r="O32" s="6">
        <f t="shared" si="2"/>
        <v>25.307206908003991</v>
      </c>
      <c r="P32" t="s">
        <v>59</v>
      </c>
      <c r="Q32" s="1"/>
      <c r="T32" t="str">
        <f t="shared" si="3"/>
        <v/>
      </c>
      <c r="V32" t="str">
        <f t="shared" si="4"/>
        <v/>
      </c>
      <c r="X32" t="str">
        <f t="shared" si="5"/>
        <v/>
      </c>
    </row>
    <row r="33" spans="1:24">
      <c r="A33" s="8" t="s">
        <v>38</v>
      </c>
      <c r="B33">
        <v>600</v>
      </c>
      <c r="C33">
        <v>120</v>
      </c>
      <c r="D33">
        <v>3033</v>
      </c>
      <c r="E33" s="9">
        <v>3105</v>
      </c>
      <c r="F33" s="7">
        <f>60+55.552</f>
        <v>115.55199999999999</v>
      </c>
      <c r="G33" s="6">
        <f t="shared" si="0"/>
        <v>2.318840579710141</v>
      </c>
      <c r="H33" t="s">
        <v>10</v>
      </c>
      <c r="I33" s="9">
        <v>3062</v>
      </c>
      <c r="J33" s="12">
        <f>60+28.89</f>
        <v>88.89</v>
      </c>
      <c r="K33" s="6">
        <f t="shared" si="1"/>
        <v>0.94709340300457256</v>
      </c>
      <c r="L33" t="s">
        <v>10</v>
      </c>
      <c r="M33" s="9">
        <v>4578</v>
      </c>
      <c r="N33" s="7">
        <f>3*60+29.449</f>
        <v>209.44900000000001</v>
      </c>
      <c r="O33" s="6">
        <f t="shared" si="2"/>
        <v>33.748361730013116</v>
      </c>
      <c r="P33" t="s">
        <v>59</v>
      </c>
      <c r="Q33" s="1"/>
      <c r="T33">
        <f t="shared" si="3"/>
        <v>115.55199999999999</v>
      </c>
      <c r="V33">
        <f t="shared" si="4"/>
        <v>88.89</v>
      </c>
      <c r="X33" t="str">
        <f t="shared" si="5"/>
        <v/>
      </c>
    </row>
    <row r="34" spans="1:24">
      <c r="A34" s="8" t="s">
        <v>39</v>
      </c>
      <c r="B34">
        <v>600</v>
      </c>
      <c r="C34">
        <v>200</v>
      </c>
      <c r="D34">
        <v>1989</v>
      </c>
      <c r="E34" s="9">
        <v>2009</v>
      </c>
      <c r="F34" s="7">
        <v>50.970999999999997</v>
      </c>
      <c r="G34" s="6">
        <f t="shared" si="0"/>
        <v>0.99552015928323101</v>
      </c>
      <c r="H34" t="s">
        <v>10</v>
      </c>
      <c r="I34" s="9">
        <v>2001</v>
      </c>
      <c r="J34" s="12">
        <f>6*60+30.843</f>
        <v>390.84300000000002</v>
      </c>
      <c r="K34" s="6">
        <f t="shared" si="1"/>
        <v>0.59970014992504161</v>
      </c>
      <c r="L34" t="s">
        <v>10</v>
      </c>
      <c r="M34" s="9">
        <v>3636</v>
      </c>
      <c r="N34" s="7">
        <f>33.663</f>
        <v>33.662999999999997</v>
      </c>
      <c r="O34" s="6">
        <f t="shared" si="2"/>
        <v>45.297029702970292</v>
      </c>
      <c r="P34" t="s">
        <v>59</v>
      </c>
      <c r="Q34" s="1"/>
      <c r="T34">
        <f t="shared" si="3"/>
        <v>50.970999999999997</v>
      </c>
      <c r="V34">
        <f t="shared" si="4"/>
        <v>390.84300000000002</v>
      </c>
      <c r="X34" t="str">
        <f t="shared" si="5"/>
        <v/>
      </c>
    </row>
    <row r="35" spans="1:24">
      <c r="A35" s="8" t="s">
        <v>40</v>
      </c>
      <c r="B35">
        <v>700</v>
      </c>
      <c r="C35">
        <v>5</v>
      </c>
      <c r="D35">
        <v>10086</v>
      </c>
      <c r="E35" s="9">
        <v>11549</v>
      </c>
      <c r="F35" s="7">
        <v>36.637999999999998</v>
      </c>
      <c r="G35" s="6">
        <f t="shared" si="0"/>
        <v>12.667763442722318</v>
      </c>
      <c r="H35" t="s">
        <v>9</v>
      </c>
      <c r="I35" s="9">
        <v>11074</v>
      </c>
      <c r="J35" s="12">
        <f>4*60+28.07</f>
        <v>268.07</v>
      </c>
      <c r="K35" s="6">
        <f t="shared" si="1"/>
        <v>8.9217988080187922</v>
      </c>
      <c r="L35" t="s">
        <v>9</v>
      </c>
      <c r="M35" s="9">
        <v>11074</v>
      </c>
      <c r="N35" s="7">
        <f>5*60+35.496</f>
        <v>335.49599999999998</v>
      </c>
      <c r="O35" s="6">
        <f t="shared" si="2"/>
        <v>8.9217988080187922</v>
      </c>
      <c r="P35" t="s">
        <v>9</v>
      </c>
      <c r="Q35" s="1"/>
      <c r="T35" t="str">
        <f t="shared" si="3"/>
        <v/>
      </c>
      <c r="V35" t="str">
        <f t="shared" si="4"/>
        <v/>
      </c>
      <c r="X35" t="str">
        <f t="shared" si="5"/>
        <v/>
      </c>
    </row>
    <row r="36" spans="1:24">
      <c r="A36" s="8" t="s">
        <v>41</v>
      </c>
      <c r="B36">
        <v>700</v>
      </c>
      <c r="C36">
        <v>10</v>
      </c>
      <c r="D36">
        <v>9297</v>
      </c>
      <c r="E36" s="9">
        <v>10829</v>
      </c>
      <c r="F36" s="7">
        <f>19*3600+44*60+8.203</f>
        <v>71048.202999999994</v>
      </c>
      <c r="G36" s="6">
        <f t="shared" si="0"/>
        <v>14.147197340474648</v>
      </c>
      <c r="H36" t="s">
        <v>9</v>
      </c>
      <c r="I36" s="9">
        <v>10762</v>
      </c>
      <c r="J36" s="12">
        <f>2*24*3600+7*3600+7*60+26.598</f>
        <v>198446.598</v>
      </c>
      <c r="K36" s="6">
        <f t="shared" si="1"/>
        <v>13.612711391934582</v>
      </c>
      <c r="L36" t="s">
        <v>9</v>
      </c>
      <c r="M36" s="9">
        <v>10762</v>
      </c>
      <c r="N36" s="7">
        <f>1*24*3600+19*3600+7*60+46.441</f>
        <v>155266.44099999999</v>
      </c>
      <c r="O36" s="6">
        <f t="shared" si="2"/>
        <v>13.612711391934582</v>
      </c>
      <c r="P36" t="s">
        <v>9</v>
      </c>
      <c r="Q36" s="1"/>
      <c r="T36" t="str">
        <f t="shared" si="3"/>
        <v/>
      </c>
      <c r="V36" t="str">
        <f t="shared" si="4"/>
        <v/>
      </c>
      <c r="X36" t="str">
        <f t="shared" si="5"/>
        <v/>
      </c>
    </row>
    <row r="37" spans="1:24">
      <c r="A37" s="8" t="s">
        <v>42</v>
      </c>
      <c r="B37">
        <v>700</v>
      </c>
      <c r="C37">
        <v>70</v>
      </c>
      <c r="D37">
        <v>4700</v>
      </c>
      <c r="E37" s="9">
        <v>6344</v>
      </c>
      <c r="F37" s="7">
        <f>7*3600+19*60+20.036</f>
        <v>26360.036</v>
      </c>
      <c r="G37" s="6">
        <f t="shared" si="0"/>
        <v>25.914249684741492</v>
      </c>
      <c r="H37" t="s">
        <v>59</v>
      </c>
      <c r="I37" s="9">
        <v>6311</v>
      </c>
      <c r="J37" s="12">
        <v>5.3339999999999996</v>
      </c>
      <c r="K37" s="6">
        <f t="shared" si="1"/>
        <v>25.526857867215966</v>
      </c>
      <c r="L37" t="s">
        <v>59</v>
      </c>
      <c r="M37" s="9">
        <v>6311</v>
      </c>
      <c r="N37" s="7">
        <v>12.459</v>
      </c>
      <c r="O37" s="6">
        <f t="shared" si="2"/>
        <v>25.526857867215966</v>
      </c>
      <c r="P37" t="s">
        <v>59</v>
      </c>
      <c r="Q37" s="1"/>
      <c r="T37" t="str">
        <f t="shared" si="3"/>
        <v/>
      </c>
      <c r="V37" t="str">
        <f t="shared" si="4"/>
        <v/>
      </c>
      <c r="X37" t="str">
        <f t="shared" si="5"/>
        <v/>
      </c>
    </row>
    <row r="38" spans="1:24">
      <c r="A38" s="8" t="s">
        <v>43</v>
      </c>
      <c r="B38">
        <v>700</v>
      </c>
      <c r="C38">
        <v>140</v>
      </c>
      <c r="D38">
        <v>3013</v>
      </c>
      <c r="E38" s="9">
        <v>3083</v>
      </c>
      <c r="F38" s="7">
        <f>3*60+58.516</f>
        <v>238.51599999999999</v>
      </c>
      <c r="G38" s="6">
        <f t="shared" si="0"/>
        <v>2.2705157314304216</v>
      </c>
      <c r="H38" t="s">
        <v>10</v>
      </c>
      <c r="I38" s="9">
        <v>3047</v>
      </c>
      <c r="J38" s="12">
        <f>11*60+30.007</f>
        <v>690.00699999999995</v>
      </c>
      <c r="K38" s="6">
        <f t="shared" si="1"/>
        <v>1.1158516573679123</v>
      </c>
      <c r="L38" t="s">
        <v>10</v>
      </c>
      <c r="M38" s="9">
        <v>4548</v>
      </c>
      <c r="N38" s="7">
        <f>4*60+39.333</f>
        <v>279.33299999999997</v>
      </c>
      <c r="O38" s="6">
        <f t="shared" si="2"/>
        <v>33.751099384344769</v>
      </c>
      <c r="P38" t="s">
        <v>59</v>
      </c>
      <c r="Q38" s="1"/>
      <c r="T38">
        <f t="shared" si="3"/>
        <v>238.51599999999999</v>
      </c>
      <c r="V38">
        <f t="shared" si="4"/>
        <v>690.00699999999995</v>
      </c>
      <c r="X38" t="str">
        <f t="shared" si="5"/>
        <v/>
      </c>
    </row>
    <row r="39" spans="1:24">
      <c r="A39" s="8" t="s">
        <v>44</v>
      </c>
      <c r="B39">
        <v>800</v>
      </c>
      <c r="C39">
        <v>5</v>
      </c>
      <c r="D39">
        <v>10400</v>
      </c>
      <c r="E39" s="9">
        <v>11525</v>
      </c>
      <c r="F39" s="7">
        <v>39.94</v>
      </c>
      <c r="G39" s="6">
        <f t="shared" si="0"/>
        <v>9.7613882863340677</v>
      </c>
      <c r="H39" t="s">
        <v>9</v>
      </c>
      <c r="I39" s="9">
        <v>11525</v>
      </c>
      <c r="J39" s="12">
        <f>8*60+31.157</f>
        <v>511.15699999999998</v>
      </c>
      <c r="K39" s="6">
        <f t="shared" si="1"/>
        <v>9.7613882863340677</v>
      </c>
      <c r="L39" t="s">
        <v>9</v>
      </c>
      <c r="M39" s="9">
        <v>11064</v>
      </c>
      <c r="N39" s="7">
        <f>9*60+35.751</f>
        <v>575.75099999999998</v>
      </c>
      <c r="O39" s="6">
        <f t="shared" si="2"/>
        <v>6.001446131597973</v>
      </c>
      <c r="P39" t="s">
        <v>59</v>
      </c>
      <c r="Q39" s="1"/>
      <c r="T39" t="str">
        <f t="shared" si="3"/>
        <v/>
      </c>
      <c r="V39" t="str">
        <f t="shared" si="4"/>
        <v/>
      </c>
      <c r="X39" t="str">
        <f t="shared" si="5"/>
        <v/>
      </c>
    </row>
    <row r="40" spans="1:24">
      <c r="A40" s="8" t="s">
        <v>45</v>
      </c>
      <c r="B40">
        <v>800</v>
      </c>
      <c r="C40">
        <v>10</v>
      </c>
      <c r="D40">
        <v>9934</v>
      </c>
      <c r="E40" s="9">
        <v>11851</v>
      </c>
      <c r="F40" s="7">
        <f>11*3600+8*60+38.009</f>
        <v>40118.008999999998</v>
      </c>
      <c r="G40" s="6">
        <f t="shared" si="0"/>
        <v>16.175850139228757</v>
      </c>
      <c r="H40" t="s">
        <v>9</v>
      </c>
      <c r="I40" s="9">
        <v>11498</v>
      </c>
      <c r="J40" s="12">
        <f>48*3600+18*3600+20*60+2.597</f>
        <v>238802.59700000001</v>
      </c>
      <c r="K40" s="6">
        <f t="shared" si="1"/>
        <v>13.602365628805018</v>
      </c>
      <c r="L40" t="s">
        <v>9</v>
      </c>
      <c r="M40" s="9">
        <v>11132</v>
      </c>
      <c r="N40" s="7">
        <f>48*3600+9*3600+5*60+36.068</f>
        <v>205536.068</v>
      </c>
      <c r="O40" s="6">
        <f t="shared" si="2"/>
        <v>10.761767876392383</v>
      </c>
      <c r="P40" t="s">
        <v>59</v>
      </c>
      <c r="Q40" s="1"/>
      <c r="T40" t="str">
        <f t="shared" si="3"/>
        <v/>
      </c>
      <c r="V40" t="str">
        <f t="shared" si="4"/>
        <v/>
      </c>
      <c r="X40" t="str">
        <f t="shared" si="5"/>
        <v/>
      </c>
    </row>
    <row r="41" spans="1:24">
      <c r="A41" s="8" t="s">
        <v>46</v>
      </c>
      <c r="B41">
        <v>800</v>
      </c>
      <c r="C41">
        <v>80</v>
      </c>
      <c r="D41">
        <v>5057</v>
      </c>
      <c r="E41" s="9">
        <v>6915</v>
      </c>
      <c r="F41" s="7">
        <f>11*3600+20*60+31.145</f>
        <v>40831.144999999997</v>
      </c>
      <c r="G41" s="6">
        <f t="shared" si="0"/>
        <v>26.869125090383221</v>
      </c>
      <c r="H41" t="s">
        <v>59</v>
      </c>
      <c r="I41" s="9">
        <v>6858</v>
      </c>
      <c r="J41" s="12">
        <f>8.001</f>
        <v>8.0009999999999994</v>
      </c>
      <c r="K41" s="6">
        <f t="shared" si="1"/>
        <v>26.261300670749492</v>
      </c>
      <c r="L41" t="s">
        <v>59</v>
      </c>
      <c r="M41" s="9">
        <v>6858</v>
      </c>
      <c r="N41" s="7">
        <v>12.199</v>
      </c>
      <c r="O41" s="6">
        <f t="shared" si="2"/>
        <v>26.261300670749492</v>
      </c>
      <c r="P41" t="s">
        <v>59</v>
      </c>
      <c r="Q41" s="1"/>
      <c r="T41" t="str">
        <f t="shared" si="3"/>
        <v/>
      </c>
      <c r="V41" t="str">
        <f t="shared" si="4"/>
        <v/>
      </c>
      <c r="X41" t="str">
        <f t="shared" si="5"/>
        <v/>
      </c>
    </row>
    <row r="42" spans="1:24">
      <c r="A42" s="8" t="s">
        <v>47</v>
      </c>
      <c r="B42">
        <v>900</v>
      </c>
      <c r="C42">
        <v>5</v>
      </c>
      <c r="D42">
        <v>11060</v>
      </c>
      <c r="E42" s="9">
        <v>12355</v>
      </c>
      <c r="F42" s="7">
        <v>51.580100000000002</v>
      </c>
      <c r="G42" s="6">
        <f t="shared" si="0"/>
        <v>10.481586402266288</v>
      </c>
      <c r="H42" t="s">
        <v>9</v>
      </c>
      <c r="I42" s="9">
        <v>11933</v>
      </c>
      <c r="J42" s="12">
        <f>12*60+7.278</f>
        <v>727.27800000000002</v>
      </c>
      <c r="K42" s="6">
        <f t="shared" si="1"/>
        <v>7.3158468113634427</v>
      </c>
      <c r="L42" t="s">
        <v>9</v>
      </c>
      <c r="M42" s="9">
        <v>11933</v>
      </c>
      <c r="N42" s="7">
        <f>13*60+44.378</f>
        <v>824.37800000000004</v>
      </c>
      <c r="O42" s="6">
        <f t="shared" si="2"/>
        <v>7.3158468113634427</v>
      </c>
      <c r="P42" t="s">
        <v>59</v>
      </c>
      <c r="Q42" s="1"/>
      <c r="T42" t="str">
        <f t="shared" si="3"/>
        <v/>
      </c>
      <c r="V42" t="str">
        <f t="shared" si="4"/>
        <v/>
      </c>
      <c r="X42" t="str">
        <f t="shared" si="5"/>
        <v/>
      </c>
    </row>
    <row r="43" spans="1:24">
      <c r="A43" s="8" t="s">
        <v>48</v>
      </c>
      <c r="B43">
        <v>900</v>
      </c>
      <c r="C43">
        <v>10</v>
      </c>
      <c r="D43">
        <v>9423</v>
      </c>
      <c r="E43" s="9">
        <v>11110</v>
      </c>
      <c r="F43" s="7">
        <f>24*3600+5*3600+21*60+2.885</f>
        <v>105662.88499999999</v>
      </c>
      <c r="G43" s="6">
        <f t="shared" si="0"/>
        <v>15.184518451845179</v>
      </c>
      <c r="H43" t="s">
        <v>9</v>
      </c>
      <c r="I43" s="9">
        <v>11110</v>
      </c>
      <c r="J43" s="12">
        <f>48*3600+1*3600+14*60+51.468</f>
        <v>177291.46799999999</v>
      </c>
      <c r="K43" s="6">
        <f t="shared" si="1"/>
        <v>15.184518451845179</v>
      </c>
      <c r="L43" t="s">
        <v>9</v>
      </c>
      <c r="M43" s="9">
        <v>11110</v>
      </c>
      <c r="N43" s="7">
        <f>8*3600+29.448</f>
        <v>28829.448</v>
      </c>
      <c r="O43" s="6">
        <f t="shared" si="2"/>
        <v>15.184518451845179</v>
      </c>
      <c r="P43" t="s">
        <v>59</v>
      </c>
      <c r="Q43" s="1"/>
      <c r="T43" t="str">
        <f t="shared" si="3"/>
        <v/>
      </c>
      <c r="V43" t="str">
        <f t="shared" si="4"/>
        <v/>
      </c>
      <c r="X43" t="str">
        <f t="shared" si="5"/>
        <v/>
      </c>
    </row>
    <row r="44" spans="1:24" ht="15.75" thickBot="1">
      <c r="A44" s="13" t="s">
        <v>49</v>
      </c>
      <c r="B44">
        <v>900</v>
      </c>
      <c r="C44">
        <v>90</v>
      </c>
      <c r="D44">
        <v>5128</v>
      </c>
      <c r="E44" s="9">
        <v>6730</v>
      </c>
      <c r="F44" s="7">
        <f>14*3600+20*60+27.04</f>
        <v>51627.040000000001</v>
      </c>
      <c r="G44" s="6">
        <f t="shared" si="0"/>
        <v>23.803863298662705</v>
      </c>
      <c r="H44" t="s">
        <v>59</v>
      </c>
      <c r="I44" s="9">
        <v>6730</v>
      </c>
      <c r="J44" s="12">
        <v>9.484</v>
      </c>
      <c r="K44" s="6">
        <f t="shared" si="1"/>
        <v>23.803863298662705</v>
      </c>
      <c r="L44" t="s">
        <v>59</v>
      </c>
      <c r="M44" s="9">
        <v>6730</v>
      </c>
      <c r="N44" s="7">
        <v>5.3650000000000002</v>
      </c>
      <c r="O44" s="6">
        <f t="shared" si="2"/>
        <v>23.803863298662705</v>
      </c>
      <c r="P44" t="s">
        <v>59</v>
      </c>
      <c r="Q44" s="1"/>
      <c r="T44" t="str">
        <f t="shared" si="3"/>
        <v/>
      </c>
      <c r="V44" t="str">
        <f t="shared" si="4"/>
        <v/>
      </c>
      <c r="X44" t="str">
        <f t="shared" si="5"/>
        <v/>
      </c>
    </row>
    <row r="45" spans="1:24" ht="15.75" thickTop="1">
      <c r="A45" s="14"/>
      <c r="B45" s="14"/>
      <c r="C45" s="14"/>
      <c r="D45" s="14"/>
      <c r="E45" s="14"/>
      <c r="F45" s="15" t="s">
        <v>50</v>
      </c>
      <c r="G45" s="14" t="s">
        <v>50</v>
      </c>
      <c r="H45" s="14" t="s">
        <v>51</v>
      </c>
      <c r="I45" s="14"/>
      <c r="J45" s="15" t="s">
        <v>50</v>
      </c>
      <c r="K45" s="14" t="s">
        <v>50</v>
      </c>
      <c r="L45" s="14" t="s">
        <v>51</v>
      </c>
      <c r="M45" s="14"/>
      <c r="N45" s="15" t="s">
        <v>50</v>
      </c>
      <c r="O45" s="14" t="s">
        <v>50</v>
      </c>
      <c r="P45" s="37" t="s">
        <v>51</v>
      </c>
    </row>
    <row r="46" spans="1:24">
      <c r="A46" s="16" t="s">
        <v>52</v>
      </c>
      <c r="B46" s="16"/>
      <c r="C46" s="16"/>
      <c r="D46" s="16"/>
      <c r="E46" s="17"/>
      <c r="F46" s="17">
        <f>AVERAGEIF(H5:H44,"=Si",F5:F44)</f>
        <v>490.48651249999995</v>
      </c>
      <c r="G46" s="18">
        <f>AVERAGEIF(H5:H44,"=Si",G5:G44)</f>
        <v>3.0782987310726524</v>
      </c>
      <c r="H46" s="16">
        <f>COUNTIF(H5:H44,"Si")</f>
        <v>16</v>
      </c>
      <c r="I46" s="16"/>
      <c r="J46" s="17">
        <f>AVERAGEIF(L5:L44,"=Si",J5:J44)</f>
        <v>352.86487499999998</v>
      </c>
      <c r="K46" s="18">
        <f>AVERAGEIF(L5:L44,"=Si",K5:K44)</f>
        <v>1.6149843101297749</v>
      </c>
      <c r="L46" s="16">
        <f>COUNTIF(L5:L44,"Si")</f>
        <v>16</v>
      </c>
      <c r="M46" s="16"/>
      <c r="N46" s="17">
        <f>AVERAGEIF(P5:P44,"=Si",N5:N44)</f>
        <v>732.73453846153848</v>
      </c>
      <c r="O46" s="18">
        <f>AVERAGEIF(P5:P44,"=Si",O5:O44)</f>
        <v>1.1646026269130156</v>
      </c>
      <c r="P46" s="8">
        <f>COUNTIF(P5:P44,"Si")</f>
        <v>13</v>
      </c>
    </row>
    <row r="47" spans="1:24">
      <c r="A47" s="11" t="s">
        <v>53</v>
      </c>
      <c r="B47" s="16"/>
      <c r="C47" s="16"/>
      <c r="D47" s="16"/>
      <c r="E47" s="16"/>
      <c r="F47" s="17">
        <f>AVERAGEIF(H5:H44,"=No",F5:F44)</f>
        <v>18038.663535294116</v>
      </c>
      <c r="G47" s="18">
        <f>AVERAGEIF(H5:H44,"=No",G5:G44)</f>
        <v>12.964650867743192</v>
      </c>
      <c r="H47" s="16">
        <f>COUNTIF(H5:H44,"No")</f>
        <v>17</v>
      </c>
      <c r="I47" s="16"/>
      <c r="J47" s="17">
        <f>AVERAGEIF(L5:L44,"=No",J5:J44)</f>
        <v>54444.189866666668</v>
      </c>
      <c r="K47" s="18">
        <f>AVERAGEIF(L5:L44,"=No",K5:K44)</f>
        <v>10.608828491009076</v>
      </c>
      <c r="L47" s="16">
        <f>COUNTIF(L5:L44,"No")</f>
        <v>15</v>
      </c>
      <c r="M47" s="16"/>
      <c r="N47" s="17">
        <f>AVERAGEIF(P5:P44,"=No",N5:N44)</f>
        <v>56907.735367000001</v>
      </c>
      <c r="O47" s="18">
        <f>AVERAGEIF(P5:P44,"=No",O5:O44)</f>
        <v>9.6497187467265881</v>
      </c>
      <c r="P47" s="8">
        <f>COUNTIF(P5:P44,"No")</f>
        <v>10</v>
      </c>
    </row>
    <row r="48" spans="1:24">
      <c r="A48" s="11" t="s">
        <v>60</v>
      </c>
      <c r="B48" s="16"/>
      <c r="C48" s="16"/>
      <c r="D48" s="16"/>
      <c r="E48" s="16"/>
      <c r="F48" s="17">
        <f>AVERAGEIF(H5:H44,"=Error",F5:F44)</f>
        <v>28732.13</v>
      </c>
      <c r="G48" s="18">
        <f>AVERAGEIF(H5:H44,"=Error",G5:G44)</f>
        <v>25.228490814881354</v>
      </c>
      <c r="H48" s="16">
        <f>COUNTIF(H5:H44,"Error")</f>
        <v>7</v>
      </c>
      <c r="I48" s="16"/>
      <c r="J48" s="17">
        <f>AVERAGEIF(L5:L44,"=Error",J5:J44)</f>
        <v>7255.9560000000001</v>
      </c>
      <c r="K48" s="18">
        <f>AVERAGEIF(L5:L44,"=Error",K5:K44)</f>
        <v>23.087019617372619</v>
      </c>
      <c r="L48" s="16">
        <f>COUNTIF(L6:L45,"Error")</f>
        <v>9</v>
      </c>
      <c r="M48" s="16"/>
      <c r="N48" s="17">
        <f>AVERAGEIF(P5:P44,"=Error",N5:N44)</f>
        <v>18911.382294117648</v>
      </c>
      <c r="O48" s="18">
        <f>AVERAGEIF(P5:P44,"=Error",O5:O44)</f>
        <v>21.65894698326764</v>
      </c>
      <c r="P48" s="8">
        <f>COUNTIF(P5:P44,"Error")</f>
        <v>17</v>
      </c>
    </row>
    <row r="49" spans="1:16">
      <c r="A49" s="25" t="s">
        <v>54</v>
      </c>
      <c r="B49" s="24"/>
      <c r="C49" s="24"/>
      <c r="D49" s="24"/>
      <c r="E49" s="24"/>
      <c r="F49" s="39">
        <f>AVERAGE(F5:F44)</f>
        <v>12890.749357500003</v>
      </c>
      <c r="G49" s="40">
        <f>(G46*H46+G47*H47+G48*H48)/H49</f>
        <v>11.156282003824154</v>
      </c>
      <c r="H49" s="24">
        <f>H46+H47+H48</f>
        <v>40</v>
      </c>
      <c r="I49" s="24"/>
      <c r="J49" s="39">
        <f>AVERAGE(J5:J44)</f>
        <v>22190.307250000002</v>
      </c>
      <c r="K49" s="40">
        <f>(K46*L46+K47*L47+K48*L48)/L49</f>
        <v>9.8188838220891519</v>
      </c>
      <c r="L49" s="24">
        <f>L46+L47+L48</f>
        <v>40</v>
      </c>
      <c r="M49" s="24"/>
      <c r="N49" s="39">
        <f>AVERAGE(N5:N44)</f>
        <v>22502.410041750001</v>
      </c>
      <c r="O49" s="40">
        <f>(O46*P46+O47*P47+O48*P48)/P49</f>
        <v>11.995978008317124</v>
      </c>
      <c r="P49" s="41">
        <f>P46+P47+P48</f>
        <v>40</v>
      </c>
    </row>
    <row r="50" spans="1:16">
      <c r="A50" s="16"/>
      <c r="B50" s="16"/>
      <c r="C50" s="16"/>
      <c r="D50" s="16"/>
      <c r="E50" s="16"/>
      <c r="F50" s="18"/>
      <c r="G50" s="18"/>
      <c r="H50" s="16" t="s">
        <v>55</v>
      </c>
      <c r="I50" s="16"/>
      <c r="J50" s="18"/>
      <c r="K50" s="18"/>
      <c r="L50" s="16" t="s">
        <v>55</v>
      </c>
      <c r="M50" s="16"/>
      <c r="N50" s="18"/>
      <c r="O50" s="18"/>
      <c r="P50" s="8" t="s">
        <v>55</v>
      </c>
    </row>
    <row r="51" spans="1:16">
      <c r="A51" s="11" t="s">
        <v>56</v>
      </c>
      <c r="B51" s="16"/>
      <c r="C51" s="16"/>
      <c r="D51" s="16"/>
      <c r="E51" s="16"/>
      <c r="F51" s="18"/>
      <c r="G51" s="18">
        <f>MIN(H51:H90)</f>
        <v>0.8314855875831455</v>
      </c>
      <c r="H51" s="16" t="str">
        <f t="shared" ref="H51:H90" si="6">IF(H5="Si",G5,"")</f>
        <v/>
      </c>
      <c r="I51" s="16"/>
      <c r="J51" s="16"/>
      <c r="K51" s="18">
        <f>MIN(L51:L90)</f>
        <v>0.1674107142857082</v>
      </c>
      <c r="L51" s="16" t="str">
        <f t="shared" ref="L51:L90" si="7">IF(L5="Si",K5,"")</f>
        <v/>
      </c>
      <c r="M51" s="16"/>
      <c r="N51" s="16"/>
      <c r="O51" s="18">
        <f>MIN(P51:P90)</f>
        <v>0</v>
      </c>
      <c r="P51" s="8" t="str">
        <f t="shared" ref="P51:P90" si="8">IF(P5="Si",O5,"")</f>
        <v/>
      </c>
    </row>
    <row r="52" spans="1:16">
      <c r="A52" s="11" t="s">
        <v>57</v>
      </c>
      <c r="B52" s="16"/>
      <c r="C52" s="16"/>
      <c r="D52" s="16"/>
      <c r="E52" s="16"/>
      <c r="F52" s="18"/>
      <c r="G52" s="18">
        <f>MAX(H51:H90)</f>
        <v>10.939691444600285</v>
      </c>
      <c r="H52" s="16">
        <f t="shared" si="6"/>
        <v>9.3064480389984539</v>
      </c>
      <c r="I52" s="16"/>
      <c r="J52" s="16"/>
      <c r="K52" s="18">
        <f>MAX(L51:L90)</f>
        <v>7.3185988323602942</v>
      </c>
      <c r="L52" s="16">
        <f t="shared" si="7"/>
        <v>5.1887885105397231</v>
      </c>
      <c r="M52" s="16"/>
      <c r="N52" s="16"/>
      <c r="O52" s="18">
        <f>MAX(P51:P90)</f>
        <v>5.7863501483679585</v>
      </c>
      <c r="P52" s="8">
        <f t="shared" si="8"/>
        <v>3.9878020173586606</v>
      </c>
    </row>
    <row r="53" spans="1:16">
      <c r="A53" s="11" t="s">
        <v>69</v>
      </c>
      <c r="B53" s="16"/>
      <c r="C53" s="16"/>
      <c r="D53" s="16"/>
      <c r="E53" s="16"/>
      <c r="F53" s="18"/>
      <c r="G53" s="18">
        <f>MAX(G5:G44)</f>
        <v>26.869125090383221</v>
      </c>
      <c r="H53" s="16">
        <f t="shared" si="6"/>
        <v>8.0285652456178411</v>
      </c>
      <c r="I53" s="16"/>
      <c r="J53" s="16"/>
      <c r="K53" s="18">
        <f>MAX(K5:K44)</f>
        <v>26.276757121186577</v>
      </c>
      <c r="L53" s="16">
        <f t="shared" si="7"/>
        <v>3.9548022598870034</v>
      </c>
      <c r="M53" s="16"/>
      <c r="N53" s="16"/>
      <c r="O53" s="18">
        <f>MAX(O5:O44)</f>
        <v>45.297029702970292</v>
      </c>
      <c r="P53" s="8">
        <f t="shared" si="8"/>
        <v>2.3213054470236756</v>
      </c>
    </row>
    <row r="54" spans="1:16">
      <c r="A54" s="11" t="s">
        <v>80</v>
      </c>
      <c r="B54" s="16"/>
      <c r="C54" s="16"/>
      <c r="D54" s="16"/>
      <c r="E54" s="16"/>
      <c r="F54" s="18"/>
      <c r="G54" s="18"/>
      <c r="H54" s="16">
        <f t="shared" si="6"/>
        <v>1.4935064935064872</v>
      </c>
      <c r="I54" s="16"/>
      <c r="J54" s="16"/>
      <c r="K54" s="18"/>
      <c r="L54" s="16">
        <f t="shared" si="7"/>
        <v>0.88206468474353983</v>
      </c>
      <c r="M54" s="16"/>
      <c r="N54" s="16"/>
      <c r="O54" s="18"/>
      <c r="P54" s="8">
        <f t="shared" si="8"/>
        <v>0</v>
      </c>
    </row>
    <row r="55" spans="1:16">
      <c r="A55" s="11" t="s">
        <v>81</v>
      </c>
      <c r="B55" s="16"/>
      <c r="C55" s="16"/>
      <c r="D55" s="16"/>
      <c r="E55" s="16"/>
      <c r="F55" s="18"/>
      <c r="G55" s="18"/>
      <c r="H55" s="16">
        <f t="shared" si="6"/>
        <v>1.3828238719068509</v>
      </c>
      <c r="I55" s="16"/>
      <c r="J55" s="16"/>
      <c r="K55" s="18"/>
      <c r="L55" s="16">
        <f t="shared" si="7"/>
        <v>0.36764705882352189</v>
      </c>
      <c r="M55" s="16"/>
      <c r="N55" s="16"/>
      <c r="O55" s="18"/>
      <c r="P55" s="8">
        <f t="shared" si="8"/>
        <v>0.36764705882352189</v>
      </c>
    </row>
    <row r="56" spans="1:16">
      <c r="A56" s="11" t="s">
        <v>79</v>
      </c>
      <c r="B56" s="16"/>
      <c r="C56" s="16"/>
      <c r="D56" s="16"/>
      <c r="E56" s="16"/>
      <c r="F56" s="18"/>
      <c r="G56" s="18"/>
      <c r="H56" s="16" t="str">
        <f t="shared" si="6"/>
        <v/>
      </c>
      <c r="I56" s="16"/>
      <c r="J56" s="16"/>
      <c r="K56" s="18"/>
      <c r="L56" s="16" t="str">
        <f t="shared" si="7"/>
        <v/>
      </c>
      <c r="M56" s="16"/>
      <c r="N56" s="16"/>
      <c r="O56" s="18"/>
      <c r="P56" s="8" t="str">
        <f t="shared" si="8"/>
        <v/>
      </c>
    </row>
    <row r="57" spans="1:16">
      <c r="A57" s="16"/>
      <c r="B57" s="16"/>
      <c r="C57" s="16"/>
      <c r="D57" s="16"/>
      <c r="E57" s="16"/>
      <c r="F57" s="18"/>
      <c r="G57" s="18"/>
      <c r="H57" s="16" t="str">
        <f t="shared" si="6"/>
        <v/>
      </c>
      <c r="I57" s="16"/>
      <c r="J57" s="16"/>
      <c r="K57" s="18"/>
      <c r="L57" s="16" t="str">
        <f t="shared" si="7"/>
        <v/>
      </c>
      <c r="M57" s="16"/>
      <c r="N57" s="16"/>
      <c r="O57" s="18"/>
      <c r="P57" s="8" t="str">
        <f t="shared" si="8"/>
        <v/>
      </c>
    </row>
    <row r="58" spans="1:16">
      <c r="A58" s="16"/>
      <c r="B58" s="16"/>
      <c r="C58" s="16"/>
      <c r="D58" s="16"/>
      <c r="E58" s="16"/>
      <c r="F58" s="18"/>
      <c r="G58" s="18"/>
      <c r="H58" s="16">
        <f t="shared" si="6"/>
        <v>10.939691444600285</v>
      </c>
      <c r="I58" s="16"/>
      <c r="J58" s="16"/>
      <c r="K58" s="18"/>
      <c r="L58" s="16">
        <f t="shared" si="7"/>
        <v>7.3185988323602942</v>
      </c>
      <c r="M58" s="16"/>
      <c r="N58" s="16"/>
      <c r="O58" s="18"/>
      <c r="P58" s="8">
        <f t="shared" si="8"/>
        <v>5.7863501483679585</v>
      </c>
    </row>
    <row r="59" spans="1:16">
      <c r="A59" s="16"/>
      <c r="B59" s="16"/>
      <c r="C59" s="16"/>
      <c r="D59" s="16"/>
      <c r="E59" s="16"/>
      <c r="F59" s="18"/>
      <c r="G59" s="18"/>
      <c r="H59" s="16">
        <f t="shared" si="6"/>
        <v>1.2996389891696651</v>
      </c>
      <c r="I59" s="16"/>
      <c r="J59" s="16"/>
      <c r="K59" s="18"/>
      <c r="L59" s="16">
        <f t="shared" si="7"/>
        <v>0.65406976744185386</v>
      </c>
      <c r="M59" s="16"/>
      <c r="N59" s="16"/>
      <c r="O59" s="18"/>
      <c r="P59" s="8">
        <f t="shared" si="8"/>
        <v>0.54565296471443503</v>
      </c>
    </row>
    <row r="60" spans="1:16">
      <c r="A60" s="16"/>
      <c r="B60" s="16"/>
      <c r="C60" s="16"/>
      <c r="D60" s="16"/>
      <c r="E60" s="16"/>
      <c r="F60" s="18"/>
      <c r="G60" s="18"/>
      <c r="H60" s="16">
        <f t="shared" si="6"/>
        <v>2.3346303501945584</v>
      </c>
      <c r="I60" s="16"/>
      <c r="J60" s="16"/>
      <c r="K60" s="18"/>
      <c r="L60" s="16">
        <f t="shared" si="7"/>
        <v>0.79051383399209385</v>
      </c>
      <c r="M60" s="16"/>
      <c r="N60" s="16"/>
      <c r="O60" s="18"/>
      <c r="P60" s="8">
        <f t="shared" si="8"/>
        <v>0.2384737678855231</v>
      </c>
    </row>
    <row r="61" spans="1:16">
      <c r="A61" s="16"/>
      <c r="B61" s="16"/>
      <c r="C61" s="16"/>
      <c r="D61" s="16"/>
      <c r="E61" s="16"/>
      <c r="F61" s="18"/>
      <c r="G61" s="18"/>
      <c r="H61" s="16" t="str">
        <f t="shared" si="6"/>
        <v/>
      </c>
      <c r="I61" s="16"/>
      <c r="J61" s="16"/>
      <c r="K61" s="18"/>
      <c r="L61" s="16" t="str">
        <f t="shared" si="7"/>
        <v/>
      </c>
      <c r="M61" s="16"/>
      <c r="N61" s="16"/>
      <c r="O61" s="18"/>
      <c r="P61" s="8" t="str">
        <f t="shared" si="8"/>
        <v/>
      </c>
    </row>
    <row r="62" spans="1:16">
      <c r="A62" s="16"/>
      <c r="B62" s="16"/>
      <c r="C62" s="16"/>
      <c r="D62" s="16"/>
      <c r="E62" s="16"/>
      <c r="F62" s="18"/>
      <c r="G62" s="18"/>
      <c r="H62" s="16" t="str">
        <f t="shared" si="6"/>
        <v/>
      </c>
      <c r="I62" s="16"/>
      <c r="J62" s="16"/>
      <c r="K62" s="18"/>
      <c r="L62" s="16" t="str">
        <f t="shared" si="7"/>
        <v/>
      </c>
      <c r="M62" s="16"/>
      <c r="N62" s="16"/>
      <c r="O62" s="18"/>
      <c r="P62" s="8" t="str">
        <f t="shared" si="8"/>
        <v/>
      </c>
    </row>
    <row r="63" spans="1:16">
      <c r="A63" s="16"/>
      <c r="B63" s="16"/>
      <c r="C63" s="16"/>
      <c r="D63" s="16"/>
      <c r="E63" s="16"/>
      <c r="F63" s="18"/>
      <c r="G63" s="18"/>
      <c r="H63" s="16" t="str">
        <f t="shared" si="6"/>
        <v/>
      </c>
      <c r="I63" s="16"/>
      <c r="J63" s="16"/>
      <c r="K63" s="18"/>
      <c r="L63" s="16" t="str">
        <f t="shared" si="7"/>
        <v/>
      </c>
      <c r="M63" s="16"/>
      <c r="N63" s="16"/>
      <c r="O63" s="18"/>
      <c r="P63" s="8" t="str">
        <f t="shared" si="8"/>
        <v/>
      </c>
    </row>
    <row r="64" spans="1:16">
      <c r="A64" s="16"/>
      <c r="B64" s="16"/>
      <c r="C64" s="16"/>
      <c r="D64" s="16"/>
      <c r="E64" s="16"/>
      <c r="F64" s="18"/>
      <c r="G64" s="18"/>
      <c r="H64" s="16">
        <f t="shared" si="6"/>
        <v>1.2926748425588386</v>
      </c>
      <c r="I64" s="16"/>
      <c r="J64" s="16"/>
      <c r="K64" s="18"/>
      <c r="L64" s="16">
        <f t="shared" si="7"/>
        <v>0.30130565785067631</v>
      </c>
      <c r="M64" s="16"/>
      <c r="N64" s="16"/>
      <c r="O64" s="18"/>
      <c r="P64" s="8">
        <f t="shared" si="8"/>
        <v>0.10063737001006245</v>
      </c>
    </row>
    <row r="65" spans="1:16">
      <c r="A65" s="16"/>
      <c r="B65" s="16"/>
      <c r="C65" s="16"/>
      <c r="D65" s="16"/>
      <c r="E65" s="16"/>
      <c r="F65" s="18"/>
      <c r="G65" s="18"/>
      <c r="H65" s="16">
        <f t="shared" si="6"/>
        <v>1.761363636363626</v>
      </c>
      <c r="I65" s="16"/>
      <c r="J65" s="16"/>
      <c r="K65" s="18"/>
      <c r="L65" s="16">
        <f t="shared" si="7"/>
        <v>0.97365406643757524</v>
      </c>
      <c r="M65" s="16"/>
      <c r="N65" s="16"/>
      <c r="O65" s="18"/>
      <c r="P65" s="8">
        <f t="shared" si="8"/>
        <v>0.23081361800346656</v>
      </c>
    </row>
    <row r="66" spans="1:16">
      <c r="A66" s="16"/>
      <c r="B66" s="16"/>
      <c r="C66" s="16"/>
      <c r="D66" s="16"/>
      <c r="E66" s="16"/>
      <c r="F66" s="18"/>
      <c r="G66" s="18"/>
      <c r="H66" s="16" t="str">
        <f t="shared" si="6"/>
        <v/>
      </c>
      <c r="I66" s="16"/>
      <c r="J66" s="16"/>
      <c r="K66" s="18"/>
      <c r="L66" s="16" t="str">
        <f t="shared" si="7"/>
        <v/>
      </c>
      <c r="M66" s="16"/>
      <c r="N66" s="16"/>
      <c r="O66" s="18"/>
      <c r="P66" s="8" t="str">
        <f t="shared" si="8"/>
        <v/>
      </c>
    </row>
    <row r="67" spans="1:16">
      <c r="A67" s="16"/>
      <c r="B67" s="16"/>
      <c r="C67" s="16"/>
      <c r="D67" s="16"/>
      <c r="E67" s="16"/>
      <c r="F67" s="18"/>
      <c r="G67" s="18"/>
      <c r="H67" s="16" t="str">
        <f t="shared" si="6"/>
        <v/>
      </c>
      <c r="I67" s="16"/>
      <c r="J67" s="16"/>
      <c r="K67" s="18"/>
      <c r="L67" s="16" t="str">
        <f t="shared" si="7"/>
        <v/>
      </c>
      <c r="M67" s="16"/>
      <c r="N67" s="16"/>
      <c r="O67" s="18"/>
      <c r="P67" s="8" t="str">
        <f t="shared" si="8"/>
        <v/>
      </c>
    </row>
    <row r="68" spans="1:16">
      <c r="A68" s="16"/>
      <c r="B68" s="16"/>
      <c r="C68" s="16"/>
      <c r="D68" s="16"/>
      <c r="E68" s="16"/>
      <c r="F68" s="18"/>
      <c r="G68" s="18"/>
      <c r="H68" s="16" t="str">
        <f t="shared" si="6"/>
        <v/>
      </c>
      <c r="I68" s="16"/>
      <c r="J68" s="16"/>
      <c r="K68" s="18"/>
      <c r="L68" s="16" t="str">
        <f t="shared" si="7"/>
        <v/>
      </c>
      <c r="M68" s="16"/>
      <c r="N68" s="16"/>
      <c r="O68" s="18"/>
      <c r="P68" s="8" t="str">
        <f t="shared" si="8"/>
        <v/>
      </c>
    </row>
    <row r="69" spans="1:16">
      <c r="A69" s="16"/>
      <c r="B69" s="16"/>
      <c r="C69" s="16"/>
      <c r="D69" s="16"/>
      <c r="E69" s="16"/>
      <c r="F69" s="18"/>
      <c r="G69" s="18"/>
      <c r="H69" s="16">
        <f t="shared" si="6"/>
        <v>1.5230183454482642</v>
      </c>
      <c r="I69" s="16"/>
      <c r="J69" s="16"/>
      <c r="K69" s="18"/>
      <c r="L69" s="16">
        <f t="shared" si="7"/>
        <v>0.73272854152128275</v>
      </c>
      <c r="M69" s="16"/>
      <c r="N69" s="16"/>
      <c r="O69" s="18"/>
      <c r="P69" s="8">
        <f t="shared" si="8"/>
        <v>0.24544179523141452</v>
      </c>
    </row>
    <row r="70" spans="1:16">
      <c r="A70" s="16"/>
      <c r="B70" s="16"/>
      <c r="C70" s="16"/>
      <c r="D70" s="16"/>
      <c r="E70" s="16"/>
      <c r="F70" s="18"/>
      <c r="G70" s="18"/>
      <c r="H70" s="16">
        <f t="shared" si="6"/>
        <v>0.8314855875831455</v>
      </c>
      <c r="I70" s="16"/>
      <c r="J70" s="16"/>
      <c r="K70" s="18"/>
      <c r="L70" s="16">
        <f t="shared" si="7"/>
        <v>0.1674107142857082</v>
      </c>
      <c r="M70" s="16"/>
      <c r="N70" s="16"/>
      <c r="O70" s="18"/>
      <c r="P70" s="8">
        <f t="shared" si="8"/>
        <v>0.1674107142857082</v>
      </c>
    </row>
    <row r="71" spans="1:16">
      <c r="A71" s="16"/>
      <c r="B71" s="16"/>
      <c r="C71" s="16"/>
      <c r="D71" s="16"/>
      <c r="E71" s="16"/>
      <c r="F71" s="18"/>
      <c r="G71" s="18"/>
      <c r="H71" s="16" t="str">
        <f t="shared" si="6"/>
        <v/>
      </c>
      <c r="I71" s="16"/>
      <c r="J71" s="16"/>
      <c r="K71" s="18"/>
      <c r="L71" s="16" t="str">
        <f t="shared" si="7"/>
        <v/>
      </c>
      <c r="M71" s="16"/>
      <c r="N71" s="16"/>
      <c r="O71" s="18"/>
      <c r="P71" s="8" t="str">
        <f t="shared" si="8"/>
        <v/>
      </c>
    </row>
    <row r="72" spans="1:16">
      <c r="A72" s="16"/>
      <c r="B72" s="16"/>
      <c r="C72" s="16"/>
      <c r="D72" s="16"/>
      <c r="E72" s="16"/>
      <c r="F72" s="18"/>
      <c r="G72" s="18"/>
      <c r="H72" s="16" t="str">
        <f t="shared" si="6"/>
        <v/>
      </c>
      <c r="I72" s="16"/>
      <c r="J72" s="16"/>
      <c r="K72" s="18"/>
      <c r="L72" s="16" t="str">
        <f t="shared" si="7"/>
        <v/>
      </c>
      <c r="M72" s="16"/>
      <c r="N72" s="16"/>
      <c r="O72" s="18"/>
      <c r="P72" s="8" t="str">
        <f t="shared" si="8"/>
        <v/>
      </c>
    </row>
    <row r="73" spans="1:16">
      <c r="A73" s="16"/>
      <c r="B73" s="16"/>
      <c r="C73" s="16"/>
      <c r="D73" s="16"/>
      <c r="E73" s="16"/>
      <c r="F73" s="18"/>
      <c r="G73" s="18"/>
      <c r="H73" s="16" t="str">
        <f t="shared" si="6"/>
        <v/>
      </c>
      <c r="I73" s="16"/>
      <c r="J73" s="16"/>
      <c r="K73" s="18"/>
      <c r="L73" s="16" t="str">
        <f t="shared" si="7"/>
        <v/>
      </c>
      <c r="M73" s="16"/>
      <c r="N73" s="16"/>
      <c r="O73" s="18"/>
      <c r="P73" s="8" t="str">
        <f t="shared" si="8"/>
        <v/>
      </c>
    </row>
    <row r="74" spans="1:16">
      <c r="A74" s="16"/>
      <c r="B74" s="16"/>
      <c r="C74" s="16"/>
      <c r="D74" s="16"/>
      <c r="E74" s="16"/>
      <c r="F74" s="18"/>
      <c r="G74" s="18"/>
      <c r="H74" s="16">
        <f t="shared" si="6"/>
        <v>2.0185307743216327</v>
      </c>
      <c r="I74" s="16"/>
      <c r="J74" s="16"/>
      <c r="K74" s="18"/>
      <c r="L74" s="16">
        <f t="shared" si="7"/>
        <v>0.87043856712421075</v>
      </c>
      <c r="M74" s="16"/>
      <c r="N74" s="16"/>
      <c r="O74" s="18"/>
      <c r="P74" s="8">
        <f t="shared" si="8"/>
        <v>0.60422960725074404</v>
      </c>
    </row>
    <row r="75" spans="1:16">
      <c r="A75" s="16"/>
      <c r="B75" s="16"/>
      <c r="C75" s="16"/>
      <c r="D75" s="16"/>
      <c r="E75" s="16"/>
      <c r="F75" s="18"/>
      <c r="G75" s="18"/>
      <c r="H75" s="16">
        <f t="shared" si="6"/>
        <v>1.4555256064689956</v>
      </c>
      <c r="I75" s="16"/>
      <c r="J75" s="16"/>
      <c r="K75" s="18"/>
      <c r="L75" s="16">
        <f t="shared" si="7"/>
        <v>0.97508125677138935</v>
      </c>
      <c r="M75" s="16"/>
      <c r="N75" s="16"/>
      <c r="O75" s="18"/>
      <c r="P75" s="8">
        <f t="shared" si="8"/>
        <v>0.54406964091403154</v>
      </c>
    </row>
    <row r="76" spans="1:16">
      <c r="A76" s="16"/>
      <c r="B76" s="16"/>
      <c r="C76" s="16"/>
      <c r="D76" s="16"/>
      <c r="E76" s="16"/>
      <c r="F76" s="18"/>
      <c r="G76" s="18"/>
      <c r="H76" s="16" t="str">
        <f t="shared" si="6"/>
        <v/>
      </c>
      <c r="I76" s="16"/>
      <c r="J76" s="16"/>
      <c r="K76" s="18"/>
      <c r="L76" s="16" t="str">
        <f t="shared" si="7"/>
        <v/>
      </c>
      <c r="M76" s="16"/>
      <c r="N76" s="16"/>
      <c r="O76" s="18"/>
      <c r="P76" s="8" t="str">
        <f t="shared" si="8"/>
        <v/>
      </c>
    </row>
    <row r="77" spans="1:16">
      <c r="A77" s="16"/>
      <c r="B77" s="16"/>
      <c r="C77" s="16"/>
      <c r="D77" s="16"/>
      <c r="E77" s="16"/>
      <c r="F77" s="18"/>
      <c r="G77" s="18"/>
      <c r="H77" s="16" t="str">
        <f t="shared" si="6"/>
        <v/>
      </c>
      <c r="I77" s="16"/>
      <c r="J77" s="16"/>
      <c r="K77" s="18"/>
      <c r="L77" s="16" t="str">
        <f t="shared" si="7"/>
        <v/>
      </c>
      <c r="M77" s="16"/>
      <c r="N77" s="16"/>
      <c r="O77" s="18"/>
      <c r="P77" s="8" t="str">
        <f t="shared" si="8"/>
        <v/>
      </c>
    </row>
    <row r="78" spans="1:16">
      <c r="A78" s="16"/>
      <c r="B78" s="16"/>
      <c r="C78" s="16"/>
      <c r="D78" s="16"/>
      <c r="E78" s="16"/>
      <c r="F78" s="18"/>
      <c r="G78" s="18"/>
      <c r="H78" s="16" t="str">
        <f t="shared" si="6"/>
        <v/>
      </c>
      <c r="I78" s="16"/>
      <c r="J78" s="16"/>
      <c r="K78" s="18"/>
      <c r="L78" s="16" t="str">
        <f t="shared" si="7"/>
        <v/>
      </c>
      <c r="M78" s="16"/>
      <c r="N78" s="16"/>
      <c r="O78" s="18"/>
      <c r="P78" s="8" t="str">
        <f t="shared" si="8"/>
        <v/>
      </c>
    </row>
    <row r="79" spans="1:16">
      <c r="A79" s="16"/>
      <c r="B79" s="16"/>
      <c r="C79" s="16"/>
      <c r="D79" s="16"/>
      <c r="E79" s="16"/>
      <c r="F79" s="18"/>
      <c r="G79" s="18"/>
      <c r="H79" s="16">
        <f t="shared" si="6"/>
        <v>2.318840579710141</v>
      </c>
      <c r="I79" s="16"/>
      <c r="J79" s="16"/>
      <c r="K79" s="18"/>
      <c r="L79" s="16">
        <f t="shared" si="7"/>
        <v>0.94709340300457256</v>
      </c>
      <c r="M79" s="16"/>
      <c r="N79" s="16"/>
      <c r="O79" s="18"/>
      <c r="P79" s="8" t="str">
        <f t="shared" si="8"/>
        <v/>
      </c>
    </row>
    <row r="80" spans="1:16">
      <c r="A80" s="16"/>
      <c r="B80" s="16"/>
      <c r="C80" s="16"/>
      <c r="D80" s="16"/>
      <c r="E80" s="16"/>
      <c r="F80" s="18"/>
      <c r="G80" s="18"/>
      <c r="H80" s="16">
        <f t="shared" si="6"/>
        <v>0.99552015928323101</v>
      </c>
      <c r="I80" s="16"/>
      <c r="J80" s="16"/>
      <c r="K80" s="18"/>
      <c r="L80" s="16">
        <f t="shared" si="7"/>
        <v>0.59970014992504161</v>
      </c>
      <c r="M80" s="16"/>
      <c r="N80" s="16"/>
      <c r="O80" s="18"/>
      <c r="P80" s="8" t="str">
        <f t="shared" si="8"/>
        <v/>
      </c>
    </row>
    <row r="81" spans="1:16">
      <c r="A81" s="16"/>
      <c r="B81" s="16"/>
      <c r="C81" s="16"/>
      <c r="D81" s="16"/>
      <c r="E81" s="16"/>
      <c r="F81" s="18"/>
      <c r="G81" s="18"/>
      <c r="H81" s="16" t="str">
        <f t="shared" si="6"/>
        <v/>
      </c>
      <c r="I81" s="16"/>
      <c r="J81" s="16"/>
      <c r="K81" s="18"/>
      <c r="L81" s="16" t="str">
        <f t="shared" si="7"/>
        <v/>
      </c>
      <c r="M81" s="16"/>
      <c r="N81" s="16"/>
      <c r="O81" s="18"/>
      <c r="P81" s="8" t="str">
        <f t="shared" si="8"/>
        <v/>
      </c>
    </row>
    <row r="82" spans="1:16">
      <c r="A82" s="16"/>
      <c r="B82" s="16"/>
      <c r="C82" s="16"/>
      <c r="D82" s="16"/>
      <c r="E82" s="16"/>
      <c r="F82" s="18"/>
      <c r="G82" s="18"/>
      <c r="H82" s="16" t="str">
        <f t="shared" si="6"/>
        <v/>
      </c>
      <c r="I82" s="16"/>
      <c r="J82" s="16"/>
      <c r="K82" s="18"/>
      <c r="L82" s="16" t="str">
        <f t="shared" si="7"/>
        <v/>
      </c>
      <c r="M82" s="16"/>
      <c r="N82" s="16"/>
      <c r="O82" s="18"/>
      <c r="P82" s="8" t="str">
        <f t="shared" si="8"/>
        <v/>
      </c>
    </row>
    <row r="83" spans="1:16">
      <c r="A83" s="16"/>
      <c r="B83" s="16"/>
      <c r="C83" s="16"/>
      <c r="D83" s="16"/>
      <c r="E83" s="16"/>
      <c r="F83" s="18"/>
      <c r="G83" s="18"/>
      <c r="H83" s="16" t="str">
        <f t="shared" si="6"/>
        <v/>
      </c>
      <c r="I83" s="16"/>
      <c r="J83" s="16"/>
      <c r="K83" s="18"/>
      <c r="L83" s="16" t="str">
        <f t="shared" si="7"/>
        <v/>
      </c>
      <c r="M83" s="16"/>
      <c r="N83" s="16"/>
      <c r="O83" s="18"/>
      <c r="P83" s="8" t="str">
        <f t="shared" si="8"/>
        <v/>
      </c>
    </row>
    <row r="84" spans="1:16">
      <c r="A84" s="20"/>
      <c r="B84" s="20"/>
      <c r="C84" s="20"/>
      <c r="D84" s="20"/>
      <c r="E84" s="20"/>
      <c r="F84" s="19"/>
      <c r="G84" s="19"/>
      <c r="H84" s="20">
        <f t="shared" si="6"/>
        <v>2.2705157314304216</v>
      </c>
      <c r="I84" s="20"/>
      <c r="J84" s="20"/>
      <c r="K84" s="19"/>
      <c r="L84" s="20">
        <f t="shared" si="7"/>
        <v>1.1158516573679123</v>
      </c>
      <c r="M84" s="20"/>
      <c r="N84" s="20"/>
      <c r="O84" s="19"/>
      <c r="P84" s="38" t="str">
        <f t="shared" si="8"/>
        <v/>
      </c>
    </row>
    <row r="85" spans="1:16">
      <c r="F85" s="7"/>
      <c r="G85" s="7"/>
      <c r="H85" t="str">
        <f t="shared" si="6"/>
        <v/>
      </c>
      <c r="K85" s="7"/>
      <c r="L85" t="str">
        <f t="shared" si="7"/>
        <v/>
      </c>
      <c r="O85" s="7"/>
      <c r="P85" t="str">
        <f t="shared" si="8"/>
        <v/>
      </c>
    </row>
    <row r="86" spans="1:16">
      <c r="F86" s="7"/>
      <c r="G86" s="7"/>
      <c r="H86" t="str">
        <f t="shared" si="6"/>
        <v/>
      </c>
      <c r="K86" s="7"/>
      <c r="L86" t="str">
        <f t="shared" si="7"/>
        <v/>
      </c>
      <c r="O86" s="7"/>
      <c r="P86" t="str">
        <f t="shared" si="8"/>
        <v/>
      </c>
    </row>
    <row r="87" spans="1:16">
      <c r="F87" s="7"/>
      <c r="G87" s="7"/>
      <c r="H87" t="str">
        <f t="shared" si="6"/>
        <v/>
      </c>
      <c r="K87" s="7"/>
      <c r="L87" t="str">
        <f t="shared" si="7"/>
        <v/>
      </c>
      <c r="O87" s="7"/>
      <c r="P87" t="str">
        <f t="shared" si="8"/>
        <v/>
      </c>
    </row>
    <row r="88" spans="1:16">
      <c r="F88" s="7"/>
      <c r="G88" s="7"/>
      <c r="H88" t="str">
        <f t="shared" si="6"/>
        <v/>
      </c>
      <c r="K88" s="7"/>
      <c r="L88" t="str">
        <f t="shared" si="7"/>
        <v/>
      </c>
      <c r="O88" s="7"/>
      <c r="P88" t="str">
        <f t="shared" si="8"/>
        <v/>
      </c>
    </row>
    <row r="89" spans="1:16">
      <c r="F89" s="7"/>
      <c r="G89" s="7"/>
      <c r="H89" t="str">
        <f t="shared" si="6"/>
        <v/>
      </c>
      <c r="K89" s="7"/>
      <c r="L89" t="str">
        <f t="shared" si="7"/>
        <v/>
      </c>
      <c r="O89" s="7"/>
      <c r="P89" t="str">
        <f t="shared" si="8"/>
        <v/>
      </c>
    </row>
    <row r="90" spans="1:16">
      <c r="A90" s="16"/>
      <c r="B90" s="16"/>
      <c r="C90" s="16"/>
      <c r="D90" s="16"/>
      <c r="E90" s="16"/>
      <c r="F90" s="18"/>
      <c r="G90" s="18"/>
      <c r="H90" s="16" t="str">
        <f t="shared" si="6"/>
        <v/>
      </c>
      <c r="I90" s="16"/>
      <c r="J90" s="16"/>
      <c r="K90" s="18"/>
      <c r="L90" s="16" t="str">
        <f t="shared" si="7"/>
        <v/>
      </c>
      <c r="M90" s="16"/>
      <c r="N90" s="16"/>
      <c r="O90" s="18"/>
      <c r="P90" s="16" t="str">
        <f t="shared" si="8"/>
        <v/>
      </c>
    </row>
    <row r="91" spans="1:16">
      <c r="A91" s="16"/>
      <c r="B91" s="16"/>
      <c r="C91" s="16"/>
      <c r="D91" s="16"/>
      <c r="F91" s="7"/>
      <c r="H91" s="11"/>
    </row>
    <row r="92" spans="1:16">
      <c r="F92" s="7"/>
    </row>
    <row r="93" spans="1:16">
      <c r="F93" s="7"/>
    </row>
    <row r="94" spans="1:16">
      <c r="F94" s="7"/>
    </row>
    <row r="95" spans="1:16">
      <c r="F95" s="7"/>
    </row>
    <row r="96" spans="1:16">
      <c r="F96" s="7"/>
    </row>
    <row r="97" spans="6:6">
      <c r="F97" s="7"/>
    </row>
    <row r="98" spans="6:6">
      <c r="F98" s="7"/>
    </row>
    <row r="99" spans="6:6">
      <c r="F99" s="7"/>
    </row>
    <row r="100" spans="6:6">
      <c r="F100" s="7"/>
    </row>
    <row r="101" spans="6:6">
      <c r="F101" s="7"/>
    </row>
    <row r="102" spans="6:6">
      <c r="F102" s="7"/>
    </row>
    <row r="103" spans="6:6">
      <c r="F103" s="7"/>
    </row>
    <row r="104" spans="6:6">
      <c r="F104" s="7"/>
    </row>
    <row r="105" spans="6:6">
      <c r="F105" s="7"/>
    </row>
    <row r="106" spans="6:6">
      <c r="F106" s="7"/>
    </row>
    <row r="107" spans="6:6">
      <c r="F107" s="7"/>
    </row>
  </sheetData>
  <mergeCells count="8">
    <mergeCell ref="A2:A4"/>
    <mergeCell ref="B2:B4"/>
    <mergeCell ref="C2:C4"/>
    <mergeCell ref="D2:D4"/>
    <mergeCell ref="E2:P2"/>
    <mergeCell ref="E3:H3"/>
    <mergeCell ref="I3:L3"/>
    <mergeCell ref="M3:P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3"/>
  <sheetViews>
    <sheetView workbookViewId="0">
      <selection activeCell="A24" sqref="A24"/>
    </sheetView>
  </sheetViews>
  <sheetFormatPr defaultRowHeight="15"/>
  <cols>
    <col min="1" max="1" width="14.42578125" bestFit="1" customWidth="1"/>
  </cols>
  <sheetData>
    <row r="1" spans="1:4" ht="38.25" customHeight="1" thickTop="1">
      <c r="A1" s="26" t="s">
        <v>61</v>
      </c>
      <c r="B1" s="61" t="s">
        <v>50</v>
      </c>
      <c r="C1" s="61" t="s">
        <v>62</v>
      </c>
      <c r="D1" s="61" t="s">
        <v>63</v>
      </c>
    </row>
    <row r="2" spans="1:4" ht="15.75" thickBot="1">
      <c r="A2" s="27" t="s">
        <v>64</v>
      </c>
      <c r="B2" s="62"/>
      <c r="C2" s="62"/>
      <c r="D2" s="62"/>
    </row>
    <row r="3" spans="1:4" ht="15.75" thickTop="1">
      <c r="A3" s="28">
        <v>1000</v>
      </c>
      <c r="B3" s="34">
        <v>11.16</v>
      </c>
      <c r="C3" s="33">
        <v>0.83</v>
      </c>
      <c r="D3" s="29">
        <v>26.87</v>
      </c>
    </row>
    <row r="4" spans="1:4">
      <c r="A4" s="28">
        <v>3000</v>
      </c>
      <c r="B4" s="30">
        <v>9.82</v>
      </c>
      <c r="C4" s="30">
        <v>0.17</v>
      </c>
      <c r="D4" s="30">
        <v>26.28</v>
      </c>
    </row>
    <row r="5" spans="1:4" ht="15.75" thickBot="1">
      <c r="A5" s="31">
        <v>5000</v>
      </c>
      <c r="B5" s="32">
        <v>12</v>
      </c>
      <c r="C5" s="32">
        <v>0</v>
      </c>
      <c r="D5" s="32">
        <v>45.3</v>
      </c>
    </row>
    <row r="6" spans="1:4" ht="15.75" thickTop="1"/>
    <row r="8" spans="1:4">
      <c r="A8" t="s">
        <v>65</v>
      </c>
    </row>
    <row r="9" spans="1:4">
      <c r="A9" t="s">
        <v>66</v>
      </c>
    </row>
    <row r="10" spans="1:4">
      <c r="A10" t="s">
        <v>67</v>
      </c>
    </row>
    <row r="17" spans="1:4" s="46" customFormat="1" ht="15.75" thickBot="1">
      <c r="A17" s="45" t="s">
        <v>68</v>
      </c>
    </row>
    <row r="18" spans="1:4" ht="30.75" thickTop="1">
      <c r="A18" s="26" t="s">
        <v>61</v>
      </c>
      <c r="B18" s="61" t="s">
        <v>50</v>
      </c>
      <c r="C18" s="61" t="s">
        <v>62</v>
      </c>
      <c r="D18" s="61" t="s">
        <v>63</v>
      </c>
    </row>
    <row r="19" spans="1:4" ht="15.75" thickBot="1">
      <c r="A19" s="27" t="s">
        <v>64</v>
      </c>
      <c r="B19" s="62"/>
      <c r="C19" s="62"/>
      <c r="D19" s="62"/>
    </row>
    <row r="20" spans="1:4" ht="15.75" thickTop="1">
      <c r="A20" s="28">
        <v>1000</v>
      </c>
      <c r="B20" s="34">
        <v>3.08</v>
      </c>
      <c r="C20" s="33">
        <v>0.83</v>
      </c>
      <c r="D20" s="29">
        <v>10.94</v>
      </c>
    </row>
    <row r="21" spans="1:4">
      <c r="A21" s="28">
        <v>3000</v>
      </c>
      <c r="B21" s="30">
        <v>1.61</v>
      </c>
      <c r="C21" s="30">
        <v>0.17</v>
      </c>
      <c r="D21" s="30">
        <v>7.32</v>
      </c>
    </row>
    <row r="22" spans="1:4" ht="15.75" thickBot="1">
      <c r="A22" s="31">
        <v>5000</v>
      </c>
      <c r="B22" s="32">
        <v>1.1599999999999999</v>
      </c>
      <c r="C22" s="32">
        <v>0</v>
      </c>
      <c r="D22" s="32">
        <v>5.79</v>
      </c>
    </row>
    <row r="23" spans="1:4" ht="15.75" thickTop="1"/>
  </sheetData>
  <mergeCells count="6">
    <mergeCell ref="B1:B2"/>
    <mergeCell ref="C1:C2"/>
    <mergeCell ref="D1:D2"/>
    <mergeCell ref="B18:B19"/>
    <mergeCell ref="C18:C19"/>
    <mergeCell ref="D18:D1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P59"/>
  <sheetViews>
    <sheetView workbookViewId="0">
      <selection activeCell="G22" sqref="G22"/>
    </sheetView>
  </sheetViews>
  <sheetFormatPr defaultRowHeight="15"/>
  <cols>
    <col min="10" max="10" width="10.140625" bestFit="1" customWidth="1"/>
  </cols>
  <sheetData>
    <row r="1" spans="1:16" ht="15.75" thickBot="1">
      <c r="A1" s="10" t="s">
        <v>58</v>
      </c>
      <c r="B1" s="10">
        <v>1657</v>
      </c>
    </row>
    <row r="2" spans="1:16" ht="15.75" thickTop="1">
      <c r="A2" s="53" t="s">
        <v>0</v>
      </c>
      <c r="B2" s="53" t="s">
        <v>1</v>
      </c>
      <c r="C2" s="53" t="s">
        <v>2</v>
      </c>
      <c r="D2" s="63" t="s">
        <v>3</v>
      </c>
      <c r="E2" s="64"/>
      <c r="F2" s="65"/>
      <c r="G2" s="65"/>
      <c r="H2" s="65"/>
      <c r="I2" s="65"/>
      <c r="J2" s="65"/>
      <c r="K2" s="65"/>
      <c r="L2" s="65"/>
      <c r="M2" s="65"/>
      <c r="N2" s="65"/>
      <c r="O2" s="65"/>
      <c r="P2" s="66"/>
    </row>
    <row r="3" spans="1:16">
      <c r="A3" s="54"/>
      <c r="B3" s="54"/>
      <c r="C3" s="54"/>
      <c r="D3" s="54"/>
      <c r="E3" s="58">
        <v>1000</v>
      </c>
      <c r="F3" s="59"/>
      <c r="G3" s="59"/>
      <c r="H3" s="59"/>
      <c r="I3" s="58">
        <v>3000</v>
      </c>
      <c r="J3" s="59"/>
      <c r="K3" s="59"/>
      <c r="L3" s="59"/>
      <c r="M3" s="58">
        <v>5000</v>
      </c>
      <c r="N3" s="59"/>
      <c r="O3" s="59"/>
      <c r="P3" s="60"/>
    </row>
    <row r="4" spans="1:16" ht="15.75" thickBot="1">
      <c r="A4" s="55"/>
      <c r="B4" s="55"/>
      <c r="C4" s="55"/>
      <c r="D4" s="55"/>
      <c r="E4" s="43" t="s">
        <v>4</v>
      </c>
      <c r="F4" s="3" t="s">
        <v>5</v>
      </c>
      <c r="G4" s="2" t="s">
        <v>6</v>
      </c>
      <c r="H4" s="2" t="s">
        <v>7</v>
      </c>
      <c r="I4" s="2" t="s">
        <v>4</v>
      </c>
      <c r="J4" s="2" t="s">
        <v>5</v>
      </c>
      <c r="K4" s="2" t="s">
        <v>6</v>
      </c>
      <c r="L4" s="2" t="s">
        <v>7</v>
      </c>
      <c r="M4" s="2" t="s">
        <v>4</v>
      </c>
      <c r="N4" s="2" t="s">
        <v>5</v>
      </c>
      <c r="O4" s="2" t="s">
        <v>6</v>
      </c>
      <c r="P4" s="42" t="s">
        <v>7</v>
      </c>
    </row>
    <row r="5" spans="1:16">
      <c r="A5" s="8" t="s">
        <v>11</v>
      </c>
      <c r="B5">
        <v>100</v>
      </c>
      <c r="C5">
        <v>10</v>
      </c>
      <c r="D5">
        <v>4093</v>
      </c>
      <c r="E5" s="9">
        <v>4564</v>
      </c>
      <c r="F5" s="18">
        <f>10*60+52.556</f>
        <v>652.55600000000004</v>
      </c>
      <c r="G5" s="6">
        <f>100-100*($D5/E5)</f>
        <v>10.319894829097294</v>
      </c>
      <c r="H5" s="16" t="s">
        <v>10</v>
      </c>
      <c r="I5" s="9">
        <v>4317</v>
      </c>
      <c r="J5" s="18">
        <f>3*60+13.167</f>
        <v>193.167</v>
      </c>
      <c r="K5" s="6">
        <f>100-100*($D5/I5)</f>
        <v>5.1887885105397231</v>
      </c>
      <c r="L5" s="16" t="s">
        <v>10</v>
      </c>
      <c r="M5" s="9">
        <v>4263</v>
      </c>
      <c r="N5" s="18">
        <f>5*60+30.035</f>
        <v>330.03500000000003</v>
      </c>
      <c r="O5" s="6">
        <f>100-100*($D5/M5)</f>
        <v>3.9878020173586606</v>
      </c>
      <c r="P5" s="35" t="s">
        <v>10</v>
      </c>
    </row>
    <row r="6" spans="1:16">
      <c r="A6" s="8" t="s">
        <v>12</v>
      </c>
      <c r="B6">
        <v>100</v>
      </c>
      <c r="C6">
        <v>10</v>
      </c>
      <c r="D6">
        <v>4250</v>
      </c>
      <c r="E6" s="9">
        <v>4659</v>
      </c>
      <c r="F6" s="18">
        <f>23*60+48.317</f>
        <v>1428.317</v>
      </c>
      <c r="G6" s="6">
        <f t="shared" ref="G6:G20" si="0">100-100*($D6/E6)</f>
        <v>8.7787078772268785</v>
      </c>
      <c r="H6" s="16" t="s">
        <v>10</v>
      </c>
      <c r="I6" s="9">
        <v>4425</v>
      </c>
      <c r="J6" s="18">
        <f>5*60+13.206</f>
        <v>313.20600000000002</v>
      </c>
      <c r="K6" s="6">
        <f t="shared" ref="K6:K20" si="1">100-100*($D6/I6)</f>
        <v>3.9548022598870034</v>
      </c>
      <c r="L6" s="16" t="s">
        <v>10</v>
      </c>
      <c r="M6" s="9">
        <v>4351</v>
      </c>
      <c r="N6" s="18">
        <f>6*60+16.221</f>
        <v>376.221</v>
      </c>
      <c r="O6" s="6">
        <f t="shared" ref="O6:O20" si="2">100-100*($D6/M6)</f>
        <v>2.3213054470236756</v>
      </c>
      <c r="P6" s="35" t="s">
        <v>10</v>
      </c>
    </row>
    <row r="7" spans="1:16">
      <c r="A7" s="8" t="s">
        <v>13</v>
      </c>
      <c r="B7">
        <v>100</v>
      </c>
      <c r="C7">
        <v>20</v>
      </c>
      <c r="D7">
        <v>3034</v>
      </c>
      <c r="E7" s="9">
        <v>3080</v>
      </c>
      <c r="F7" s="18">
        <f>12.364</f>
        <v>12.364000000000001</v>
      </c>
      <c r="G7" s="6">
        <f t="shared" si="0"/>
        <v>1.4935064935064872</v>
      </c>
      <c r="H7" s="16" t="s">
        <v>10</v>
      </c>
      <c r="I7" s="9">
        <v>3061</v>
      </c>
      <c r="J7" s="18">
        <v>7.5890000000000004</v>
      </c>
      <c r="K7" s="6">
        <f t="shared" si="1"/>
        <v>0.88206468474353983</v>
      </c>
      <c r="L7" s="16" t="s">
        <v>10</v>
      </c>
      <c r="M7" s="9">
        <v>3034</v>
      </c>
      <c r="N7" s="18">
        <v>12.888</v>
      </c>
      <c r="O7" s="6">
        <f t="shared" si="2"/>
        <v>0</v>
      </c>
      <c r="P7" s="35" t="s">
        <v>10</v>
      </c>
    </row>
    <row r="8" spans="1:16">
      <c r="A8" s="8" t="s">
        <v>14</v>
      </c>
      <c r="B8">
        <v>100</v>
      </c>
      <c r="C8">
        <v>33</v>
      </c>
      <c r="D8">
        <v>1355</v>
      </c>
      <c r="E8" s="9">
        <v>1374</v>
      </c>
      <c r="F8" s="18">
        <v>1.6519999999999999</v>
      </c>
      <c r="G8" s="6">
        <f t="shared" si="0"/>
        <v>1.3828238719068509</v>
      </c>
      <c r="H8" s="11" t="s">
        <v>10</v>
      </c>
      <c r="I8" s="9">
        <v>1360</v>
      </c>
      <c r="J8" s="18">
        <v>8.4429999999999996</v>
      </c>
      <c r="K8" s="6">
        <f t="shared" si="1"/>
        <v>0.36764705882352189</v>
      </c>
      <c r="L8" s="11" t="s">
        <v>10</v>
      </c>
      <c r="M8" s="21">
        <v>1360</v>
      </c>
      <c r="N8" s="44">
        <v>20.872</v>
      </c>
      <c r="O8" s="6">
        <f t="shared" si="2"/>
        <v>0.36764705882352189</v>
      </c>
      <c r="P8" s="35" t="s">
        <v>10</v>
      </c>
    </row>
    <row r="9" spans="1:16">
      <c r="A9" s="8" t="s">
        <v>17</v>
      </c>
      <c r="B9">
        <v>200</v>
      </c>
      <c r="C9">
        <v>20</v>
      </c>
      <c r="D9">
        <v>4445</v>
      </c>
      <c r="E9" s="9"/>
      <c r="F9" s="18"/>
      <c r="G9" s="6"/>
      <c r="H9" s="16"/>
      <c r="I9" s="9">
        <v>4799</v>
      </c>
      <c r="J9" s="18">
        <f>5*3600+5*60+38.027</f>
        <v>18338.026999999998</v>
      </c>
      <c r="K9" s="6">
        <f t="shared" si="1"/>
        <v>7.3765367784955203</v>
      </c>
      <c r="L9" s="11" t="s">
        <v>10</v>
      </c>
      <c r="M9" s="9">
        <v>4718</v>
      </c>
      <c r="N9" s="18">
        <f>4*3600+19*60+33.26571</f>
        <v>15573.26571</v>
      </c>
      <c r="O9" s="6">
        <f t="shared" si="2"/>
        <v>5.7863501483679585</v>
      </c>
      <c r="P9" s="35" t="s">
        <v>10</v>
      </c>
    </row>
    <row r="10" spans="1:16">
      <c r="A10" s="8" t="s">
        <v>18</v>
      </c>
      <c r="B10">
        <v>200</v>
      </c>
      <c r="C10">
        <v>40</v>
      </c>
      <c r="D10">
        <v>2734</v>
      </c>
      <c r="E10" s="9">
        <v>2770</v>
      </c>
      <c r="F10" s="18">
        <f>3*60+27.462</f>
        <v>207.46199999999999</v>
      </c>
      <c r="G10" s="6">
        <f t="shared" si="0"/>
        <v>1.2996389891696651</v>
      </c>
      <c r="H10" s="11" t="s">
        <v>10</v>
      </c>
      <c r="I10" s="9">
        <v>2752</v>
      </c>
      <c r="J10" s="18">
        <v>30.361000000000001</v>
      </c>
      <c r="K10" s="6">
        <f t="shared" si="1"/>
        <v>0.65406976744185386</v>
      </c>
      <c r="L10" s="11" t="s">
        <v>10</v>
      </c>
      <c r="M10" s="9">
        <v>2749</v>
      </c>
      <c r="N10" s="18">
        <v>56.646000000000001</v>
      </c>
      <c r="O10" s="6">
        <f t="shared" si="2"/>
        <v>0.54565296471443503</v>
      </c>
      <c r="P10" s="35" t="s">
        <v>10</v>
      </c>
    </row>
    <row r="11" spans="1:16">
      <c r="A11" s="8" t="s">
        <v>19</v>
      </c>
      <c r="B11">
        <v>200</v>
      </c>
      <c r="C11">
        <v>67</v>
      </c>
      <c r="D11">
        <v>1255</v>
      </c>
      <c r="E11" s="9">
        <v>1285</v>
      </c>
      <c r="F11" s="18">
        <v>7.0549999999999997</v>
      </c>
      <c r="G11" s="6">
        <f t="shared" si="0"/>
        <v>2.3346303501945584</v>
      </c>
      <c r="H11" s="11" t="s">
        <v>10</v>
      </c>
      <c r="I11" s="9">
        <v>1265</v>
      </c>
      <c r="J11" s="18">
        <v>33.881</v>
      </c>
      <c r="K11" s="6">
        <f t="shared" si="1"/>
        <v>0.79051383399209385</v>
      </c>
      <c r="L11" s="11" t="s">
        <v>10</v>
      </c>
      <c r="M11" s="9">
        <v>1258</v>
      </c>
      <c r="N11" s="18">
        <f>60+36.525</f>
        <v>96.525000000000006</v>
      </c>
      <c r="O11" s="6">
        <f t="shared" si="2"/>
        <v>0.2384737678855231</v>
      </c>
      <c r="P11" s="35" t="s">
        <v>10</v>
      </c>
    </row>
    <row r="12" spans="1:16">
      <c r="A12" s="8" t="s">
        <v>23</v>
      </c>
      <c r="B12">
        <v>300</v>
      </c>
      <c r="C12">
        <v>60</v>
      </c>
      <c r="D12">
        <v>2978</v>
      </c>
      <c r="E12" s="9">
        <v>3017</v>
      </c>
      <c r="F12" s="18">
        <f>8*60+49.503</f>
        <v>529.50300000000004</v>
      </c>
      <c r="G12" s="6">
        <f t="shared" si="0"/>
        <v>1.2926748425588386</v>
      </c>
      <c r="H12" s="11" t="s">
        <v>10</v>
      </c>
      <c r="I12" s="9">
        <v>2987</v>
      </c>
      <c r="J12" s="18">
        <f>3*60+50.502</f>
        <v>230.50200000000001</v>
      </c>
      <c r="K12" s="6">
        <f t="shared" si="1"/>
        <v>0.30130565785067631</v>
      </c>
      <c r="L12" s="11" t="s">
        <v>10</v>
      </c>
      <c r="M12" s="9">
        <v>2981</v>
      </c>
      <c r="N12" s="18">
        <f>6*60+34.007</f>
        <v>394.00700000000001</v>
      </c>
      <c r="O12" s="6">
        <f t="shared" si="2"/>
        <v>0.10063737001006245</v>
      </c>
      <c r="P12" s="35" t="s">
        <v>10</v>
      </c>
    </row>
    <row r="13" spans="1:16">
      <c r="A13" s="8" t="s">
        <v>24</v>
      </c>
      <c r="B13">
        <v>300</v>
      </c>
      <c r="C13">
        <v>100</v>
      </c>
      <c r="D13">
        <v>1729</v>
      </c>
      <c r="E13" s="9">
        <v>1760</v>
      </c>
      <c r="F13" s="18">
        <f>2*60+28.326</f>
        <v>148.32599999999999</v>
      </c>
      <c r="G13" s="6">
        <f t="shared" si="0"/>
        <v>1.761363636363626</v>
      </c>
      <c r="H13" s="11" t="s">
        <v>10</v>
      </c>
      <c r="I13" s="9">
        <v>1746</v>
      </c>
      <c r="J13" s="18">
        <f>17*60+18.756</f>
        <v>1038.7560000000001</v>
      </c>
      <c r="K13" s="6">
        <f t="shared" si="1"/>
        <v>0.97365406643757524</v>
      </c>
      <c r="L13" s="11" t="s">
        <v>10</v>
      </c>
      <c r="M13" s="9">
        <v>1733</v>
      </c>
      <c r="N13" s="18">
        <f>3*60+46.705</f>
        <v>226.70499999999998</v>
      </c>
      <c r="O13" s="6">
        <f t="shared" si="2"/>
        <v>0.23081361800346656</v>
      </c>
      <c r="P13" s="35" t="s">
        <v>10</v>
      </c>
    </row>
    <row r="14" spans="1:16">
      <c r="A14" s="8" t="s">
        <v>28</v>
      </c>
      <c r="B14">
        <v>400</v>
      </c>
      <c r="C14">
        <v>80</v>
      </c>
      <c r="D14">
        <v>2845</v>
      </c>
      <c r="E14" s="9">
        <v>2889</v>
      </c>
      <c r="F14" s="18">
        <f>40*60+46.153</f>
        <v>2446.1529999999998</v>
      </c>
      <c r="G14" s="6">
        <f t="shared" si="0"/>
        <v>1.5230183454482642</v>
      </c>
      <c r="H14" s="11" t="s">
        <v>10</v>
      </c>
      <c r="I14" s="9">
        <v>2866</v>
      </c>
      <c r="J14" s="12">
        <f>2*3600+1*60+31.932</f>
        <v>7291.9319999999998</v>
      </c>
      <c r="K14" s="6">
        <f t="shared" si="1"/>
        <v>0.73272854152128275</v>
      </c>
      <c r="L14" s="11" t="s">
        <v>10</v>
      </c>
      <c r="M14" s="9">
        <v>2852</v>
      </c>
      <c r="N14" s="12">
        <f>15*60+31.312</f>
        <v>931.31200000000001</v>
      </c>
      <c r="O14" s="6">
        <f t="shared" si="2"/>
        <v>0.24544179523141452</v>
      </c>
      <c r="P14" s="35" t="s">
        <v>10</v>
      </c>
    </row>
    <row r="15" spans="1:16">
      <c r="A15" s="8" t="s">
        <v>29</v>
      </c>
      <c r="B15">
        <v>400</v>
      </c>
      <c r="C15">
        <v>133</v>
      </c>
      <c r="D15">
        <v>1789</v>
      </c>
      <c r="E15" s="9">
        <v>1804</v>
      </c>
      <c r="F15" s="18">
        <v>41.965000000000003</v>
      </c>
      <c r="G15" s="6">
        <f t="shared" si="0"/>
        <v>0.8314855875831455</v>
      </c>
      <c r="H15" s="11" t="s">
        <v>10</v>
      </c>
      <c r="I15" s="9">
        <v>1792</v>
      </c>
      <c r="J15" s="12">
        <f>3*60+59.111</f>
        <v>239.11099999999999</v>
      </c>
      <c r="K15" s="6">
        <f t="shared" si="1"/>
        <v>0.1674107142857082</v>
      </c>
      <c r="L15" s="11" t="s">
        <v>10</v>
      </c>
      <c r="M15" s="9">
        <v>1792</v>
      </c>
      <c r="N15" s="12">
        <f>8*60+32.034</f>
        <v>512.03399999999999</v>
      </c>
      <c r="O15" s="6">
        <f t="shared" si="2"/>
        <v>0.1674107142857082</v>
      </c>
      <c r="P15" s="35" t="s">
        <v>10</v>
      </c>
    </row>
    <row r="16" spans="1:16">
      <c r="A16" s="8" t="s">
        <v>33</v>
      </c>
      <c r="B16">
        <v>500</v>
      </c>
      <c r="C16">
        <v>100</v>
      </c>
      <c r="D16">
        <v>2961</v>
      </c>
      <c r="E16" s="9">
        <v>3022</v>
      </c>
      <c r="F16" s="18">
        <f>1*3600+11*60+7.802</f>
        <v>4267.8019999999997</v>
      </c>
      <c r="G16" s="6">
        <f t="shared" si="0"/>
        <v>2.0185307743216327</v>
      </c>
      <c r="H16" s="11" t="s">
        <v>10</v>
      </c>
      <c r="I16" s="9">
        <v>2987</v>
      </c>
      <c r="J16" s="12">
        <f>28*60+50.209</f>
        <v>1730.2090000000001</v>
      </c>
      <c r="K16" s="6">
        <f t="shared" si="1"/>
        <v>0.87043856712421075</v>
      </c>
      <c r="L16" s="11" t="s">
        <v>10</v>
      </c>
      <c r="M16" s="9">
        <v>2979</v>
      </c>
      <c r="N16" s="12">
        <f>41*60+18.045</f>
        <v>2478.0450000000001</v>
      </c>
      <c r="O16" s="6">
        <f t="shared" si="2"/>
        <v>0.60422960725074404</v>
      </c>
      <c r="P16" s="35" t="s">
        <v>10</v>
      </c>
    </row>
    <row r="17" spans="1:16">
      <c r="A17" s="8" t="s">
        <v>34</v>
      </c>
      <c r="B17">
        <v>500</v>
      </c>
      <c r="C17">
        <v>167</v>
      </c>
      <c r="D17">
        <v>1828</v>
      </c>
      <c r="E17" s="9">
        <v>1855</v>
      </c>
      <c r="F17" s="18">
        <f>10*60+44.627</f>
        <v>644.62699999999995</v>
      </c>
      <c r="G17" s="6">
        <f t="shared" si="0"/>
        <v>1.4555256064689956</v>
      </c>
      <c r="H17" s="11" t="s">
        <v>10</v>
      </c>
      <c r="I17" s="9">
        <v>1846</v>
      </c>
      <c r="J17" s="12">
        <f>2*3600+2*60+46.01</f>
        <v>7366.01</v>
      </c>
      <c r="K17" s="6">
        <f t="shared" si="1"/>
        <v>0.97508125677138935</v>
      </c>
      <c r="L17" s="11" t="s">
        <v>10</v>
      </c>
      <c r="M17" s="9">
        <v>1838</v>
      </c>
      <c r="N17" s="12">
        <f>29*60+20.99</f>
        <v>1760.99</v>
      </c>
      <c r="O17" s="6">
        <f t="shared" si="2"/>
        <v>0.54406964091403154</v>
      </c>
      <c r="P17" s="35" t="s">
        <v>10</v>
      </c>
    </row>
    <row r="18" spans="1:16">
      <c r="A18" s="8" t="s">
        <v>38</v>
      </c>
      <c r="B18">
        <v>600</v>
      </c>
      <c r="C18">
        <v>120</v>
      </c>
      <c r="D18">
        <v>3033</v>
      </c>
      <c r="E18" s="9">
        <v>3105</v>
      </c>
      <c r="F18" s="7">
        <f>1*3600+24*60+1.985</f>
        <v>5041.9849999999997</v>
      </c>
      <c r="G18" s="6">
        <f t="shared" si="0"/>
        <v>2.318840579710141</v>
      </c>
      <c r="H18" s="11" t="s">
        <v>10</v>
      </c>
      <c r="I18" s="9">
        <v>3062</v>
      </c>
      <c r="J18" s="12">
        <f>1*3600+9*60+43.72</f>
        <v>4183.72</v>
      </c>
      <c r="K18" s="6">
        <f t="shared" si="1"/>
        <v>0.94709340300457256</v>
      </c>
      <c r="L18" s="11" t="s">
        <v>10</v>
      </c>
      <c r="M18" s="9">
        <v>4578</v>
      </c>
      <c r="N18" s="7">
        <f>1*3600+23*60+40.176</f>
        <v>5020.1760000000004</v>
      </c>
      <c r="O18" s="6">
        <f t="shared" si="2"/>
        <v>33.748361730013116</v>
      </c>
      <c r="P18" s="35" t="s">
        <v>59</v>
      </c>
    </row>
    <row r="19" spans="1:16">
      <c r="A19" s="8" t="s">
        <v>39</v>
      </c>
      <c r="B19">
        <v>600</v>
      </c>
      <c r="C19">
        <v>200</v>
      </c>
      <c r="D19">
        <v>1989</v>
      </c>
      <c r="E19" s="9">
        <v>2009</v>
      </c>
      <c r="F19" s="7">
        <f>10*60+47.751</f>
        <v>647.75099999999998</v>
      </c>
      <c r="G19" s="6">
        <f t="shared" si="0"/>
        <v>0.99552015928323101</v>
      </c>
      <c r="H19" s="11" t="s">
        <v>10</v>
      </c>
      <c r="I19" s="9">
        <v>2001</v>
      </c>
      <c r="J19" s="12">
        <f>2*3600+15*60+49.785</f>
        <v>8149.7849999999999</v>
      </c>
      <c r="K19" s="6">
        <f t="shared" si="1"/>
        <v>0.59970014992504161</v>
      </c>
      <c r="L19" s="11" t="s">
        <v>10</v>
      </c>
      <c r="M19" s="9">
        <v>3636</v>
      </c>
      <c r="N19" s="7">
        <f>25*60+29.206</f>
        <v>1529.2059999999999</v>
      </c>
      <c r="O19" s="6">
        <f t="shared" si="2"/>
        <v>45.297029702970292</v>
      </c>
      <c r="P19" s="35" t="s">
        <v>59</v>
      </c>
    </row>
    <row r="20" spans="1:16" ht="15.75" thickBot="1">
      <c r="A20" s="8" t="s">
        <v>43</v>
      </c>
      <c r="B20">
        <v>700</v>
      </c>
      <c r="C20">
        <v>140</v>
      </c>
      <c r="D20">
        <v>3013</v>
      </c>
      <c r="E20" s="9">
        <v>3083</v>
      </c>
      <c r="F20" s="18">
        <f>3600+8*60+34.55</f>
        <v>4114.55</v>
      </c>
      <c r="G20" s="6">
        <f t="shared" si="0"/>
        <v>2.2705157314304216</v>
      </c>
      <c r="H20" s="11" t="s">
        <v>10</v>
      </c>
      <c r="I20" s="9">
        <v>3047</v>
      </c>
      <c r="J20" s="12">
        <f>4*3600+17*60+10.143</f>
        <v>15430.143</v>
      </c>
      <c r="K20" s="6">
        <f t="shared" si="1"/>
        <v>1.1158516573679123</v>
      </c>
      <c r="L20" s="11" t="s">
        <v>10</v>
      </c>
      <c r="M20" s="9">
        <v>4548</v>
      </c>
      <c r="N20" s="18">
        <f>2*3600+33*60+42.72</f>
        <v>9222.7199999999993</v>
      </c>
      <c r="O20" s="6">
        <f t="shared" si="2"/>
        <v>33.751099384344769</v>
      </c>
      <c r="P20" s="35" t="s">
        <v>59</v>
      </c>
    </row>
    <row r="21" spans="1:16" ht="15.75" thickTop="1">
      <c r="A21" s="14"/>
      <c r="B21" s="14"/>
      <c r="C21" s="14"/>
      <c r="D21" s="14"/>
      <c r="E21" s="14"/>
      <c r="F21" s="15" t="s">
        <v>50</v>
      </c>
      <c r="G21" s="14" t="s">
        <v>50</v>
      </c>
      <c r="H21" s="14" t="s">
        <v>51</v>
      </c>
      <c r="I21" s="14"/>
      <c r="J21" s="15" t="s">
        <v>50</v>
      </c>
      <c r="K21" s="14" t="s">
        <v>50</v>
      </c>
      <c r="L21" s="14" t="s">
        <v>51</v>
      </c>
      <c r="M21" s="14"/>
      <c r="N21" s="15" t="s">
        <v>50</v>
      </c>
      <c r="O21" s="14" t="s">
        <v>50</v>
      </c>
      <c r="P21" s="37" t="s">
        <v>51</v>
      </c>
    </row>
    <row r="22" spans="1:16">
      <c r="A22" s="16" t="s">
        <v>52</v>
      </c>
      <c r="B22" s="16"/>
      <c r="C22" s="16"/>
      <c r="D22" s="16"/>
      <c r="E22" s="16"/>
      <c r="F22" s="17">
        <f>AVERAGEIF(H5:H20,"=Si",F5:F20)</f>
        <v>1346.1378666666667</v>
      </c>
      <c r="G22" s="18">
        <f>AVERAGEIF(H5:H20,"=Si",G5:G20)</f>
        <v>2.671778511618002</v>
      </c>
      <c r="H22" s="16">
        <f>COUNTIF(H5:H20,"Si")</f>
        <v>15</v>
      </c>
      <c r="I22" s="16"/>
      <c r="J22" s="17">
        <f>AVERAGEIF(L5:L20,"=Si",J5:J20)</f>
        <v>4036.5526250000003</v>
      </c>
      <c r="K22" s="18">
        <f>AVERAGEIF(L5:L20,"=Si",K5:K20)</f>
        <v>1.6186054317632266</v>
      </c>
      <c r="L22" s="16">
        <f>COUNTIF(L5:L20,"Si")</f>
        <v>16</v>
      </c>
      <c r="M22" s="16"/>
      <c r="N22" s="17">
        <f>AVERAGEIF(P5:P20,"=Si",N5:N20)</f>
        <v>1751.5035161538469</v>
      </c>
      <c r="O22" s="18">
        <f>AVERAGEIF(P5:P20,"=Si",O5:O20)</f>
        <v>1.1646026269130156</v>
      </c>
      <c r="P22" s="8">
        <f>COUNTIF(P5:P20,"Si")</f>
        <v>13</v>
      </c>
    </row>
    <row r="23" spans="1:16">
      <c r="A23" s="11" t="s">
        <v>60</v>
      </c>
      <c r="B23" s="16"/>
      <c r="C23" s="16"/>
      <c r="D23" s="16"/>
      <c r="E23" s="16"/>
      <c r="F23" s="17">
        <f>IF(H23&gt;0,AVERAGEIF(H5:H20,"=Error",F5:F20),0)</f>
        <v>0</v>
      </c>
      <c r="G23" s="18">
        <f>IF(H23&gt;0,AVERAGEIF(H5:H20,"=Error",G5:G20),0)</f>
        <v>0</v>
      </c>
      <c r="H23" s="16">
        <f>COUNTIF(H5:H20,"Error")</f>
        <v>0</v>
      </c>
      <c r="I23" s="16"/>
      <c r="J23" s="17">
        <f>IF(L23&gt;0,AVERAGEIF(L5:L20,"=Error",J5:J20),0)</f>
        <v>0</v>
      </c>
      <c r="K23" s="18">
        <f>IF(L23&gt;0,AVERAGEIF(L5:L20,"=Error",K5:K20),0)</f>
        <v>0</v>
      </c>
      <c r="L23" s="16">
        <f>COUNTIF(L5:L21,"Error")</f>
        <v>0</v>
      </c>
      <c r="M23" s="16"/>
      <c r="N23" s="17">
        <f>IF(P23&gt;0,AVERAGEIF(P5:P20,"=Error",N5:N20),0)</f>
        <v>5257.3673333333327</v>
      </c>
      <c r="O23" s="18">
        <f>IF(P23&gt;0,AVERAGEIF(P5:P20,"=Error",O5:O20),0)</f>
        <v>37.598830272442726</v>
      </c>
      <c r="P23" s="8">
        <f>COUNTIF(P5:P20,"Error")</f>
        <v>3</v>
      </c>
    </row>
    <row r="24" spans="1:16">
      <c r="A24" s="25" t="s">
        <v>54</v>
      </c>
      <c r="B24" s="24"/>
      <c r="C24" s="24"/>
      <c r="D24" s="24"/>
      <c r="E24" s="24"/>
      <c r="F24" s="39">
        <f>AVERAGE(F5:F20)</f>
        <v>1346.1378666666667</v>
      </c>
      <c r="G24" s="40">
        <f>(G22*H22+G23*H23)/H24</f>
        <v>2.671778511618002</v>
      </c>
      <c r="H24" s="24">
        <f>H22+H23</f>
        <v>15</v>
      </c>
      <c r="I24" s="24"/>
      <c r="J24" s="39">
        <f>AVERAGE(J5:J20)</f>
        <v>4036.5526250000003</v>
      </c>
      <c r="K24" s="40">
        <f>(K22*L22+K23*L23)/L24</f>
        <v>1.6186054317632266</v>
      </c>
      <c r="L24" s="24">
        <f>L22+L23</f>
        <v>16</v>
      </c>
      <c r="M24" s="24"/>
      <c r="N24" s="39">
        <f>AVERAGE(N5:N20)</f>
        <v>2408.8529818750003</v>
      </c>
      <c r="O24" s="40">
        <f>(O22*P22+O23*P23)/P24</f>
        <v>7.9960203104498362</v>
      </c>
      <c r="P24" s="41">
        <f>P22+P23</f>
        <v>16</v>
      </c>
    </row>
    <row r="25" spans="1:16">
      <c r="A25" s="16"/>
      <c r="B25" s="16"/>
      <c r="C25" s="16"/>
      <c r="D25" s="16"/>
      <c r="E25" s="16"/>
      <c r="F25" s="18"/>
      <c r="G25" s="18"/>
      <c r="H25" s="16" t="s">
        <v>55</v>
      </c>
      <c r="I25" s="16"/>
      <c r="J25" s="16"/>
      <c r="K25" s="18"/>
      <c r="L25" s="16" t="s">
        <v>55</v>
      </c>
      <c r="M25" s="16"/>
      <c r="N25" s="16"/>
      <c r="O25" s="18"/>
      <c r="P25" s="8" t="s">
        <v>55</v>
      </c>
    </row>
    <row r="26" spans="1:16">
      <c r="A26" s="36" t="s">
        <v>56</v>
      </c>
      <c r="B26" s="16"/>
      <c r="C26" s="16"/>
      <c r="D26" s="16"/>
      <c r="E26" s="16"/>
      <c r="F26" s="18"/>
      <c r="G26" s="18">
        <f>MIN(H26:H65)</f>
        <v>0.8314855875831455</v>
      </c>
      <c r="H26" s="16"/>
      <c r="I26" s="16"/>
      <c r="J26" s="16"/>
      <c r="K26" s="18">
        <f>MIN(L26:L65)</f>
        <v>0.1674107142857082</v>
      </c>
      <c r="L26" s="16"/>
      <c r="M26" s="16"/>
      <c r="N26" s="16"/>
      <c r="O26" s="18">
        <f>MIN(P26:P65)</f>
        <v>0</v>
      </c>
      <c r="P26" s="8"/>
    </row>
    <row r="27" spans="1:16">
      <c r="A27" s="11" t="s">
        <v>57</v>
      </c>
      <c r="B27" s="16"/>
      <c r="C27" s="16"/>
      <c r="D27" s="16"/>
      <c r="E27" s="16"/>
      <c r="F27" s="18"/>
      <c r="G27" s="18">
        <f>MAX(H26:H65)</f>
        <v>10.319894829097294</v>
      </c>
      <c r="H27" s="16">
        <f>IF(H5="Si",G5,"")</f>
        <v>10.319894829097294</v>
      </c>
      <c r="I27" s="16"/>
      <c r="J27" s="16"/>
      <c r="K27" s="18">
        <f>MAX(L26:L65)</f>
        <v>7.3765367784955203</v>
      </c>
      <c r="L27" s="16">
        <f>IF(L5="Si",K5,"")</f>
        <v>5.1887885105397231</v>
      </c>
      <c r="M27" s="16"/>
      <c r="N27" s="16"/>
      <c r="O27" s="18">
        <f>MAX(P26:P65)</f>
        <v>5.7863501483679585</v>
      </c>
      <c r="P27" s="8">
        <f>IF(P5="Si",O5,"")</f>
        <v>3.9878020173586606</v>
      </c>
    </row>
    <row r="28" spans="1:16">
      <c r="A28" s="11" t="s">
        <v>70</v>
      </c>
      <c r="B28" s="16"/>
      <c r="C28" s="16"/>
      <c r="D28" s="16"/>
      <c r="E28" s="16"/>
      <c r="F28" s="18"/>
      <c r="G28" s="18">
        <f>MAX(G5:G20)</f>
        <v>10.319894829097294</v>
      </c>
      <c r="H28" s="16">
        <f>IF(H6="Si",G6,"")</f>
        <v>8.7787078772268785</v>
      </c>
      <c r="I28" s="16"/>
      <c r="J28" s="16"/>
      <c r="K28" s="18">
        <f>MAX(K5:K20)</f>
        <v>7.3765367784955203</v>
      </c>
      <c r="L28" s="16">
        <f>IF(L6="Si",K6,"")</f>
        <v>3.9548022598870034</v>
      </c>
      <c r="M28" s="16"/>
      <c r="N28" s="16"/>
      <c r="O28" s="18">
        <f>MAX(O5:O20)</f>
        <v>45.297029702970292</v>
      </c>
      <c r="P28" s="8">
        <f>IF(P6="Si",O6,"")</f>
        <v>2.3213054470236756</v>
      </c>
    </row>
    <row r="29" spans="1:16">
      <c r="A29" s="11"/>
      <c r="B29" s="16"/>
      <c r="C29" s="16"/>
      <c r="D29" s="16"/>
      <c r="E29" s="16"/>
      <c r="F29" s="18"/>
      <c r="G29" s="18"/>
      <c r="H29" s="16">
        <f>IF(H7="Si",G7,"")</f>
        <v>1.4935064935064872</v>
      </c>
      <c r="I29" s="16"/>
      <c r="J29" s="16"/>
      <c r="K29" s="18"/>
      <c r="L29" s="16">
        <f>IF(L7="Si",K7,"")</f>
        <v>0.88206468474353983</v>
      </c>
      <c r="M29" s="16"/>
      <c r="N29" s="16"/>
      <c r="O29" s="18"/>
      <c r="P29" s="8">
        <f>IF(P7="Si",O7,"")</f>
        <v>0</v>
      </c>
    </row>
    <row r="30" spans="1:16">
      <c r="A30" s="16"/>
      <c r="B30" s="16"/>
      <c r="C30" s="16"/>
      <c r="D30" s="16"/>
      <c r="E30" s="16"/>
      <c r="F30" s="18"/>
      <c r="G30" s="18"/>
      <c r="H30" s="16">
        <f>IF(H8="Si",G8,"")</f>
        <v>1.3828238719068509</v>
      </c>
      <c r="I30" s="16"/>
      <c r="J30" s="16"/>
      <c r="K30" s="18"/>
      <c r="L30" s="16">
        <f>IF(L8="Si",K8,"")</f>
        <v>0.36764705882352189</v>
      </c>
      <c r="M30" s="16"/>
      <c r="N30" s="16"/>
      <c r="O30" s="18"/>
      <c r="P30" s="8">
        <f>IF(P8="Si",O8,"")</f>
        <v>0.36764705882352189</v>
      </c>
    </row>
    <row r="31" spans="1:16">
      <c r="A31" s="16"/>
      <c r="B31" s="16"/>
      <c r="C31" s="16"/>
      <c r="D31" s="16"/>
      <c r="E31" s="16"/>
      <c r="F31" s="18"/>
      <c r="G31" s="18"/>
      <c r="H31" s="16"/>
      <c r="I31" s="16"/>
      <c r="J31" s="16"/>
      <c r="K31" s="18"/>
      <c r="L31" s="16"/>
      <c r="M31" s="16"/>
      <c r="N31" s="16"/>
      <c r="O31" s="18"/>
      <c r="P31" s="8"/>
    </row>
    <row r="32" spans="1:16">
      <c r="A32" s="16"/>
      <c r="B32" s="16"/>
      <c r="C32" s="16"/>
      <c r="D32" s="16"/>
      <c r="E32" s="16"/>
      <c r="F32" s="18"/>
      <c r="G32" s="18"/>
      <c r="H32" s="16"/>
      <c r="I32" s="16"/>
      <c r="J32" s="16"/>
      <c r="K32" s="18"/>
      <c r="L32" s="16"/>
      <c r="M32" s="16"/>
      <c r="N32" s="16"/>
      <c r="O32" s="18"/>
      <c r="P32" s="8"/>
    </row>
    <row r="33" spans="1:16">
      <c r="A33" s="16"/>
      <c r="B33" s="16"/>
      <c r="C33" s="16"/>
      <c r="D33" s="16"/>
      <c r="E33" s="16"/>
      <c r="F33" s="18"/>
      <c r="G33" s="18"/>
      <c r="H33" s="16" t="str">
        <f>IF(H9="Si",G9,"")</f>
        <v/>
      </c>
      <c r="I33" s="16"/>
      <c r="J33" s="16"/>
      <c r="K33" s="18"/>
      <c r="L33" s="16">
        <f>IF(L9="Si",K9,"")</f>
        <v>7.3765367784955203</v>
      </c>
      <c r="M33" s="16"/>
      <c r="N33" s="16"/>
      <c r="O33" s="18"/>
      <c r="P33" s="8">
        <f>IF(P9="Si",O9,"")</f>
        <v>5.7863501483679585</v>
      </c>
    </row>
    <row r="34" spans="1:16">
      <c r="A34" s="16"/>
      <c r="B34" s="16"/>
      <c r="C34" s="16"/>
      <c r="D34" s="16"/>
      <c r="E34" s="16"/>
      <c r="F34" s="18"/>
      <c r="G34" s="18"/>
      <c r="H34" s="16">
        <f>IF(H10="Si",G10,"")</f>
        <v>1.2996389891696651</v>
      </c>
      <c r="I34" s="16"/>
      <c r="J34" s="16"/>
      <c r="K34" s="18"/>
      <c r="L34" s="16">
        <f>IF(L10="Si",K10,"")</f>
        <v>0.65406976744185386</v>
      </c>
      <c r="M34" s="16"/>
      <c r="N34" s="16"/>
      <c r="O34" s="18"/>
      <c r="P34" s="8">
        <f>IF(P10="Si",O10,"")</f>
        <v>0.54565296471443503</v>
      </c>
    </row>
    <row r="35" spans="1:16">
      <c r="A35" s="16"/>
      <c r="B35" s="16"/>
      <c r="C35" s="16"/>
      <c r="D35" s="16"/>
      <c r="E35" s="16"/>
      <c r="F35" s="18"/>
      <c r="G35" s="18"/>
      <c r="H35" s="16">
        <f>IF(H11="Si",G11,"")</f>
        <v>2.3346303501945584</v>
      </c>
      <c r="I35" s="16"/>
      <c r="J35" s="16"/>
      <c r="K35" s="18"/>
      <c r="L35" s="16">
        <f>IF(L11="Si",K11,"")</f>
        <v>0.79051383399209385</v>
      </c>
      <c r="M35" s="16"/>
      <c r="N35" s="16"/>
      <c r="O35" s="18"/>
      <c r="P35" s="8">
        <f>IF(P11="Si",O11,"")</f>
        <v>0.2384737678855231</v>
      </c>
    </row>
    <row r="36" spans="1:16">
      <c r="A36" s="16"/>
      <c r="B36" s="16"/>
      <c r="C36" s="16"/>
      <c r="D36" s="16"/>
      <c r="E36" s="16"/>
      <c r="F36" s="18"/>
      <c r="G36" s="18"/>
      <c r="H36" s="16"/>
      <c r="I36" s="16"/>
      <c r="J36" s="16"/>
      <c r="K36" s="18"/>
      <c r="L36" s="16"/>
      <c r="M36" s="16"/>
      <c r="N36" s="16"/>
      <c r="O36" s="18"/>
      <c r="P36" s="8"/>
    </row>
    <row r="37" spans="1:16">
      <c r="A37" s="16"/>
      <c r="B37" s="16"/>
      <c r="C37" s="16"/>
      <c r="D37" s="16"/>
      <c r="E37" s="16"/>
      <c r="F37" s="18"/>
      <c r="G37" s="18"/>
      <c r="H37" s="16"/>
      <c r="I37" s="16"/>
      <c r="J37" s="16"/>
      <c r="K37" s="18"/>
      <c r="L37" s="16"/>
      <c r="M37" s="16"/>
      <c r="N37" s="16"/>
      <c r="O37" s="18"/>
      <c r="P37" s="8"/>
    </row>
    <row r="38" spans="1:16">
      <c r="A38" s="16"/>
      <c r="B38" s="16"/>
      <c r="C38" s="16"/>
      <c r="D38" s="16"/>
      <c r="E38" s="16"/>
      <c r="F38" s="18"/>
      <c r="G38" s="18"/>
      <c r="H38" s="16"/>
      <c r="I38" s="16"/>
      <c r="J38" s="16"/>
      <c r="K38" s="18"/>
      <c r="L38" s="16"/>
      <c r="M38" s="16"/>
      <c r="N38" s="16"/>
      <c r="O38" s="18"/>
      <c r="P38" s="8"/>
    </row>
    <row r="39" spans="1:16">
      <c r="A39" s="16"/>
      <c r="B39" s="16"/>
      <c r="C39" s="16"/>
      <c r="D39" s="16"/>
      <c r="E39" s="16"/>
      <c r="F39" s="18"/>
      <c r="G39" s="18"/>
      <c r="H39" s="16">
        <f>IF(H12="Si",G12,"")</f>
        <v>1.2926748425588386</v>
      </c>
      <c r="I39" s="16"/>
      <c r="J39" s="16"/>
      <c r="K39" s="18"/>
      <c r="L39" s="16">
        <f>IF(L12="Si",K12,"")</f>
        <v>0.30130565785067631</v>
      </c>
      <c r="M39" s="16"/>
      <c r="N39" s="16"/>
      <c r="O39" s="18"/>
      <c r="P39" s="8">
        <f>IF(P12="Si",O12,"")</f>
        <v>0.10063737001006245</v>
      </c>
    </row>
    <row r="40" spans="1:16">
      <c r="A40" s="16"/>
      <c r="B40" s="16"/>
      <c r="C40" s="16"/>
      <c r="D40" s="16"/>
      <c r="E40" s="16"/>
      <c r="F40" s="18"/>
      <c r="G40" s="18"/>
      <c r="H40" s="16">
        <f>IF(H13="Si",G13,"")</f>
        <v>1.761363636363626</v>
      </c>
      <c r="I40" s="16"/>
      <c r="J40" s="16"/>
      <c r="K40" s="18"/>
      <c r="L40" s="16">
        <f>IF(L13="Si",K13,"")</f>
        <v>0.97365406643757524</v>
      </c>
      <c r="M40" s="16"/>
      <c r="N40" s="16"/>
      <c r="O40" s="18"/>
      <c r="P40" s="8">
        <f>IF(P13="Si",O13,"")</f>
        <v>0.23081361800346656</v>
      </c>
    </row>
    <row r="41" spans="1:16">
      <c r="A41" s="16"/>
      <c r="B41" s="16"/>
      <c r="C41" s="16"/>
      <c r="D41" s="16"/>
      <c r="E41" s="16"/>
      <c r="F41" s="18"/>
      <c r="G41" s="18"/>
      <c r="H41" s="16"/>
      <c r="I41" s="16"/>
      <c r="J41" s="16"/>
      <c r="K41" s="18"/>
      <c r="L41" s="16"/>
      <c r="M41" s="16"/>
      <c r="N41" s="16"/>
      <c r="O41" s="18"/>
      <c r="P41" s="8"/>
    </row>
    <row r="42" spans="1:16">
      <c r="A42" s="16"/>
      <c r="B42" s="16"/>
      <c r="C42" s="16"/>
      <c r="D42" s="16"/>
      <c r="E42" s="16"/>
      <c r="F42" s="18"/>
      <c r="G42" s="18"/>
      <c r="H42" s="16"/>
      <c r="I42" s="16"/>
      <c r="J42" s="16"/>
      <c r="K42" s="18"/>
      <c r="L42" s="16"/>
      <c r="M42" s="16"/>
      <c r="N42" s="16"/>
      <c r="O42" s="18"/>
      <c r="P42" s="8"/>
    </row>
    <row r="43" spans="1:16">
      <c r="A43" s="16"/>
      <c r="B43" s="16"/>
      <c r="C43" s="16"/>
      <c r="D43" s="16"/>
      <c r="E43" s="16"/>
      <c r="F43" s="18"/>
      <c r="G43" s="18"/>
      <c r="H43" s="16"/>
      <c r="I43" s="16"/>
      <c r="J43" s="16"/>
      <c r="K43" s="18"/>
      <c r="L43" s="16"/>
      <c r="M43" s="16"/>
      <c r="N43" s="16"/>
      <c r="O43" s="18"/>
      <c r="P43" s="8"/>
    </row>
    <row r="44" spans="1:16">
      <c r="A44" s="16"/>
      <c r="B44" s="16"/>
      <c r="C44" s="16"/>
      <c r="D44" s="16"/>
      <c r="E44" s="16"/>
      <c r="F44" s="18"/>
      <c r="G44" s="18"/>
      <c r="H44" s="16">
        <f>IF(H14="Si",G14,"")</f>
        <v>1.5230183454482642</v>
      </c>
      <c r="I44" s="16"/>
      <c r="J44" s="16"/>
      <c r="K44" s="18"/>
      <c r="L44" s="16">
        <f>IF(L14="Si",K14,"")</f>
        <v>0.73272854152128275</v>
      </c>
      <c r="M44" s="16"/>
      <c r="N44" s="16"/>
      <c r="O44" s="18"/>
      <c r="P44" s="8">
        <f>IF(P14="Si",O14,"")</f>
        <v>0.24544179523141452</v>
      </c>
    </row>
    <row r="45" spans="1:16">
      <c r="A45" s="16"/>
      <c r="B45" s="16"/>
      <c r="C45" s="16"/>
      <c r="D45" s="16"/>
      <c r="E45" s="16"/>
      <c r="F45" s="18"/>
      <c r="G45" s="18"/>
      <c r="H45" s="16">
        <f>IF(H15="Si",G15,"")</f>
        <v>0.8314855875831455</v>
      </c>
      <c r="I45" s="16"/>
      <c r="J45" s="16"/>
      <c r="K45" s="18"/>
      <c r="L45" s="16">
        <f>IF(L15="Si",K15,"")</f>
        <v>0.1674107142857082</v>
      </c>
      <c r="M45" s="16"/>
      <c r="N45" s="16"/>
      <c r="O45" s="18"/>
      <c r="P45" s="8">
        <f>IF(P15="Si",O15,"")</f>
        <v>0.1674107142857082</v>
      </c>
    </row>
    <row r="46" spans="1:16">
      <c r="A46" s="16"/>
      <c r="B46" s="16"/>
      <c r="C46" s="16"/>
      <c r="D46" s="16"/>
      <c r="E46" s="16"/>
      <c r="F46" s="18"/>
      <c r="G46" s="18"/>
      <c r="H46" s="16"/>
      <c r="I46" s="16"/>
      <c r="J46" s="16"/>
      <c r="K46" s="18"/>
      <c r="L46" s="16"/>
      <c r="M46" s="16"/>
      <c r="N46" s="16"/>
      <c r="O46" s="18"/>
      <c r="P46" s="8"/>
    </row>
    <row r="47" spans="1:16">
      <c r="A47" s="16"/>
      <c r="B47" s="16"/>
      <c r="C47" s="16"/>
      <c r="D47" s="16"/>
      <c r="E47" s="16"/>
      <c r="F47" s="18"/>
      <c r="G47" s="18"/>
      <c r="H47" s="16"/>
      <c r="I47" s="16"/>
      <c r="J47" s="16"/>
      <c r="K47" s="18"/>
      <c r="L47" s="16"/>
      <c r="M47" s="16"/>
      <c r="N47" s="16"/>
      <c r="O47" s="18"/>
      <c r="P47" s="8"/>
    </row>
    <row r="48" spans="1:16">
      <c r="A48" s="16"/>
      <c r="B48" s="16"/>
      <c r="C48" s="16"/>
      <c r="D48" s="16"/>
      <c r="E48" s="16"/>
      <c r="F48" s="18"/>
      <c r="G48" s="18"/>
      <c r="H48" s="16"/>
      <c r="I48" s="16"/>
      <c r="J48" s="16"/>
      <c r="K48" s="18"/>
      <c r="L48" s="16"/>
      <c r="M48" s="16"/>
      <c r="N48" s="16"/>
      <c r="O48" s="18"/>
      <c r="P48" s="8"/>
    </row>
    <row r="49" spans="1:16">
      <c r="A49" s="16"/>
      <c r="B49" s="16"/>
      <c r="C49" s="16"/>
      <c r="D49" s="16"/>
      <c r="E49" s="16"/>
      <c r="F49" s="18"/>
      <c r="G49" s="18"/>
      <c r="H49" s="16">
        <f>IF(H16="Si",G16,"")</f>
        <v>2.0185307743216327</v>
      </c>
      <c r="I49" s="16"/>
      <c r="J49" s="16"/>
      <c r="K49" s="18"/>
      <c r="L49" s="16">
        <f>IF(L16="Si",K16,"")</f>
        <v>0.87043856712421075</v>
      </c>
      <c r="M49" s="16"/>
      <c r="N49" s="16"/>
      <c r="O49" s="18"/>
      <c r="P49" s="8">
        <f>IF(P16="Si",O16,"")</f>
        <v>0.60422960725074404</v>
      </c>
    </row>
    <row r="50" spans="1:16">
      <c r="A50" s="16"/>
      <c r="B50" s="16"/>
      <c r="C50" s="16"/>
      <c r="D50" s="16"/>
      <c r="E50" s="16"/>
      <c r="F50" s="18"/>
      <c r="G50" s="18"/>
      <c r="H50" s="16">
        <f>IF(H17="Si",G17,"")</f>
        <v>1.4555256064689956</v>
      </c>
      <c r="I50" s="16"/>
      <c r="J50" s="16"/>
      <c r="K50" s="18"/>
      <c r="L50" s="16">
        <f>IF(L17="Si",K17,"")</f>
        <v>0.97508125677138935</v>
      </c>
      <c r="M50" s="16"/>
      <c r="N50" s="16"/>
      <c r="O50" s="18"/>
      <c r="P50" s="8">
        <f>IF(P17="Si",O17,"")</f>
        <v>0.54406964091403154</v>
      </c>
    </row>
    <row r="51" spans="1:16">
      <c r="A51" s="16"/>
      <c r="B51" s="16"/>
      <c r="C51" s="16"/>
      <c r="D51" s="16"/>
      <c r="E51" s="16"/>
      <c r="F51" s="18"/>
      <c r="G51" s="18"/>
      <c r="H51" s="16"/>
      <c r="I51" s="16"/>
      <c r="J51" s="16"/>
      <c r="K51" s="18"/>
      <c r="L51" s="16"/>
      <c r="M51" s="16"/>
      <c r="N51" s="16"/>
      <c r="O51" s="18"/>
      <c r="P51" s="8"/>
    </row>
    <row r="52" spans="1:16">
      <c r="A52" s="16"/>
      <c r="B52" s="16"/>
      <c r="C52" s="16"/>
      <c r="D52" s="16"/>
      <c r="E52" s="16"/>
      <c r="F52" s="18"/>
      <c r="G52" s="18"/>
      <c r="H52" s="16"/>
      <c r="I52" s="16"/>
      <c r="J52" s="16"/>
      <c r="K52" s="18"/>
      <c r="L52" s="16"/>
      <c r="M52" s="16"/>
      <c r="N52" s="16"/>
      <c r="O52" s="18"/>
      <c r="P52" s="8"/>
    </row>
    <row r="53" spans="1:16">
      <c r="A53" s="16"/>
      <c r="B53" s="16"/>
      <c r="C53" s="16"/>
      <c r="D53" s="16"/>
      <c r="E53" s="16"/>
      <c r="F53" s="18"/>
      <c r="G53" s="18"/>
      <c r="H53" s="16"/>
      <c r="I53" s="16"/>
      <c r="J53" s="16"/>
      <c r="K53" s="18"/>
      <c r="L53" s="16"/>
      <c r="M53" s="16"/>
      <c r="N53" s="16"/>
      <c r="O53" s="18"/>
      <c r="P53" s="8"/>
    </row>
    <row r="54" spans="1:16">
      <c r="A54" s="16"/>
      <c r="B54" s="16"/>
      <c r="C54" s="16"/>
      <c r="D54" s="16"/>
      <c r="E54" s="16"/>
      <c r="F54" s="18"/>
      <c r="G54" s="18"/>
      <c r="H54" s="16"/>
      <c r="I54" s="16"/>
      <c r="J54" s="16"/>
      <c r="K54" s="18"/>
      <c r="L54" s="16"/>
      <c r="M54" s="16"/>
      <c r="N54" s="16"/>
      <c r="O54" s="18"/>
      <c r="P54" s="8"/>
    </row>
    <row r="55" spans="1:16">
      <c r="A55" s="16"/>
      <c r="B55" s="16"/>
      <c r="C55" s="16"/>
      <c r="D55" s="16"/>
      <c r="E55" s="16"/>
      <c r="F55" s="18"/>
      <c r="G55" s="18"/>
      <c r="H55" s="16"/>
      <c r="I55" s="16"/>
      <c r="J55" s="16"/>
      <c r="K55" s="18"/>
      <c r="L55" s="16"/>
      <c r="M55" s="16"/>
      <c r="N55" s="16"/>
      <c r="O55" s="18"/>
      <c r="P55" s="8"/>
    </row>
    <row r="56" spans="1:16">
      <c r="A56" s="16"/>
      <c r="B56" s="16"/>
      <c r="C56" s="16"/>
      <c r="D56" s="16"/>
      <c r="E56" s="16"/>
      <c r="F56" s="18"/>
      <c r="G56" s="18"/>
      <c r="H56" s="16"/>
      <c r="I56" s="16"/>
      <c r="J56" s="16"/>
      <c r="K56" s="18"/>
      <c r="L56" s="16"/>
      <c r="M56" s="16"/>
      <c r="N56" s="16"/>
      <c r="O56" s="18"/>
      <c r="P56" s="8"/>
    </row>
    <row r="57" spans="1:16">
      <c r="A57" s="16"/>
      <c r="B57" s="16"/>
      <c r="C57" s="16"/>
      <c r="D57" s="16"/>
      <c r="E57" s="16"/>
      <c r="F57" s="18"/>
      <c r="G57" s="18"/>
      <c r="H57" s="16"/>
      <c r="I57" s="16"/>
      <c r="J57" s="16"/>
      <c r="K57" s="18"/>
      <c r="L57" s="16"/>
      <c r="M57" s="16"/>
      <c r="N57" s="16"/>
      <c r="O57" s="18"/>
      <c r="P57" s="8"/>
    </row>
    <row r="58" spans="1:16">
      <c r="A58" s="16"/>
      <c r="B58" s="16"/>
      <c r="C58" s="16"/>
      <c r="D58" s="16"/>
      <c r="E58" s="16"/>
      <c r="F58" s="18"/>
      <c r="G58" s="18"/>
      <c r="H58" s="16"/>
      <c r="I58" s="16"/>
      <c r="J58" s="16"/>
      <c r="K58" s="18"/>
      <c r="L58" s="16"/>
      <c r="M58" s="16"/>
      <c r="N58" s="16"/>
      <c r="O58" s="18"/>
      <c r="P58" s="8"/>
    </row>
    <row r="59" spans="1:16">
      <c r="A59" s="20"/>
      <c r="B59" s="20"/>
      <c r="C59" s="20"/>
      <c r="D59" s="20"/>
      <c r="E59" s="20"/>
      <c r="F59" s="19"/>
      <c r="G59" s="19"/>
      <c r="H59" s="20">
        <f t="shared" ref="H59" si="3">IF(H20="Si",G20,"")</f>
        <v>2.2705157314304216</v>
      </c>
      <c r="I59" s="20"/>
      <c r="J59" s="20"/>
      <c r="K59" s="19"/>
      <c r="L59" s="20">
        <f t="shared" ref="L59" si="4">IF(L20="Si",K20,"")</f>
        <v>1.1158516573679123</v>
      </c>
      <c r="M59" s="20"/>
      <c r="N59" s="20"/>
      <c r="O59" s="19"/>
      <c r="P59" s="38" t="str">
        <f t="shared" ref="P59" si="5">IF(P20="Si",O20,"")</f>
        <v/>
      </c>
    </row>
  </sheetData>
  <mergeCells count="8">
    <mergeCell ref="A2:A4"/>
    <mergeCell ref="B2:B4"/>
    <mergeCell ref="C2:C4"/>
    <mergeCell ref="D2:D4"/>
    <mergeCell ref="E2:P2"/>
    <mergeCell ref="E3:H3"/>
    <mergeCell ref="I3:L3"/>
    <mergeCell ref="M3:P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3"/>
  <sheetViews>
    <sheetView workbookViewId="0">
      <selection activeCell="D30" sqref="D30"/>
    </sheetView>
  </sheetViews>
  <sheetFormatPr defaultRowHeight="15"/>
  <sheetData>
    <row r="1" spans="1:4" ht="15.75" thickBot="1"/>
    <row r="2" spans="1:4" ht="45.75" thickTop="1">
      <c r="A2" s="26" t="s">
        <v>61</v>
      </c>
      <c r="B2" s="61" t="s">
        <v>50</v>
      </c>
      <c r="C2" s="61" t="s">
        <v>62</v>
      </c>
      <c r="D2" s="61" t="s">
        <v>63</v>
      </c>
    </row>
    <row r="3" spans="1:4" ht="15.75" thickBot="1">
      <c r="A3" s="27" t="s">
        <v>64</v>
      </c>
      <c r="B3" s="62"/>
      <c r="C3" s="62"/>
      <c r="D3" s="62"/>
    </row>
    <row r="4" spans="1:4" ht="15.75" thickTop="1">
      <c r="A4" s="28">
        <v>1000</v>
      </c>
      <c r="B4" s="34">
        <v>2.67</v>
      </c>
      <c r="C4" s="33">
        <v>0.83</v>
      </c>
      <c r="D4" s="29">
        <v>10.32</v>
      </c>
    </row>
    <row r="5" spans="1:4">
      <c r="A5" s="28">
        <v>3000</v>
      </c>
      <c r="B5" s="30">
        <v>1.23</v>
      </c>
      <c r="C5" s="30">
        <v>0.17</v>
      </c>
      <c r="D5" s="30">
        <v>7.38</v>
      </c>
    </row>
    <row r="6" spans="1:4" ht="15.75" thickBot="1">
      <c r="A6" s="31">
        <v>5000</v>
      </c>
      <c r="B6" s="32">
        <v>8</v>
      </c>
      <c r="C6" s="32">
        <v>0</v>
      </c>
      <c r="D6" s="32">
        <v>45.3</v>
      </c>
    </row>
    <row r="7" spans="1:4" ht="15.75" thickTop="1"/>
    <row r="9" spans="1:4">
      <c r="A9" t="s">
        <v>65</v>
      </c>
    </row>
    <row r="10" spans="1:4">
      <c r="A10" t="s">
        <v>66</v>
      </c>
    </row>
    <row r="11" spans="1:4">
      <c r="A11" t="s">
        <v>67</v>
      </c>
    </row>
    <row r="17" spans="1:4" s="46" customFormat="1" ht="15.75" thickBot="1">
      <c r="A17" s="46" t="s">
        <v>68</v>
      </c>
    </row>
    <row r="18" spans="1:4" ht="45.75" thickTop="1">
      <c r="A18" s="26" t="s">
        <v>61</v>
      </c>
      <c r="B18" s="61" t="s">
        <v>50</v>
      </c>
      <c r="C18" s="61" t="s">
        <v>62</v>
      </c>
      <c r="D18" s="61" t="s">
        <v>63</v>
      </c>
    </row>
    <row r="19" spans="1:4" ht="15.75" thickBot="1">
      <c r="A19" s="27" t="s">
        <v>64</v>
      </c>
      <c r="B19" s="62"/>
      <c r="C19" s="62"/>
      <c r="D19" s="62"/>
    </row>
    <row r="20" spans="1:4" ht="15.75" thickTop="1">
      <c r="A20" s="28">
        <v>1000</v>
      </c>
      <c r="B20" s="34">
        <v>2.67</v>
      </c>
      <c r="C20" s="33">
        <v>0.83</v>
      </c>
      <c r="D20" s="29">
        <v>10.32</v>
      </c>
    </row>
    <row r="21" spans="1:4">
      <c r="A21" s="28">
        <v>3000</v>
      </c>
      <c r="B21" s="30">
        <v>1.23</v>
      </c>
      <c r="C21" s="30">
        <v>0.17</v>
      </c>
      <c r="D21" s="30">
        <v>7.38</v>
      </c>
    </row>
    <row r="22" spans="1:4" ht="15.75" thickBot="1">
      <c r="A22" s="31">
        <v>5000</v>
      </c>
      <c r="B22" s="32">
        <v>1.1599999999999999</v>
      </c>
      <c r="C22" s="32">
        <v>0</v>
      </c>
      <c r="D22" s="32">
        <v>5.79</v>
      </c>
    </row>
    <row r="23" spans="1:4" ht="15.75" thickTop="1"/>
  </sheetData>
  <mergeCells count="6">
    <mergeCell ref="B18:B19"/>
    <mergeCell ref="C18:C19"/>
    <mergeCell ref="D18:D19"/>
    <mergeCell ref="B2:B3"/>
    <mergeCell ref="C2:C3"/>
    <mergeCell ref="D2:D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2"/>
  <sheetViews>
    <sheetView tabSelected="1" topLeftCell="A10" workbookViewId="0">
      <selection activeCell="J20" sqref="J20"/>
    </sheetView>
  </sheetViews>
  <sheetFormatPr defaultRowHeight="15"/>
  <sheetData>
    <row r="1" spans="1:8" s="47" customFormat="1" ht="15.75" thickBot="1">
      <c r="A1" s="47" t="s">
        <v>77</v>
      </c>
    </row>
    <row r="2" spans="1:8" ht="45.75" thickTop="1">
      <c r="A2" s="26" t="s">
        <v>78</v>
      </c>
      <c r="B2" s="26" t="s">
        <v>72</v>
      </c>
      <c r="C2" s="26" t="s">
        <v>73</v>
      </c>
    </row>
    <row r="3" spans="1:8" ht="15.75" thickBot="1">
      <c r="A3" s="27" t="s">
        <v>64</v>
      </c>
      <c r="B3" s="27"/>
      <c r="C3" s="27"/>
    </row>
    <row r="4" spans="1:8" ht="15.75" thickTop="1">
      <c r="A4" s="28">
        <v>1000</v>
      </c>
      <c r="B4" s="48">
        <v>16</v>
      </c>
      <c r="C4" s="49">
        <v>15</v>
      </c>
    </row>
    <row r="5" spans="1:8">
      <c r="A5" s="28">
        <v>3000</v>
      </c>
      <c r="B5" s="50">
        <v>16</v>
      </c>
      <c r="C5" s="50">
        <v>16</v>
      </c>
    </row>
    <row r="6" spans="1:8" ht="15.75" thickBot="1">
      <c r="A6" s="31">
        <v>5000</v>
      </c>
      <c r="B6" s="51">
        <v>13</v>
      </c>
      <c r="C6" s="51">
        <v>13</v>
      </c>
    </row>
    <row r="7" spans="1:8" ht="15.75" thickTop="1"/>
    <row r="16" spans="1:8" s="52" customFormat="1" ht="15.75" thickBot="1">
      <c r="A16" s="47" t="s">
        <v>76</v>
      </c>
      <c r="B16" s="47"/>
      <c r="C16" s="47"/>
      <c r="D16" s="47"/>
      <c r="E16" s="47"/>
      <c r="F16" s="47"/>
      <c r="G16" s="47"/>
      <c r="H16" s="47"/>
    </row>
    <row r="17" spans="1:8" ht="45.75" thickTop="1">
      <c r="A17" s="26" t="s">
        <v>71</v>
      </c>
      <c r="B17" s="26" t="s">
        <v>72</v>
      </c>
      <c r="C17" s="26" t="s">
        <v>73</v>
      </c>
      <c r="E17" s="26" t="s">
        <v>74</v>
      </c>
      <c r="F17" s="26" t="s">
        <v>50</v>
      </c>
      <c r="G17" s="26" t="s">
        <v>62</v>
      </c>
      <c r="H17" s="26" t="s">
        <v>75</v>
      </c>
    </row>
    <row r="18" spans="1:8" ht="15.75" thickBot="1">
      <c r="A18" s="27" t="s">
        <v>64</v>
      </c>
      <c r="B18" s="27"/>
      <c r="C18" s="27"/>
      <c r="E18" s="27" t="s">
        <v>64</v>
      </c>
      <c r="F18" s="27"/>
      <c r="G18" s="27"/>
      <c r="H18" s="27"/>
    </row>
    <row r="19" spans="1:8" ht="15.75" thickTop="1">
      <c r="A19" s="28">
        <v>1000</v>
      </c>
      <c r="B19" s="34">
        <v>43.59</v>
      </c>
      <c r="C19" s="29">
        <v>1346.14</v>
      </c>
      <c r="E19" s="28">
        <v>1000</v>
      </c>
      <c r="F19" s="34">
        <v>-0.12</v>
      </c>
      <c r="G19" s="29">
        <v>0</v>
      </c>
      <c r="H19" s="29">
        <v>-1.01</v>
      </c>
    </row>
    <row r="20" spans="1:8">
      <c r="A20" s="28">
        <v>3000</v>
      </c>
      <c r="B20" s="30">
        <v>352.86</v>
      </c>
      <c r="C20" s="30">
        <v>4036.55</v>
      </c>
      <c r="E20" s="28">
        <v>3000</v>
      </c>
      <c r="F20" s="30">
        <f>Risultati!K46-RisultatiSP!K22</f>
        <v>-3.6211216334516294E-3</v>
      </c>
      <c r="G20" s="30">
        <f>Risultati!K51-RisultatiSP!K26</f>
        <v>0</v>
      </c>
      <c r="H20" s="30">
        <f>Risultati!K52-RisultatiSP!K27</f>
        <v>-5.7937946135226071E-2</v>
      </c>
    </row>
    <row r="21" spans="1:8" ht="15.75" thickBot="1">
      <c r="A21" s="31">
        <v>5000</v>
      </c>
      <c r="B21" s="32">
        <v>732.73</v>
      </c>
      <c r="C21" s="32">
        <v>1751.5</v>
      </c>
      <c r="E21" s="31">
        <v>5000</v>
      </c>
      <c r="F21" s="32">
        <f>Risultati!O46-RisultatiSP!O22</f>
        <v>0</v>
      </c>
      <c r="G21" s="32">
        <f>Risultati!O51-RisultatiSP!O26</f>
        <v>0</v>
      </c>
      <c r="H21" s="32">
        <f>Risultati!O52-RisultatiSP!O27</f>
        <v>0</v>
      </c>
    </row>
    <row r="22" spans="1:8" ht="15.75" thickTop="1"/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Risultati</vt:lpstr>
      <vt:lpstr>Riassunto</vt:lpstr>
      <vt:lpstr>RisultatiSP</vt:lpstr>
      <vt:lpstr>RiassuntoSP</vt:lpstr>
      <vt:lpstr>SC vs SP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2011-10-17T11:04:15Z</dcterms:modified>
</cp:coreProperties>
</file>