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s\Desktop\Google Drive\Summer Research 2021\Dun Fuel research\"/>
    </mc:Choice>
  </mc:AlternateContent>
  <xr:revisionPtr revIDLastSave="0" documentId="13_ncr:1_{6C8AB76E-CF01-4F0C-A4B2-E2D19F58EFB9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2015" sheetId="8" r:id="rId1"/>
    <sheet name="2016" sheetId="6" r:id="rId2"/>
    <sheet name="2017" sheetId="1" r:id="rId3"/>
    <sheet name="2018" sheetId="14" r:id="rId4"/>
    <sheet name="2019" sheetId="15" r:id="rId5"/>
    <sheet name="2020" sheetId="17" r:id="rId6"/>
    <sheet name="Electricity" sheetId="16" r:id="rId7"/>
    <sheet name="Summary" sheetId="3" r:id="rId8"/>
    <sheet name="Litres" sheetId="11" r:id="rId9"/>
    <sheet name="Mass" sheetId="13" r:id="rId10"/>
    <sheet name="PJ" sheetId="12" r:id="rId11"/>
  </sheets>
  <externalReferences>
    <externalReference r:id="rId12"/>
    <externalReference r:id="rId13"/>
    <externalReference r:id="rId14"/>
  </externalReferences>
  <definedNames>
    <definedName name="_xlnm.Print_Area" localSheetId="1">'2016'!$A$29:$P$43</definedName>
    <definedName name="_xlnm.Print_Area" localSheetId="3">'2018'!$A$29:$P$81</definedName>
    <definedName name="_xlnm.Print_Area" localSheetId="4">'2019'!$A$29:$P$81</definedName>
    <definedName name="_xlnm.Print_Area" localSheetId="5">'2020'!$A$13:$S$79</definedName>
    <definedName name="_xlnm.Print_Titles" localSheetId="1">'2016'!$1:$2</definedName>
    <definedName name="_xlnm.Print_Titles" localSheetId="3">'2018'!$1:$2</definedName>
    <definedName name="_xlnm.Print_Titles" localSheetId="4">'2019'!$1:$2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4" l="1"/>
  <c r="F9" i="16"/>
  <c r="G9" i="16" s="1"/>
  <c r="G57" i="12"/>
  <c r="H53" i="13"/>
  <c r="H34" i="13"/>
  <c r="H15" i="13"/>
  <c r="G8" i="16"/>
  <c r="G3" i="16"/>
  <c r="E7" i="16"/>
  <c r="G7" i="16" s="1"/>
  <c r="E4" i="16" l="1"/>
  <c r="B63" i="3"/>
  <c r="B64" i="3"/>
  <c r="B65" i="3"/>
  <c r="B66" i="3"/>
  <c r="B67" i="3"/>
  <c r="B68" i="3"/>
  <c r="B69" i="3"/>
  <c r="B70" i="3"/>
  <c r="B71" i="3"/>
  <c r="B72" i="3"/>
  <c r="B73" i="3"/>
  <c r="B74" i="3"/>
  <c r="A2" i="17"/>
  <c r="G8" i="17"/>
  <c r="C9" i="17"/>
  <c r="G9" i="17"/>
  <c r="C10" i="17"/>
  <c r="C11" i="17"/>
  <c r="E17" i="17"/>
  <c r="F31" i="17" s="1"/>
  <c r="G17" i="17"/>
  <c r="I17" i="17"/>
  <c r="I27" i="17" s="1"/>
  <c r="K17" i="17"/>
  <c r="M17" i="17"/>
  <c r="O17" i="17"/>
  <c r="H31" i="17" s="1"/>
  <c r="Q17" i="17"/>
  <c r="S17" i="17"/>
  <c r="U17" i="17"/>
  <c r="J31" i="17" s="1"/>
  <c r="W17" i="17"/>
  <c r="Y17" i="17"/>
  <c r="AA17" i="17"/>
  <c r="AC17" i="17"/>
  <c r="AE17" i="17"/>
  <c r="AG17" i="17"/>
  <c r="AI17" i="17"/>
  <c r="AI27" i="17" s="1"/>
  <c r="AK17" i="17"/>
  <c r="AM17" i="17"/>
  <c r="AO17" i="17"/>
  <c r="AO27" i="17" s="1"/>
  <c r="AQ17" i="17"/>
  <c r="AS17" i="17"/>
  <c r="AU17" i="17"/>
  <c r="AW17" i="17"/>
  <c r="AY17" i="17"/>
  <c r="E18" i="17"/>
  <c r="G18" i="17"/>
  <c r="Z34" i="17" s="1"/>
  <c r="I18" i="17"/>
  <c r="G32" i="17" s="1"/>
  <c r="K18" i="17"/>
  <c r="M18" i="17"/>
  <c r="O18" i="17"/>
  <c r="H32" i="17" s="1"/>
  <c r="Q18" i="17"/>
  <c r="S18" i="17"/>
  <c r="U18" i="17"/>
  <c r="W18" i="17"/>
  <c r="Y18" i="17"/>
  <c r="AA18" i="17"/>
  <c r="AC18" i="17"/>
  <c r="AE18" i="17"/>
  <c r="L32" i="17" s="1"/>
  <c r="AG18" i="17"/>
  <c r="AI18" i="17"/>
  <c r="AK18" i="17"/>
  <c r="AM18" i="17"/>
  <c r="AO18" i="17"/>
  <c r="O32" i="17" s="1"/>
  <c r="AQ18" i="17"/>
  <c r="AS18" i="17"/>
  <c r="AU18" i="17"/>
  <c r="AW18" i="17"/>
  <c r="AY18" i="17"/>
  <c r="E19" i="17"/>
  <c r="G19" i="17"/>
  <c r="F33" i="17" s="1"/>
  <c r="I19" i="17"/>
  <c r="G33" i="17" s="1"/>
  <c r="K19" i="17"/>
  <c r="M19" i="17"/>
  <c r="O19" i="17"/>
  <c r="Q19" i="17"/>
  <c r="S19" i="17"/>
  <c r="U19" i="17"/>
  <c r="W19" i="17"/>
  <c r="J33" i="17" s="1"/>
  <c r="Y19" i="17"/>
  <c r="AA19" i="17"/>
  <c r="AC19" i="17"/>
  <c r="AE19" i="17"/>
  <c r="AG19" i="17"/>
  <c r="AI19" i="17"/>
  <c r="AK19" i="17"/>
  <c r="AM19" i="17"/>
  <c r="N33" i="17" s="1"/>
  <c r="AO19" i="17"/>
  <c r="O33" i="17" s="1"/>
  <c r="AQ19" i="17"/>
  <c r="AS19" i="17"/>
  <c r="AU19" i="17"/>
  <c r="AW19" i="17"/>
  <c r="AY19" i="17"/>
  <c r="E20" i="17"/>
  <c r="G20" i="17"/>
  <c r="I20" i="17"/>
  <c r="X36" i="17" s="1"/>
  <c r="K20" i="17"/>
  <c r="M20" i="17"/>
  <c r="O20" i="17"/>
  <c r="H34" i="17" s="1"/>
  <c r="Q20" i="17"/>
  <c r="S20" i="17"/>
  <c r="U20" i="17"/>
  <c r="W20" i="17"/>
  <c r="Y20" i="17"/>
  <c r="K34" i="17" s="1"/>
  <c r="AA20" i="17"/>
  <c r="AC20" i="17"/>
  <c r="AE20" i="17"/>
  <c r="AG20" i="17"/>
  <c r="AI20" i="17"/>
  <c r="AK20" i="17"/>
  <c r="AM20" i="17"/>
  <c r="AO20" i="17"/>
  <c r="O34" i="17" s="1"/>
  <c r="AQ20" i="17"/>
  <c r="AS20" i="17"/>
  <c r="AU20" i="17"/>
  <c r="AW20" i="17"/>
  <c r="AY20" i="17"/>
  <c r="E21" i="17"/>
  <c r="G21" i="17"/>
  <c r="I21" i="17"/>
  <c r="K21" i="17"/>
  <c r="K27" i="17" s="1"/>
  <c r="M21" i="17"/>
  <c r="O21" i="17"/>
  <c r="H35" i="17" s="1"/>
  <c r="Q21" i="17"/>
  <c r="S21" i="17"/>
  <c r="U21" i="17"/>
  <c r="W21" i="17"/>
  <c r="Y21" i="17"/>
  <c r="K35" i="17" s="1"/>
  <c r="AA21" i="17"/>
  <c r="AC21" i="17"/>
  <c r="AE21" i="17"/>
  <c r="L35" i="17" s="1"/>
  <c r="AG21" i="17"/>
  <c r="AI21" i="17"/>
  <c r="AK21" i="17"/>
  <c r="AM21" i="17"/>
  <c r="AO21" i="17"/>
  <c r="AQ21" i="17"/>
  <c r="AS21" i="17"/>
  <c r="AU21" i="17"/>
  <c r="AW21" i="17"/>
  <c r="AY21" i="17"/>
  <c r="E22" i="17"/>
  <c r="G22" i="17"/>
  <c r="I22" i="17"/>
  <c r="G36" i="17" s="1"/>
  <c r="K22" i="17"/>
  <c r="M22" i="17"/>
  <c r="O22" i="17"/>
  <c r="Z38" i="17" s="1"/>
  <c r="Q22" i="17"/>
  <c r="S22" i="17"/>
  <c r="U22" i="17"/>
  <c r="W22" i="17"/>
  <c r="Y22" i="17"/>
  <c r="K36" i="17" s="1"/>
  <c r="AA22" i="17"/>
  <c r="AC22" i="17"/>
  <c r="AE22" i="17"/>
  <c r="AG22" i="17"/>
  <c r="AI22" i="17"/>
  <c r="AK22" i="17"/>
  <c r="AM22" i="17"/>
  <c r="AO22" i="17"/>
  <c r="AQ22" i="17"/>
  <c r="AS22" i="17"/>
  <c r="AU22" i="17"/>
  <c r="AW22" i="17"/>
  <c r="AY22" i="17"/>
  <c r="E23" i="17"/>
  <c r="G23" i="17"/>
  <c r="F37" i="17" s="1"/>
  <c r="I23" i="17"/>
  <c r="G37" i="17" s="1"/>
  <c r="K23" i="17"/>
  <c r="M23" i="17"/>
  <c r="O23" i="17"/>
  <c r="Q23" i="17"/>
  <c r="S23" i="17"/>
  <c r="U23" i="17"/>
  <c r="W23" i="17"/>
  <c r="J37" i="17" s="1"/>
  <c r="Y23" i="17"/>
  <c r="AA23" i="17"/>
  <c r="AC23" i="17"/>
  <c r="AE23" i="17"/>
  <c r="AG23" i="17"/>
  <c r="AI23" i="17"/>
  <c r="AK23" i="17"/>
  <c r="AM23" i="17"/>
  <c r="N37" i="17" s="1"/>
  <c r="AO23" i="17"/>
  <c r="O37" i="17" s="1"/>
  <c r="AQ23" i="17"/>
  <c r="AS23" i="17"/>
  <c r="AU23" i="17"/>
  <c r="AW23" i="17"/>
  <c r="AY23" i="17"/>
  <c r="E24" i="17"/>
  <c r="G24" i="17"/>
  <c r="I24" i="17"/>
  <c r="X40" i="17" s="1"/>
  <c r="K24" i="17"/>
  <c r="M24" i="17"/>
  <c r="O24" i="17"/>
  <c r="H38" i="17" s="1"/>
  <c r="Q24" i="17"/>
  <c r="S24" i="17"/>
  <c r="U24" i="17"/>
  <c r="W24" i="17"/>
  <c r="Y24" i="17"/>
  <c r="AA24" i="17"/>
  <c r="AC24" i="17"/>
  <c r="AE24" i="17"/>
  <c r="AG24" i="17"/>
  <c r="AI24" i="17"/>
  <c r="AK24" i="17"/>
  <c r="AM24" i="17"/>
  <c r="AO24" i="17"/>
  <c r="O38" i="17" s="1"/>
  <c r="AQ24" i="17"/>
  <c r="AS24" i="17"/>
  <c r="AU24" i="17"/>
  <c r="AW24" i="17"/>
  <c r="AY24" i="17"/>
  <c r="E25" i="17"/>
  <c r="G25" i="17"/>
  <c r="I25" i="17"/>
  <c r="X41" i="17" s="1"/>
  <c r="K25" i="17"/>
  <c r="M25" i="17"/>
  <c r="O25" i="17"/>
  <c r="H39" i="17" s="1"/>
  <c r="Q25" i="17"/>
  <c r="S25" i="17"/>
  <c r="U25" i="17"/>
  <c r="W25" i="17"/>
  <c r="Y25" i="17"/>
  <c r="K39" i="17" s="1"/>
  <c r="AA25" i="17"/>
  <c r="AC25" i="17"/>
  <c r="AE25" i="17"/>
  <c r="L39" i="17" s="1"/>
  <c r="AG25" i="17"/>
  <c r="AI25" i="17"/>
  <c r="AK25" i="17"/>
  <c r="AM25" i="17"/>
  <c r="AO25" i="17"/>
  <c r="AQ25" i="17"/>
  <c r="AS25" i="17"/>
  <c r="AU25" i="17"/>
  <c r="AW25" i="17"/>
  <c r="AY25" i="17"/>
  <c r="E26" i="17"/>
  <c r="G26" i="17"/>
  <c r="I26" i="17"/>
  <c r="G40" i="17" s="1"/>
  <c r="K26" i="17"/>
  <c r="M26" i="17"/>
  <c r="O26" i="17"/>
  <c r="Q26" i="17"/>
  <c r="S26" i="17"/>
  <c r="U26" i="17"/>
  <c r="W26" i="17"/>
  <c r="Y26" i="17"/>
  <c r="K40" i="17" s="1"/>
  <c r="AA26" i="17"/>
  <c r="AC26" i="17"/>
  <c r="AE26" i="17"/>
  <c r="AG26" i="17"/>
  <c r="AI26" i="17"/>
  <c r="AK26" i="17"/>
  <c r="AM26" i="17"/>
  <c r="AO26" i="17"/>
  <c r="AQ26" i="17"/>
  <c r="AS26" i="17"/>
  <c r="AU26" i="17"/>
  <c r="AW26" i="17"/>
  <c r="AY26" i="17"/>
  <c r="D27" i="17"/>
  <c r="B91" i="17" s="1"/>
  <c r="E27" i="17"/>
  <c r="F27" i="17"/>
  <c r="B92" i="17" s="1"/>
  <c r="H27" i="17"/>
  <c r="C91" i="17" s="1"/>
  <c r="J27" i="17"/>
  <c r="C92" i="17" s="1"/>
  <c r="L27" i="17"/>
  <c r="D91" i="17" s="1"/>
  <c r="M27" i="17"/>
  <c r="N27" i="17"/>
  <c r="D92" i="17" s="1"/>
  <c r="P27" i="17"/>
  <c r="E91" i="17" s="1"/>
  <c r="Q27" i="17"/>
  <c r="R27" i="17"/>
  <c r="E92" i="17" s="1"/>
  <c r="S27" i="17"/>
  <c r="T27" i="17"/>
  <c r="F91" i="17" s="1"/>
  <c r="U27" i="17"/>
  <c r="V27" i="17"/>
  <c r="F92" i="17" s="1"/>
  <c r="X27" i="17"/>
  <c r="G91" i="17" s="1"/>
  <c r="Y27" i="17"/>
  <c r="Z27" i="17"/>
  <c r="G92" i="17" s="1"/>
  <c r="AA27" i="17"/>
  <c r="AB27" i="17"/>
  <c r="H91" i="17" s="1"/>
  <c r="AC27" i="17"/>
  <c r="AD27" i="17"/>
  <c r="H92" i="17" s="1"/>
  <c r="AF27" i="17"/>
  <c r="I91" i="17" s="1"/>
  <c r="AG27" i="17"/>
  <c r="AH27" i="17"/>
  <c r="I92" i="17" s="1"/>
  <c r="AJ27" i="17"/>
  <c r="J91" i="17" s="1"/>
  <c r="AK27" i="17"/>
  <c r="AL27" i="17"/>
  <c r="J92" i="17" s="1"/>
  <c r="AN27" i="17"/>
  <c r="K91" i="17" s="1"/>
  <c r="AP27" i="17"/>
  <c r="K92" i="17" s="1"/>
  <c r="AQ27" i="17"/>
  <c r="AR27" i="17"/>
  <c r="L91" i="17" s="1"/>
  <c r="AS27" i="17"/>
  <c r="AT27" i="17"/>
  <c r="L92" i="17" s="1"/>
  <c r="AV27" i="17"/>
  <c r="M91" i="17" s="1"/>
  <c r="AW27" i="17"/>
  <c r="AX27" i="17"/>
  <c r="M92" i="17" s="1"/>
  <c r="AY27" i="17"/>
  <c r="D31" i="17"/>
  <c r="E31" i="17"/>
  <c r="I31" i="17"/>
  <c r="K31" i="17"/>
  <c r="M31" i="17"/>
  <c r="D32" i="17"/>
  <c r="E32" i="17"/>
  <c r="I32" i="17"/>
  <c r="K32" i="17"/>
  <c r="M32" i="17"/>
  <c r="D33" i="17"/>
  <c r="E33" i="17"/>
  <c r="I33" i="17"/>
  <c r="K33" i="17"/>
  <c r="M33" i="17"/>
  <c r="W33" i="17"/>
  <c r="W43" i="17" s="1"/>
  <c r="X33" i="17"/>
  <c r="Y33" i="17"/>
  <c r="D34" i="17"/>
  <c r="E34" i="17"/>
  <c r="G34" i="17"/>
  <c r="I34" i="17"/>
  <c r="L34" i="17"/>
  <c r="M34" i="17"/>
  <c r="W34" i="17"/>
  <c r="Y34" i="17"/>
  <c r="AA34" i="17" s="1"/>
  <c r="D35" i="17"/>
  <c r="E35" i="17"/>
  <c r="G35" i="17"/>
  <c r="I35" i="17"/>
  <c r="M35" i="17"/>
  <c r="O35" i="17"/>
  <c r="W35" i="17"/>
  <c r="Y35" i="17"/>
  <c r="D36" i="17"/>
  <c r="E36" i="17"/>
  <c r="F36" i="17"/>
  <c r="I36" i="17"/>
  <c r="J36" i="17"/>
  <c r="M36" i="17"/>
  <c r="N36" i="17"/>
  <c r="O36" i="17"/>
  <c r="W36" i="17"/>
  <c r="Y36" i="17"/>
  <c r="D37" i="17"/>
  <c r="E37" i="17"/>
  <c r="I37" i="17"/>
  <c r="K37" i="17"/>
  <c r="M37" i="17"/>
  <c r="W37" i="17"/>
  <c r="X37" i="17"/>
  <c r="Y37" i="17"/>
  <c r="D38" i="17"/>
  <c r="E38" i="17"/>
  <c r="G38" i="17"/>
  <c r="I38" i="17"/>
  <c r="K38" i="17"/>
  <c r="L38" i="17"/>
  <c r="M38" i="17"/>
  <c r="W38" i="17"/>
  <c r="Y38" i="17"/>
  <c r="AA38" i="17" s="1"/>
  <c r="D39" i="17"/>
  <c r="E39" i="17"/>
  <c r="G39" i="17"/>
  <c r="I39" i="17"/>
  <c r="M39" i="17"/>
  <c r="O39" i="17"/>
  <c r="W39" i="17"/>
  <c r="AA39" i="17" s="1"/>
  <c r="Y39" i="17"/>
  <c r="D40" i="17"/>
  <c r="E40" i="17"/>
  <c r="I40" i="17"/>
  <c r="J40" i="17"/>
  <c r="M40" i="17"/>
  <c r="N40" i="17"/>
  <c r="O40" i="17"/>
  <c r="W40" i="17"/>
  <c r="Y40" i="17"/>
  <c r="D41" i="17"/>
  <c r="P41" i="17" s="1"/>
  <c r="W41" i="17"/>
  <c r="Y41" i="17"/>
  <c r="W42" i="17"/>
  <c r="X42" i="17"/>
  <c r="Y42" i="17"/>
  <c r="AA42" i="17" s="1"/>
  <c r="A58" i="17"/>
  <c r="P60" i="17"/>
  <c r="P61" i="17"/>
  <c r="P62" i="17"/>
  <c r="P63" i="17"/>
  <c r="P64" i="17"/>
  <c r="P65" i="17"/>
  <c r="P66" i="17"/>
  <c r="P67" i="17"/>
  <c r="P68" i="17"/>
  <c r="P69" i="17"/>
  <c r="P70" i="17"/>
  <c r="L71" i="17"/>
  <c r="P71" i="17"/>
  <c r="P72" i="17"/>
  <c r="P73" i="17"/>
  <c r="P74" i="17"/>
  <c r="N75" i="17"/>
  <c r="E76" i="17"/>
  <c r="O76" i="17"/>
  <c r="D77" i="17"/>
  <c r="E58" i="17" s="1"/>
  <c r="D81" i="17"/>
  <c r="E81" i="17"/>
  <c r="F81" i="17"/>
  <c r="G81" i="17"/>
  <c r="H81" i="17"/>
  <c r="I81" i="17"/>
  <c r="J81" i="17"/>
  <c r="K81" i="17"/>
  <c r="L81" i="17"/>
  <c r="M81" i="17"/>
  <c r="N81" i="17"/>
  <c r="O81" i="17"/>
  <c r="C69" i="3"/>
  <c r="C73" i="3"/>
  <c r="C71" i="3"/>
  <c r="D72" i="3"/>
  <c r="C64" i="3"/>
  <c r="D70" i="3"/>
  <c r="C65" i="3"/>
  <c r="D69" i="3"/>
  <c r="D63" i="3"/>
  <c r="C68" i="3"/>
  <c r="D65" i="3"/>
  <c r="D68" i="3"/>
  <c r="D67" i="3"/>
  <c r="D74" i="3"/>
  <c r="C74" i="3"/>
  <c r="C70" i="3"/>
  <c r="C72" i="3"/>
  <c r="D66" i="3"/>
  <c r="D64" i="3"/>
  <c r="D73" i="3"/>
  <c r="C66" i="3"/>
  <c r="C63" i="3"/>
  <c r="C67" i="3"/>
  <c r="D71" i="3"/>
  <c r="K42" i="17" l="1"/>
  <c r="K49" i="17" s="1"/>
  <c r="K48" i="17"/>
  <c r="AU27" i="17"/>
  <c r="G31" i="17"/>
  <c r="L40" i="17"/>
  <c r="H40" i="17"/>
  <c r="L37" i="17"/>
  <c r="H37" i="17"/>
  <c r="P37" i="17" s="1"/>
  <c r="L36" i="17"/>
  <c r="H36" i="17"/>
  <c r="L33" i="17"/>
  <c r="P33" i="17" s="1"/>
  <c r="H33" i="17"/>
  <c r="AA41" i="17"/>
  <c r="AA36" i="17"/>
  <c r="AA33" i="17"/>
  <c r="D42" i="17"/>
  <c r="D47" i="17" s="1"/>
  <c r="Z42" i="17"/>
  <c r="Z41" i="17"/>
  <c r="AB41" i="17" s="1"/>
  <c r="Z40" i="17"/>
  <c r="Z37" i="17"/>
  <c r="Z36" i="17"/>
  <c r="AM27" i="17"/>
  <c r="W27" i="17"/>
  <c r="Z33" i="17"/>
  <c r="O31" i="17"/>
  <c r="N39" i="17"/>
  <c r="J39" i="17"/>
  <c r="F39" i="17"/>
  <c r="P39" i="17" s="1"/>
  <c r="N38" i="17"/>
  <c r="J38" i="17"/>
  <c r="F38" i="17"/>
  <c r="X39" i="17"/>
  <c r="X38" i="17"/>
  <c r="AB38" i="17" s="1"/>
  <c r="N35" i="17"/>
  <c r="P35" i="17" s="1"/>
  <c r="J35" i="17"/>
  <c r="F35" i="17"/>
  <c r="N34" i="17"/>
  <c r="J34" i="17"/>
  <c r="F34" i="17"/>
  <c r="P34" i="17" s="1"/>
  <c r="X35" i="17"/>
  <c r="N32" i="17"/>
  <c r="J32" i="17"/>
  <c r="F32" i="17"/>
  <c r="N31" i="17"/>
  <c r="N42" i="17" s="1"/>
  <c r="AA40" i="17"/>
  <c r="F40" i="17"/>
  <c r="AA37" i="17"/>
  <c r="AA35" i="17"/>
  <c r="K47" i="17"/>
  <c r="K51" i="17" s="1"/>
  <c r="K53" i="17" s="1"/>
  <c r="AE27" i="17"/>
  <c r="E71" i="3"/>
  <c r="E70" i="3"/>
  <c r="E66" i="3"/>
  <c r="E63" i="3"/>
  <c r="E73" i="3"/>
  <c r="E69" i="3"/>
  <c r="E65" i="3"/>
  <c r="E67" i="3"/>
  <c r="E72" i="3"/>
  <c r="E68" i="3"/>
  <c r="E64" i="3"/>
  <c r="E74" i="3"/>
  <c r="E77" i="17"/>
  <c r="F58" i="17" s="1"/>
  <c r="F77" i="17" s="1"/>
  <c r="G58" i="17" s="1"/>
  <c r="G77" i="17" s="1"/>
  <c r="H58" i="17" s="1"/>
  <c r="H77" i="17" s="1"/>
  <c r="I58" i="17" s="1"/>
  <c r="I77" i="17" s="1"/>
  <c r="J58" i="17" s="1"/>
  <c r="J77" i="17" s="1"/>
  <c r="K58" i="17" s="1"/>
  <c r="K77" i="17" s="1"/>
  <c r="L58" i="17" s="1"/>
  <c r="L77" i="17" s="1"/>
  <c r="M58" i="17" s="1"/>
  <c r="M77" i="17" s="1"/>
  <c r="N58" i="17" s="1"/>
  <c r="N77" i="17" s="1"/>
  <c r="O58" i="17" s="1"/>
  <c r="O77" i="17" s="1"/>
  <c r="AB40" i="17"/>
  <c r="AB36" i="17"/>
  <c r="P38" i="17"/>
  <c r="P77" i="17"/>
  <c r="P32" i="17"/>
  <c r="AA43" i="17"/>
  <c r="AB42" i="17"/>
  <c r="P40" i="17"/>
  <c r="AB37" i="17"/>
  <c r="AB33" i="17"/>
  <c r="L31" i="17"/>
  <c r="P31" i="17" s="1"/>
  <c r="M47" i="17"/>
  <c r="Z35" i="17"/>
  <c r="Y43" i="17"/>
  <c r="M42" i="17"/>
  <c r="M49" i="17" s="1"/>
  <c r="I42" i="17"/>
  <c r="I47" i="17" s="1"/>
  <c r="E42" i="17"/>
  <c r="E49" i="17" s="1"/>
  <c r="X34" i="17"/>
  <c r="AB34" i="17" s="1"/>
  <c r="O27" i="17"/>
  <c r="G27" i="17"/>
  <c r="Z39" i="17"/>
  <c r="D49" i="17"/>
  <c r="E6" i="16"/>
  <c r="G6" i="16"/>
  <c r="G5" i="16"/>
  <c r="H49" i="17" l="1"/>
  <c r="J47" i="17"/>
  <c r="D48" i="17"/>
  <c r="J42" i="17"/>
  <c r="J48" i="17" s="1"/>
  <c r="J51" i="17" s="1"/>
  <c r="J53" i="17" s="1"/>
  <c r="O42" i="17"/>
  <c r="AB39" i="17"/>
  <c r="J49" i="17"/>
  <c r="H42" i="17"/>
  <c r="P36" i="17"/>
  <c r="E47" i="17"/>
  <c r="AB35" i="17"/>
  <c r="F42" i="17"/>
  <c r="F49" i="17" s="1"/>
  <c r="G42" i="17"/>
  <c r="O47" i="17"/>
  <c r="H6" i="16"/>
  <c r="G74" i="3"/>
  <c r="H14" i="12" s="1"/>
  <c r="H14" i="11"/>
  <c r="H14" i="13" s="1"/>
  <c r="G73" i="3"/>
  <c r="H13" i="12" s="1"/>
  <c r="H13" i="11"/>
  <c r="H13" i="13" s="1"/>
  <c r="G72" i="3"/>
  <c r="H12" i="12" s="1"/>
  <c r="H12" i="11"/>
  <c r="H12" i="13" s="1"/>
  <c r="G71" i="3"/>
  <c r="H11" i="12" s="1"/>
  <c r="H11" i="11"/>
  <c r="H11" i="13" s="1"/>
  <c r="G70" i="3"/>
  <c r="H10" i="12" s="1"/>
  <c r="H10" i="11"/>
  <c r="H10" i="13" s="1"/>
  <c r="G69" i="3"/>
  <c r="H9" i="12" s="1"/>
  <c r="H9" i="11"/>
  <c r="H9" i="13" s="1"/>
  <c r="G68" i="3"/>
  <c r="H8" i="11"/>
  <c r="H8" i="13" s="1"/>
  <c r="G67" i="3"/>
  <c r="H7" i="12" s="1"/>
  <c r="H7" i="11"/>
  <c r="H7" i="13" s="1"/>
  <c r="G66" i="3"/>
  <c r="H6" i="12" s="1"/>
  <c r="H6" i="11"/>
  <c r="H6" i="13" s="1"/>
  <c r="G65" i="3"/>
  <c r="H5" i="12" s="1"/>
  <c r="H5" i="11"/>
  <c r="H5" i="13" s="1"/>
  <c r="G64" i="3"/>
  <c r="H4" i="12" s="1"/>
  <c r="H4" i="11"/>
  <c r="H4" i="13" s="1"/>
  <c r="G63" i="3"/>
  <c r="H3" i="12" s="1"/>
  <c r="H3" i="11"/>
  <c r="H3" i="13" s="1"/>
  <c r="D51" i="17"/>
  <c r="D53" i="17" s="1"/>
  <c r="F48" i="17"/>
  <c r="N47" i="17"/>
  <c r="F47" i="17"/>
  <c r="Z43" i="17"/>
  <c r="AB43" i="17"/>
  <c r="X43" i="17"/>
  <c r="N48" i="17"/>
  <c r="H48" i="17"/>
  <c r="E48" i="17"/>
  <c r="E51" i="17" s="1"/>
  <c r="E53" i="17" s="1"/>
  <c r="P42" i="17"/>
  <c r="I49" i="17"/>
  <c r="L42" i="17"/>
  <c r="L49" i="17"/>
  <c r="L47" i="17"/>
  <c r="L48" i="17"/>
  <c r="N49" i="17"/>
  <c r="H47" i="17"/>
  <c r="M48" i="17"/>
  <c r="M51" i="17" s="1"/>
  <c r="M53" i="17" s="1"/>
  <c r="I48" i="17"/>
  <c r="I51" i="17" s="1"/>
  <c r="I53" i="17" s="1"/>
  <c r="AE18" i="15"/>
  <c r="AG18" i="15"/>
  <c r="AI18" i="15"/>
  <c r="AK18" i="15"/>
  <c r="AM18" i="15"/>
  <c r="AO18" i="15"/>
  <c r="AQ18" i="15"/>
  <c r="AS18" i="15"/>
  <c r="AU18" i="15"/>
  <c r="AW18" i="15"/>
  <c r="AY18" i="15"/>
  <c r="AY25" i="15"/>
  <c r="AW25" i="15"/>
  <c r="AU25" i="15"/>
  <c r="AS25" i="15"/>
  <c r="AQ25" i="15"/>
  <c r="AO25" i="15"/>
  <c r="AM25" i="15"/>
  <c r="AK25" i="15"/>
  <c r="AI25" i="15"/>
  <c r="AG25" i="15"/>
  <c r="AE25" i="15"/>
  <c r="AC18" i="15"/>
  <c r="AC25" i="15"/>
  <c r="AA25" i="15"/>
  <c r="AA18" i="15"/>
  <c r="Y18" i="15"/>
  <c r="Y25" i="15"/>
  <c r="W25" i="15"/>
  <c r="U25" i="15"/>
  <c r="W18" i="15"/>
  <c r="U18" i="15"/>
  <c r="S25" i="15"/>
  <c r="G47" i="17" l="1"/>
  <c r="G48" i="17"/>
  <c r="O49" i="17"/>
  <c r="O48" i="17"/>
  <c r="P48" i="17" s="1"/>
  <c r="O51" i="17"/>
  <c r="O53" i="17" s="1"/>
  <c r="G49" i="17"/>
  <c r="P49" i="17" s="1"/>
  <c r="H8" i="12"/>
  <c r="H17" i="12" s="1"/>
  <c r="H17" i="11"/>
  <c r="H17" i="13" s="1"/>
  <c r="H18" i="11"/>
  <c r="H18" i="13" s="1"/>
  <c r="H16" i="11"/>
  <c r="H16" i="13" s="1"/>
  <c r="H51" i="17"/>
  <c r="H53" i="17" s="1"/>
  <c r="L51" i="17"/>
  <c r="L53" i="17" s="1"/>
  <c r="P47" i="17"/>
  <c r="F51" i="17"/>
  <c r="N51" i="17"/>
  <c r="N53" i="17" s="1"/>
  <c r="E2" i="16"/>
  <c r="G2" i="16" s="1"/>
  <c r="G4" i="16"/>
  <c r="H4" i="16" s="1"/>
  <c r="I6" i="16" s="1"/>
  <c r="I8" i="16" s="1"/>
  <c r="I9" i="16" s="1"/>
  <c r="G51" i="17" l="1"/>
  <c r="G53" i="17" s="1"/>
  <c r="H19" i="12"/>
  <c r="H18" i="12"/>
  <c r="P51" i="17"/>
  <c r="P53" i="17" s="1"/>
  <c r="F57" i="12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J9" i="16" l="1"/>
  <c r="Q47" i="17"/>
  <c r="O81" i="15"/>
  <c r="N81" i="15"/>
  <c r="M81" i="15"/>
  <c r="L81" i="15"/>
  <c r="K81" i="15"/>
  <c r="J81" i="15"/>
  <c r="I81" i="15"/>
  <c r="H81" i="15"/>
  <c r="G81" i="15"/>
  <c r="F81" i="15"/>
  <c r="E81" i="15"/>
  <c r="D81" i="15"/>
  <c r="P74" i="15"/>
  <c r="P73" i="15"/>
  <c r="P72" i="15"/>
  <c r="P71" i="15"/>
  <c r="I70" i="15"/>
  <c r="P70" i="15" s="1"/>
  <c r="P69" i="15"/>
  <c r="P68" i="15"/>
  <c r="P67" i="15"/>
  <c r="P66" i="15"/>
  <c r="P65" i="15"/>
  <c r="P64" i="15"/>
  <c r="P63" i="15"/>
  <c r="P62" i="15"/>
  <c r="P61" i="15"/>
  <c r="D60" i="15"/>
  <c r="P60" i="15" s="1"/>
  <c r="D58" i="15"/>
  <c r="A58" i="15"/>
  <c r="Y42" i="15"/>
  <c r="W42" i="15"/>
  <c r="Y41" i="15"/>
  <c r="W41" i="15"/>
  <c r="D41" i="15"/>
  <c r="P41" i="15" s="1"/>
  <c r="Y40" i="15"/>
  <c r="W40" i="15"/>
  <c r="K40" i="15"/>
  <c r="E40" i="15"/>
  <c r="D40" i="15"/>
  <c r="Y39" i="15"/>
  <c r="W39" i="15"/>
  <c r="N39" i="15"/>
  <c r="J39" i="15"/>
  <c r="E39" i="15"/>
  <c r="D39" i="15"/>
  <c r="Y38" i="15"/>
  <c r="W38" i="15"/>
  <c r="M38" i="15"/>
  <c r="E38" i="15"/>
  <c r="D38" i="15"/>
  <c r="Y37" i="15"/>
  <c r="W37" i="15"/>
  <c r="L37" i="15"/>
  <c r="E37" i="15"/>
  <c r="D37" i="15"/>
  <c r="Y36" i="15"/>
  <c r="W36" i="15"/>
  <c r="E36" i="15"/>
  <c r="D36" i="15"/>
  <c r="Y35" i="15"/>
  <c r="W35" i="15"/>
  <c r="N35" i="15"/>
  <c r="J35" i="15"/>
  <c r="E35" i="15"/>
  <c r="D35" i="15"/>
  <c r="Y34" i="15"/>
  <c r="W34" i="15"/>
  <c r="E34" i="15"/>
  <c r="D34" i="15"/>
  <c r="Y33" i="15"/>
  <c r="W33" i="15"/>
  <c r="L33" i="15"/>
  <c r="E33" i="15"/>
  <c r="D33" i="15"/>
  <c r="E32" i="15"/>
  <c r="D32" i="15"/>
  <c r="N31" i="15"/>
  <c r="J31" i="15"/>
  <c r="E31" i="15"/>
  <c r="D31" i="15"/>
  <c r="AX27" i="15"/>
  <c r="AV27" i="15"/>
  <c r="AT27" i="15"/>
  <c r="AR27" i="15"/>
  <c r="AP27" i="15"/>
  <c r="AN27" i="15"/>
  <c r="AL27" i="15"/>
  <c r="AJ27" i="15"/>
  <c r="AH27" i="15"/>
  <c r="AF27" i="15"/>
  <c r="AD27" i="15"/>
  <c r="AB27" i="15"/>
  <c r="Z27" i="15"/>
  <c r="X27" i="15"/>
  <c r="V27" i="15"/>
  <c r="T27" i="15"/>
  <c r="R27" i="15"/>
  <c r="P27" i="15"/>
  <c r="N27" i="15"/>
  <c r="L27" i="15"/>
  <c r="J27" i="15"/>
  <c r="H27" i="15"/>
  <c r="F27" i="15"/>
  <c r="D27" i="15"/>
  <c r="O40" i="15"/>
  <c r="N40" i="15"/>
  <c r="M40" i="15"/>
  <c r="L40" i="15"/>
  <c r="J40" i="15"/>
  <c r="S26" i="15"/>
  <c r="Q26" i="15"/>
  <c r="O26" i="15"/>
  <c r="M26" i="15"/>
  <c r="K26" i="15"/>
  <c r="I26" i="15"/>
  <c r="G26" i="15"/>
  <c r="E26" i="15"/>
  <c r="O39" i="15"/>
  <c r="M39" i="15"/>
  <c r="L39" i="15"/>
  <c r="K39" i="15"/>
  <c r="Q25" i="15"/>
  <c r="I39" i="15" s="1"/>
  <c r="O25" i="15"/>
  <c r="M25" i="15"/>
  <c r="K25" i="15"/>
  <c r="I25" i="15"/>
  <c r="G39" i="15" s="1"/>
  <c r="G25" i="15"/>
  <c r="E25" i="15"/>
  <c r="F39" i="15" s="1"/>
  <c r="O38" i="15"/>
  <c r="N38" i="15"/>
  <c r="L38" i="15"/>
  <c r="K38" i="15"/>
  <c r="J38" i="15"/>
  <c r="S24" i="15"/>
  <c r="Q24" i="15"/>
  <c r="O24" i="15"/>
  <c r="M24" i="15"/>
  <c r="K24" i="15"/>
  <c r="I24" i="15"/>
  <c r="G24" i="15"/>
  <c r="E24" i="15"/>
  <c r="O37" i="15"/>
  <c r="N37" i="15"/>
  <c r="M37" i="15"/>
  <c r="K37" i="15"/>
  <c r="J37" i="15"/>
  <c r="S23" i="15"/>
  <c r="Q23" i="15"/>
  <c r="O23" i="15"/>
  <c r="M23" i="15"/>
  <c r="H37" i="15" s="1"/>
  <c r="K23" i="15"/>
  <c r="I23" i="15"/>
  <c r="G23" i="15"/>
  <c r="E23" i="15"/>
  <c r="O36" i="15"/>
  <c r="N36" i="15"/>
  <c r="M36" i="15"/>
  <c r="L36" i="15"/>
  <c r="K36" i="15"/>
  <c r="J36" i="15"/>
  <c r="S22" i="15"/>
  <c r="Q22" i="15"/>
  <c r="O22" i="15"/>
  <c r="M22" i="15"/>
  <c r="K22" i="15"/>
  <c r="I22" i="15"/>
  <c r="G36" i="15" s="1"/>
  <c r="G22" i="15"/>
  <c r="E22" i="15"/>
  <c r="O35" i="15"/>
  <c r="M35" i="15"/>
  <c r="L35" i="15"/>
  <c r="K35" i="15"/>
  <c r="S21" i="15"/>
  <c r="Q21" i="15"/>
  <c r="I35" i="15" s="1"/>
  <c r="O21" i="15"/>
  <c r="M21" i="15"/>
  <c r="K21" i="15"/>
  <c r="I21" i="15"/>
  <c r="G21" i="15"/>
  <c r="Z37" i="15" s="1"/>
  <c r="E21" i="15"/>
  <c r="O34" i="15"/>
  <c r="N34" i="15"/>
  <c r="M34" i="15"/>
  <c r="L34" i="15"/>
  <c r="K34" i="15"/>
  <c r="J34" i="15"/>
  <c r="S20" i="15"/>
  <c r="Q20" i="15"/>
  <c r="O20" i="15"/>
  <c r="M20" i="15"/>
  <c r="H34" i="15" s="1"/>
  <c r="K20" i="15"/>
  <c r="I20" i="15"/>
  <c r="G20" i="15"/>
  <c r="E20" i="15"/>
  <c r="O33" i="15"/>
  <c r="N33" i="15"/>
  <c r="M33" i="15"/>
  <c r="K33" i="15"/>
  <c r="J33" i="15"/>
  <c r="S19" i="15"/>
  <c r="Q19" i="15"/>
  <c r="O19" i="15"/>
  <c r="M19" i="15"/>
  <c r="H33" i="15" s="1"/>
  <c r="K19" i="15"/>
  <c r="I19" i="15"/>
  <c r="G19" i="15"/>
  <c r="E19" i="15"/>
  <c r="O32" i="15"/>
  <c r="N32" i="15"/>
  <c r="M32" i="15"/>
  <c r="L32" i="15"/>
  <c r="K32" i="15"/>
  <c r="J32" i="15"/>
  <c r="S18" i="15"/>
  <c r="Q18" i="15"/>
  <c r="O18" i="15"/>
  <c r="M18" i="15"/>
  <c r="K18" i="15"/>
  <c r="I18" i="15"/>
  <c r="G18" i="15"/>
  <c r="E18" i="15"/>
  <c r="AY27" i="15"/>
  <c r="AW27" i="15"/>
  <c r="AU27" i="15"/>
  <c r="AS27" i="15"/>
  <c r="AQ27" i="15"/>
  <c r="AM27" i="15"/>
  <c r="AK27" i="15"/>
  <c r="AI27" i="15"/>
  <c r="AE27" i="15"/>
  <c r="AC27" i="15"/>
  <c r="AA27" i="15"/>
  <c r="W27" i="15"/>
  <c r="U27" i="15"/>
  <c r="S17" i="15"/>
  <c r="Q17" i="15"/>
  <c r="O17" i="15"/>
  <c r="M17" i="15"/>
  <c r="K17" i="15"/>
  <c r="I17" i="15"/>
  <c r="G17" i="15"/>
  <c r="E17" i="15"/>
  <c r="E27" i="15" s="1"/>
  <c r="C11" i="15"/>
  <c r="C10" i="15"/>
  <c r="G9" i="15"/>
  <c r="C9" i="15"/>
  <c r="G8" i="15"/>
  <c r="A2" i="15"/>
  <c r="O81" i="14"/>
  <c r="N81" i="14"/>
  <c r="M81" i="14"/>
  <c r="L81" i="14"/>
  <c r="K81" i="14"/>
  <c r="J81" i="14"/>
  <c r="I81" i="14"/>
  <c r="H81" i="14"/>
  <c r="G81" i="14"/>
  <c r="F81" i="14"/>
  <c r="E81" i="14"/>
  <c r="D81" i="14"/>
  <c r="P74" i="14"/>
  <c r="P73" i="14"/>
  <c r="P72" i="14"/>
  <c r="P71" i="14"/>
  <c r="P70" i="14"/>
  <c r="I69" i="14"/>
  <c r="P69" i="14" s="1"/>
  <c r="P68" i="14"/>
  <c r="P67" i="14"/>
  <c r="P66" i="14"/>
  <c r="P65" i="14"/>
  <c r="P64" i="14"/>
  <c r="P63" i="14"/>
  <c r="P62" i="14"/>
  <c r="P61" i="14"/>
  <c r="D60" i="14"/>
  <c r="P60" i="14" s="1"/>
  <c r="P77" i="14" s="1"/>
  <c r="D58" i="14"/>
  <c r="A58" i="14"/>
  <c r="Y42" i="14"/>
  <c r="W42" i="14"/>
  <c r="Y41" i="14"/>
  <c r="W41" i="14"/>
  <c r="D41" i="14"/>
  <c r="P41" i="14" s="1"/>
  <c r="Y40" i="14"/>
  <c r="W40" i="14"/>
  <c r="E40" i="14"/>
  <c r="D40" i="14"/>
  <c r="Y39" i="14"/>
  <c r="W39" i="14"/>
  <c r="AA39" i="14" s="1"/>
  <c r="E39" i="14"/>
  <c r="D39" i="14"/>
  <c r="Y38" i="14"/>
  <c r="W38" i="14"/>
  <c r="E38" i="14"/>
  <c r="D38" i="14"/>
  <c r="Y37" i="14"/>
  <c r="W37" i="14"/>
  <c r="E37" i="14"/>
  <c r="D37" i="14"/>
  <c r="Y36" i="14"/>
  <c r="W36" i="14"/>
  <c r="E36" i="14"/>
  <c r="D36" i="14"/>
  <c r="Y35" i="14"/>
  <c r="W35" i="14"/>
  <c r="AA35" i="14" s="1"/>
  <c r="E35" i="14"/>
  <c r="D35" i="14"/>
  <c r="Y34" i="14"/>
  <c r="AA34" i="14" s="1"/>
  <c r="W34" i="14"/>
  <c r="E34" i="14"/>
  <c r="D34" i="14"/>
  <c r="Y33" i="14"/>
  <c r="E33" i="14"/>
  <c r="D33" i="14"/>
  <c r="E32" i="14"/>
  <c r="D32" i="14"/>
  <c r="E31" i="14"/>
  <c r="D31" i="14"/>
  <c r="AX27" i="14"/>
  <c r="AV27" i="14"/>
  <c r="AT27" i="14"/>
  <c r="AR27" i="14"/>
  <c r="AP27" i="14"/>
  <c r="AN27" i="14"/>
  <c r="AL27" i="14"/>
  <c r="AJ27" i="14"/>
  <c r="AH27" i="14"/>
  <c r="AF27" i="14"/>
  <c r="AD27" i="14"/>
  <c r="AB27" i="14"/>
  <c r="Z27" i="14"/>
  <c r="X27" i="14"/>
  <c r="V27" i="14"/>
  <c r="T27" i="14"/>
  <c r="R27" i="14"/>
  <c r="P27" i="14"/>
  <c r="N27" i="14"/>
  <c r="L27" i="14"/>
  <c r="J27" i="14"/>
  <c r="H27" i="14"/>
  <c r="F27" i="14"/>
  <c r="D27" i="14"/>
  <c r="AY26" i="14"/>
  <c r="AW26" i="14"/>
  <c r="AU26" i="14"/>
  <c r="AS26" i="14"/>
  <c r="AQ26" i="14"/>
  <c r="AO26" i="14"/>
  <c r="AM26" i="14"/>
  <c r="AK26" i="14"/>
  <c r="N40" i="14" s="1"/>
  <c r="AI26" i="14"/>
  <c r="AG26" i="14"/>
  <c r="M40" i="14" s="1"/>
  <c r="AE26" i="14"/>
  <c r="AC26" i="14"/>
  <c r="L40" i="14" s="1"/>
  <c r="AA26" i="14"/>
  <c r="Y26" i="14"/>
  <c r="W26" i="14"/>
  <c r="U26" i="14"/>
  <c r="J40" i="14" s="1"/>
  <c r="S26" i="14"/>
  <c r="Q26" i="14"/>
  <c r="I40" i="14" s="1"/>
  <c r="O26" i="14"/>
  <c r="M26" i="14"/>
  <c r="H40" i="14" s="1"/>
  <c r="K26" i="14"/>
  <c r="I26" i="14"/>
  <c r="G26" i="14"/>
  <c r="E26" i="14"/>
  <c r="F40" i="14" s="1"/>
  <c r="AY25" i="14"/>
  <c r="AW25" i="14"/>
  <c r="AU25" i="14"/>
  <c r="AS25" i="14"/>
  <c r="AQ25" i="14"/>
  <c r="AO25" i="14"/>
  <c r="AM25" i="14"/>
  <c r="AK25" i="14"/>
  <c r="N39" i="14" s="1"/>
  <c r="AI25" i="14"/>
  <c r="AG25" i="14"/>
  <c r="M39" i="14" s="1"/>
  <c r="AE25" i="14"/>
  <c r="AC25" i="14"/>
  <c r="L39" i="14" s="1"/>
  <c r="AA25" i="14"/>
  <c r="Y25" i="14"/>
  <c r="W25" i="14"/>
  <c r="U25" i="14"/>
  <c r="J39" i="14" s="1"/>
  <c r="S25" i="14"/>
  <c r="Q25" i="14"/>
  <c r="I39" i="14" s="1"/>
  <c r="O25" i="14"/>
  <c r="M25" i="14"/>
  <c r="H39" i="14" s="1"/>
  <c r="K25" i="14"/>
  <c r="I25" i="14"/>
  <c r="G25" i="14"/>
  <c r="E25" i="14"/>
  <c r="AY24" i="14"/>
  <c r="AW24" i="14"/>
  <c r="AU24" i="14"/>
  <c r="AS24" i="14"/>
  <c r="AQ24" i="14"/>
  <c r="AO24" i="14"/>
  <c r="AM24" i="14"/>
  <c r="AK24" i="14"/>
  <c r="N38" i="14" s="1"/>
  <c r="AI24" i="14"/>
  <c r="AG24" i="14"/>
  <c r="M38" i="14" s="1"/>
  <c r="AE24" i="14"/>
  <c r="AC24" i="14"/>
  <c r="L38" i="14" s="1"/>
  <c r="AA24" i="14"/>
  <c r="Y24" i="14"/>
  <c r="W24" i="14"/>
  <c r="U24" i="14"/>
  <c r="J38" i="14" s="1"/>
  <c r="S24" i="14"/>
  <c r="Q24" i="14"/>
  <c r="I38" i="14" s="1"/>
  <c r="O24" i="14"/>
  <c r="M24" i="14"/>
  <c r="H38" i="14" s="1"/>
  <c r="K24" i="14"/>
  <c r="I24" i="14"/>
  <c r="G24" i="14"/>
  <c r="E24" i="14"/>
  <c r="F38" i="14" s="1"/>
  <c r="AY23" i="14"/>
  <c r="AW23" i="14"/>
  <c r="AU23" i="14"/>
  <c r="AS23" i="14"/>
  <c r="AQ23" i="14"/>
  <c r="AO23" i="14"/>
  <c r="AM23" i="14"/>
  <c r="AK23" i="14"/>
  <c r="N37" i="14" s="1"/>
  <c r="AI23" i="14"/>
  <c r="AG23" i="14"/>
  <c r="M37" i="14" s="1"/>
  <c r="AE23" i="14"/>
  <c r="AC23" i="14"/>
  <c r="L37" i="14" s="1"/>
  <c r="AA23" i="14"/>
  <c r="Y23" i="14"/>
  <c r="W23" i="14"/>
  <c r="U23" i="14"/>
  <c r="J37" i="14" s="1"/>
  <c r="S23" i="14"/>
  <c r="Q23" i="14"/>
  <c r="I37" i="14" s="1"/>
  <c r="O23" i="14"/>
  <c r="M23" i="14"/>
  <c r="H37" i="14" s="1"/>
  <c r="K23" i="14"/>
  <c r="I23" i="14"/>
  <c r="G23" i="14"/>
  <c r="E23" i="14"/>
  <c r="F37" i="14" s="1"/>
  <c r="AY22" i="14"/>
  <c r="AW22" i="14"/>
  <c r="AU22" i="14"/>
  <c r="AS22" i="14"/>
  <c r="AQ22" i="14"/>
  <c r="AO22" i="14"/>
  <c r="AM22" i="14"/>
  <c r="AK22" i="14"/>
  <c r="N36" i="14" s="1"/>
  <c r="AI22" i="14"/>
  <c r="AG22" i="14"/>
  <c r="M36" i="14" s="1"/>
  <c r="AE22" i="14"/>
  <c r="AC22" i="14"/>
  <c r="L36" i="14" s="1"/>
  <c r="AA22" i="14"/>
  <c r="Y22" i="14"/>
  <c r="W22" i="14"/>
  <c r="U22" i="14"/>
  <c r="J36" i="14" s="1"/>
  <c r="S22" i="14"/>
  <c r="Q22" i="14"/>
  <c r="I36" i="14" s="1"/>
  <c r="O22" i="14"/>
  <c r="M22" i="14"/>
  <c r="H36" i="14" s="1"/>
  <c r="K22" i="14"/>
  <c r="I22" i="14"/>
  <c r="G22" i="14"/>
  <c r="E22" i="14"/>
  <c r="F36" i="14" s="1"/>
  <c r="AY21" i="14"/>
  <c r="AW21" i="14"/>
  <c r="AU21" i="14"/>
  <c r="AS21" i="14"/>
  <c r="AQ21" i="14"/>
  <c r="AO21" i="14"/>
  <c r="AM21" i="14"/>
  <c r="AK21" i="14"/>
  <c r="N35" i="14" s="1"/>
  <c r="AI21" i="14"/>
  <c r="AG21" i="14"/>
  <c r="M35" i="14" s="1"/>
  <c r="AE21" i="14"/>
  <c r="AC21" i="14"/>
  <c r="L35" i="14" s="1"/>
  <c r="AA21" i="14"/>
  <c r="Y21" i="14"/>
  <c r="W21" i="14"/>
  <c r="U21" i="14"/>
  <c r="J35" i="14" s="1"/>
  <c r="S21" i="14"/>
  <c r="Q21" i="14"/>
  <c r="I35" i="14" s="1"/>
  <c r="O21" i="14"/>
  <c r="M21" i="14"/>
  <c r="H35" i="14" s="1"/>
  <c r="K21" i="14"/>
  <c r="I21" i="14"/>
  <c r="G21" i="14"/>
  <c r="E21" i="14"/>
  <c r="F35" i="14" s="1"/>
  <c r="AY20" i="14"/>
  <c r="AW20" i="14"/>
  <c r="AU20" i="14"/>
  <c r="AS20" i="14"/>
  <c r="AQ20" i="14"/>
  <c r="AO20" i="14"/>
  <c r="AM20" i="14"/>
  <c r="AK20" i="14"/>
  <c r="N34" i="14" s="1"/>
  <c r="AI20" i="14"/>
  <c r="AG20" i="14"/>
  <c r="M34" i="14" s="1"/>
  <c r="AE20" i="14"/>
  <c r="AC20" i="14"/>
  <c r="L34" i="14" s="1"/>
  <c r="AA20" i="14"/>
  <c r="Y20" i="14"/>
  <c r="W20" i="14"/>
  <c r="U20" i="14"/>
  <c r="J34" i="14" s="1"/>
  <c r="S20" i="14"/>
  <c r="Q20" i="14"/>
  <c r="I34" i="14" s="1"/>
  <c r="O20" i="14"/>
  <c r="M20" i="14"/>
  <c r="H34" i="14" s="1"/>
  <c r="K20" i="14"/>
  <c r="I20" i="14"/>
  <c r="G20" i="14"/>
  <c r="E20" i="14"/>
  <c r="F34" i="14" s="1"/>
  <c r="AY19" i="14"/>
  <c r="AW19" i="14"/>
  <c r="AU19" i="14"/>
  <c r="AS19" i="14"/>
  <c r="AQ19" i="14"/>
  <c r="AO19" i="14"/>
  <c r="AM19" i="14"/>
  <c r="AK19" i="14"/>
  <c r="N33" i="14" s="1"/>
  <c r="AI19" i="14"/>
  <c r="AG19" i="14"/>
  <c r="M33" i="14" s="1"/>
  <c r="AE19" i="14"/>
  <c r="AC19" i="14"/>
  <c r="L33" i="14" s="1"/>
  <c r="AA19" i="14"/>
  <c r="Y19" i="14"/>
  <c r="W19" i="14"/>
  <c r="U19" i="14"/>
  <c r="J33" i="14" s="1"/>
  <c r="S19" i="14"/>
  <c r="Q19" i="14"/>
  <c r="I33" i="14" s="1"/>
  <c r="O19" i="14"/>
  <c r="M19" i="14"/>
  <c r="H33" i="14" s="1"/>
  <c r="K19" i="14"/>
  <c r="I19" i="14"/>
  <c r="G19" i="14"/>
  <c r="E19" i="14"/>
  <c r="F33" i="14" s="1"/>
  <c r="AY18" i="14"/>
  <c r="AW18" i="14"/>
  <c r="AU18" i="14"/>
  <c r="AS18" i="14"/>
  <c r="AQ18" i="14"/>
  <c r="AO18" i="14"/>
  <c r="AM18" i="14"/>
  <c r="AK18" i="14"/>
  <c r="N32" i="14" s="1"/>
  <c r="AI18" i="14"/>
  <c r="AG18" i="14"/>
  <c r="M32" i="14" s="1"/>
  <c r="AE18" i="14"/>
  <c r="AC18" i="14"/>
  <c r="L32" i="14" s="1"/>
  <c r="AA18" i="14"/>
  <c r="Y18" i="14"/>
  <c r="W18" i="14"/>
  <c r="U18" i="14"/>
  <c r="J32" i="14" s="1"/>
  <c r="S18" i="14"/>
  <c r="Q18" i="14"/>
  <c r="I32" i="14" s="1"/>
  <c r="O18" i="14"/>
  <c r="M18" i="14"/>
  <c r="H32" i="14" s="1"/>
  <c r="K18" i="14"/>
  <c r="I18" i="14"/>
  <c r="G18" i="14"/>
  <c r="E18" i="14"/>
  <c r="AY17" i="14"/>
  <c r="AY27" i="14" s="1"/>
  <c r="AW17" i="14"/>
  <c r="AW27" i="14" s="1"/>
  <c r="AU17" i="14"/>
  <c r="AU27" i="14" s="1"/>
  <c r="AS17" i="14"/>
  <c r="AS27" i="14" s="1"/>
  <c r="AQ17" i="14"/>
  <c r="AQ27" i="14" s="1"/>
  <c r="AO17" i="14"/>
  <c r="AM17" i="14"/>
  <c r="AM27" i="14" s="1"/>
  <c r="AK17" i="14"/>
  <c r="AK27" i="14" s="1"/>
  <c r="AI17" i="14"/>
  <c r="AI27" i="14" s="1"/>
  <c r="AG17" i="14"/>
  <c r="M31" i="14" s="1"/>
  <c r="AE17" i="14"/>
  <c r="AC17" i="14"/>
  <c r="L31" i="14" s="1"/>
  <c r="AA17" i="14"/>
  <c r="AA27" i="14" s="1"/>
  <c r="Y17" i="14"/>
  <c r="W17" i="14"/>
  <c r="W27" i="14" s="1"/>
  <c r="U17" i="14"/>
  <c r="U27" i="14" s="1"/>
  <c r="S17" i="14"/>
  <c r="S27" i="14" s="1"/>
  <c r="Q17" i="14"/>
  <c r="I31" i="14" s="1"/>
  <c r="O17" i="14"/>
  <c r="O27" i="14" s="1"/>
  <c r="M17" i="14"/>
  <c r="H31" i="14" s="1"/>
  <c r="K17" i="14"/>
  <c r="K27" i="14" s="1"/>
  <c r="I17" i="14"/>
  <c r="G17" i="14"/>
  <c r="G27" i="14" s="1"/>
  <c r="E17" i="14"/>
  <c r="F31" i="14" s="1"/>
  <c r="C11" i="14"/>
  <c r="C10" i="14"/>
  <c r="G9" i="14"/>
  <c r="C9" i="14"/>
  <c r="G8" i="14"/>
  <c r="A2" i="14"/>
  <c r="D41" i="3"/>
  <c r="C48" i="3"/>
  <c r="C57" i="3"/>
  <c r="C49" i="3"/>
  <c r="C62" i="3"/>
  <c r="C61" i="3"/>
  <c r="C60" i="3"/>
  <c r="C58" i="3"/>
  <c r="D58" i="3"/>
  <c r="C55" i="3"/>
  <c r="D56" i="3"/>
  <c r="D44" i="3"/>
  <c r="D45" i="3"/>
  <c r="D60" i="3"/>
  <c r="D43" i="3"/>
  <c r="C59" i="3"/>
  <c r="D42" i="3"/>
  <c r="C46" i="3"/>
  <c r="C39" i="3"/>
  <c r="C44" i="3"/>
  <c r="C40" i="3"/>
  <c r="C54" i="3"/>
  <c r="C50" i="3"/>
  <c r="D40" i="3"/>
  <c r="C43" i="3"/>
  <c r="C45" i="3"/>
  <c r="C41" i="3"/>
  <c r="D59" i="3"/>
  <c r="D57" i="3"/>
  <c r="D47" i="3"/>
  <c r="C51" i="3"/>
  <c r="C53" i="3"/>
  <c r="C47" i="3"/>
  <c r="C42" i="3"/>
  <c r="D62" i="3"/>
  <c r="D50" i="3"/>
  <c r="D51" i="3"/>
  <c r="D52" i="3"/>
  <c r="D55" i="3"/>
  <c r="D46" i="3"/>
  <c r="D53" i="3"/>
  <c r="C56" i="3"/>
  <c r="C52" i="3"/>
  <c r="D48" i="3"/>
  <c r="D61" i="3"/>
  <c r="D54" i="3"/>
  <c r="D49" i="3"/>
  <c r="D39" i="3"/>
  <c r="G35" i="15" l="1"/>
  <c r="I36" i="15"/>
  <c r="F37" i="15"/>
  <c r="Z38" i="15"/>
  <c r="Z41" i="15"/>
  <c r="X41" i="14"/>
  <c r="AB41" i="14" s="1"/>
  <c r="M27" i="15"/>
  <c r="Z35" i="15"/>
  <c r="Z43" i="15" s="1"/>
  <c r="AE27" i="14"/>
  <c r="Z34" i="14"/>
  <c r="Z35" i="14"/>
  <c r="Z36" i="14"/>
  <c r="Z37" i="14"/>
  <c r="Z38" i="14"/>
  <c r="Z39" i="14"/>
  <c r="Z40" i="14"/>
  <c r="Z41" i="14"/>
  <c r="Z42" i="14"/>
  <c r="G31" i="14"/>
  <c r="K31" i="14"/>
  <c r="O31" i="14"/>
  <c r="G32" i="14"/>
  <c r="P32" i="14" s="1"/>
  <c r="K32" i="14"/>
  <c r="K42" i="14" s="1"/>
  <c r="K48" i="14" s="1"/>
  <c r="O32" i="14"/>
  <c r="O42" i="14" s="1"/>
  <c r="O49" i="14" s="1"/>
  <c r="G33" i="14"/>
  <c r="K33" i="14"/>
  <c r="O33" i="14"/>
  <c r="G34" i="14"/>
  <c r="K34" i="14"/>
  <c r="O34" i="14"/>
  <c r="G35" i="14"/>
  <c r="P35" i="14" s="1"/>
  <c r="K35" i="14"/>
  <c r="O35" i="14"/>
  <c r="G36" i="14"/>
  <c r="K36" i="14"/>
  <c r="P36" i="14" s="1"/>
  <c r="O36" i="14"/>
  <c r="K37" i="14"/>
  <c r="O37" i="14"/>
  <c r="G38" i="14"/>
  <c r="K38" i="14"/>
  <c r="P38" i="14" s="1"/>
  <c r="O38" i="14"/>
  <c r="G39" i="14"/>
  <c r="K39" i="14"/>
  <c r="O39" i="14"/>
  <c r="G40" i="14"/>
  <c r="P40" i="14" s="1"/>
  <c r="K40" i="14"/>
  <c r="O40" i="14"/>
  <c r="AA40" i="14"/>
  <c r="I34" i="15"/>
  <c r="F35" i="15"/>
  <c r="H39" i="15"/>
  <c r="P39" i="15" s="1"/>
  <c r="Z42" i="15"/>
  <c r="AA37" i="15"/>
  <c r="D77" i="15"/>
  <c r="E58" i="15" s="1"/>
  <c r="E77" i="15" s="1"/>
  <c r="F58" i="15" s="1"/>
  <c r="F77" i="15" s="1"/>
  <c r="G58" i="15" s="1"/>
  <c r="G77" i="15" s="1"/>
  <c r="H58" i="15" s="1"/>
  <c r="H77" i="15" s="1"/>
  <c r="I58" i="15" s="1"/>
  <c r="I77" i="15" s="1"/>
  <c r="J58" i="15" s="1"/>
  <c r="J77" i="15" s="1"/>
  <c r="K58" i="15" s="1"/>
  <c r="K77" i="15" s="1"/>
  <c r="L58" i="15" s="1"/>
  <c r="L77" i="15" s="1"/>
  <c r="M58" i="15" s="1"/>
  <c r="M77" i="15" s="1"/>
  <c r="N58" i="15" s="1"/>
  <c r="N77" i="15" s="1"/>
  <c r="O58" i="15" s="1"/>
  <c r="O77" i="15" s="1"/>
  <c r="E39" i="3"/>
  <c r="E43" i="3"/>
  <c r="E45" i="3"/>
  <c r="E50" i="3"/>
  <c r="E46" i="3"/>
  <c r="E40" i="3"/>
  <c r="E47" i="3"/>
  <c r="E49" i="3"/>
  <c r="E42" i="3"/>
  <c r="E44" i="3"/>
  <c r="E41" i="3"/>
  <c r="E48" i="3"/>
  <c r="M27" i="14"/>
  <c r="AA33" i="14"/>
  <c r="AA38" i="14"/>
  <c r="AA42" i="14"/>
  <c r="D77" i="14"/>
  <c r="E58" i="14" s="1"/>
  <c r="E77" i="14" s="1"/>
  <c r="F58" i="14" s="1"/>
  <c r="F77" i="14" s="1"/>
  <c r="G58" i="14" s="1"/>
  <c r="G77" i="14" s="1"/>
  <c r="H58" i="14" s="1"/>
  <c r="H77" i="14" s="1"/>
  <c r="I58" i="14" s="1"/>
  <c r="I77" i="14" s="1"/>
  <c r="J58" i="14" s="1"/>
  <c r="J77" i="14" s="1"/>
  <c r="K58" i="14" s="1"/>
  <c r="K77" i="14" s="1"/>
  <c r="L58" i="14" s="1"/>
  <c r="L77" i="14" s="1"/>
  <c r="M58" i="14" s="1"/>
  <c r="M77" i="14" s="1"/>
  <c r="N58" i="14" s="1"/>
  <c r="N77" i="14" s="1"/>
  <c r="O58" i="14" s="1"/>
  <c r="O77" i="14" s="1"/>
  <c r="G27" i="15"/>
  <c r="O27" i="15"/>
  <c r="H32" i="15"/>
  <c r="G33" i="15"/>
  <c r="I33" i="15"/>
  <c r="Z36" i="15"/>
  <c r="Z39" i="15"/>
  <c r="H38" i="15"/>
  <c r="F40" i="15"/>
  <c r="P40" i="15" s="1"/>
  <c r="H40" i="15"/>
  <c r="P77" i="15"/>
  <c r="X39" i="14"/>
  <c r="AC27" i="14"/>
  <c r="N31" i="14"/>
  <c r="N42" i="14" s="1"/>
  <c r="Z34" i="15"/>
  <c r="G34" i="15"/>
  <c r="H35" i="15"/>
  <c r="F36" i="15"/>
  <c r="H36" i="15"/>
  <c r="G37" i="15"/>
  <c r="I37" i="15"/>
  <c r="P37" i="15" s="1"/>
  <c r="Z40" i="15"/>
  <c r="AA39" i="15"/>
  <c r="AA41" i="15"/>
  <c r="Z33" i="14"/>
  <c r="W43" i="14"/>
  <c r="AA37" i="14"/>
  <c r="AA41" i="14"/>
  <c r="K27" i="15"/>
  <c r="S27" i="15"/>
  <c r="G32" i="15"/>
  <c r="I32" i="15"/>
  <c r="F33" i="15"/>
  <c r="G38" i="15"/>
  <c r="I38" i="15"/>
  <c r="G40" i="15"/>
  <c r="I40" i="15"/>
  <c r="Z33" i="15"/>
  <c r="AA34" i="15"/>
  <c r="AA38" i="15"/>
  <c r="F31" i="15"/>
  <c r="AA42" i="15"/>
  <c r="E52" i="3"/>
  <c r="E58" i="3"/>
  <c r="E54" i="3"/>
  <c r="E60" i="3"/>
  <c r="E51" i="3"/>
  <c r="E53" i="3"/>
  <c r="E55" i="3"/>
  <c r="E57" i="3"/>
  <c r="E59" i="3"/>
  <c r="E61" i="3"/>
  <c r="E56" i="3"/>
  <c r="E62" i="3"/>
  <c r="W43" i="15"/>
  <c r="Y43" i="15"/>
  <c r="AA35" i="15"/>
  <c r="D42" i="15"/>
  <c r="D49" i="15" s="1"/>
  <c r="I31" i="15"/>
  <c r="Q27" i="15"/>
  <c r="M31" i="15"/>
  <c r="AG27" i="15"/>
  <c r="X34" i="15"/>
  <c r="X36" i="15"/>
  <c r="X37" i="15"/>
  <c r="AB37" i="15" s="1"/>
  <c r="X40" i="15"/>
  <c r="X41" i="15"/>
  <c r="N42" i="15"/>
  <c r="N47" i="15" s="1"/>
  <c r="N49" i="15"/>
  <c r="P35" i="15"/>
  <c r="I27" i="15"/>
  <c r="G31" i="15"/>
  <c r="AO27" i="15"/>
  <c r="O31" i="15"/>
  <c r="J42" i="15"/>
  <c r="J49" i="15" s="1"/>
  <c r="P36" i="15"/>
  <c r="X39" i="15"/>
  <c r="AA40" i="15"/>
  <c r="Y27" i="15"/>
  <c r="K31" i="15"/>
  <c r="X35" i="15"/>
  <c r="AA36" i="15"/>
  <c r="F32" i="15"/>
  <c r="AA33" i="15"/>
  <c r="F34" i="15"/>
  <c r="F38" i="15"/>
  <c r="X38" i="15"/>
  <c r="E42" i="15"/>
  <c r="E48" i="15" s="1"/>
  <c r="H31" i="15"/>
  <c r="L31" i="15"/>
  <c r="X33" i="15"/>
  <c r="X42" i="15"/>
  <c r="AB42" i="15" s="1"/>
  <c r="I42" i="14"/>
  <c r="I48" i="14"/>
  <c r="I49" i="14"/>
  <c r="M42" i="14"/>
  <c r="M48" i="14" s="1"/>
  <c r="P33" i="14"/>
  <c r="L42" i="14"/>
  <c r="L48" i="14" s="1"/>
  <c r="G37" i="14"/>
  <c r="Y43" i="14"/>
  <c r="P34" i="14"/>
  <c r="X40" i="14"/>
  <c r="D42" i="14"/>
  <c r="X34" i="14"/>
  <c r="AB34" i="14" s="1"/>
  <c r="F32" i="14"/>
  <c r="F42" i="14" s="1"/>
  <c r="X42" i="14"/>
  <c r="AB42" i="14" s="1"/>
  <c r="I27" i="14"/>
  <c r="AO27" i="14"/>
  <c r="J31" i="14"/>
  <c r="P31" i="14" s="1"/>
  <c r="Z43" i="14"/>
  <c r="F39" i="14"/>
  <c r="Q27" i="14"/>
  <c r="AG27" i="14"/>
  <c r="X33" i="14"/>
  <c r="X37" i="14"/>
  <c r="X38" i="14"/>
  <c r="Y27" i="14"/>
  <c r="X35" i="14"/>
  <c r="AB35" i="14" s="1"/>
  <c r="AA36" i="14"/>
  <c r="AA43" i="14" s="1"/>
  <c r="E27" i="14"/>
  <c r="E42" i="14"/>
  <c r="E48" i="14" s="1"/>
  <c r="X36" i="14"/>
  <c r="AB36" i="14" s="1"/>
  <c r="H42" i="14"/>
  <c r="H47" i="14" s="1"/>
  <c r="C57" i="12"/>
  <c r="D57" i="12"/>
  <c r="E57" i="12"/>
  <c r="N47" i="14" l="1"/>
  <c r="N48" i="14"/>
  <c r="AB38" i="14"/>
  <c r="AB35" i="15"/>
  <c r="AB37" i="14"/>
  <c r="P37" i="14"/>
  <c r="P42" i="14" s="1"/>
  <c r="AB39" i="14"/>
  <c r="G42" i="14"/>
  <c r="G48" i="14" s="1"/>
  <c r="AB38" i="15"/>
  <c r="P33" i="15"/>
  <c r="P38" i="15"/>
  <c r="L49" i="14"/>
  <c r="AB40" i="14"/>
  <c r="K47" i="14"/>
  <c r="AB41" i="15"/>
  <c r="P39" i="14"/>
  <c r="AB40" i="15"/>
  <c r="N49" i="14"/>
  <c r="N48" i="15"/>
  <c r="D48" i="15"/>
  <c r="P34" i="15"/>
  <c r="AB39" i="15"/>
  <c r="AB36" i="15"/>
  <c r="G48" i="3"/>
  <c r="F12" i="12" s="1"/>
  <c r="F12" i="11"/>
  <c r="F12" i="13" s="1"/>
  <c r="G44" i="3"/>
  <c r="F8" i="12" s="1"/>
  <c r="F8" i="11"/>
  <c r="F8" i="13" s="1"/>
  <c r="N51" i="14"/>
  <c r="O47" i="14"/>
  <c r="G41" i="3"/>
  <c r="F5" i="12" s="1"/>
  <c r="F5" i="11"/>
  <c r="F5" i="13" s="1"/>
  <c r="G42" i="3"/>
  <c r="F6" i="12" s="1"/>
  <c r="F6" i="11"/>
  <c r="F6" i="13" s="1"/>
  <c r="G49" i="3"/>
  <c r="F13" i="12" s="1"/>
  <c r="F13" i="11"/>
  <c r="F13" i="13" s="1"/>
  <c r="G40" i="3"/>
  <c r="F4" i="12" s="1"/>
  <c r="F4" i="11"/>
  <c r="F4" i="13" s="1"/>
  <c r="L47" i="14"/>
  <c r="L51" i="14" s="1"/>
  <c r="L53" i="14" s="1"/>
  <c r="P32" i="15"/>
  <c r="AB34" i="15"/>
  <c r="G47" i="3"/>
  <c r="F11" i="12" s="1"/>
  <c r="F11" i="11"/>
  <c r="F11" i="13" s="1"/>
  <c r="G46" i="3"/>
  <c r="F10" i="12" s="1"/>
  <c r="F10" i="11"/>
  <c r="F10" i="13" s="1"/>
  <c r="G45" i="3"/>
  <c r="F9" i="12" s="1"/>
  <c r="F9" i="11"/>
  <c r="F9" i="13" s="1"/>
  <c r="G50" i="3"/>
  <c r="F14" i="12" s="1"/>
  <c r="F14" i="11"/>
  <c r="F14" i="13" s="1"/>
  <c r="G43" i="3"/>
  <c r="F7" i="12" s="1"/>
  <c r="F7" i="11"/>
  <c r="F7" i="13" s="1"/>
  <c r="G39" i="3"/>
  <c r="F3" i="12" s="1"/>
  <c r="F3" i="11"/>
  <c r="N51" i="15"/>
  <c r="N53" i="15" s="1"/>
  <c r="G53" i="3"/>
  <c r="G5" i="12" s="1"/>
  <c r="G5" i="11"/>
  <c r="G5" i="13" s="1"/>
  <c r="J47" i="15"/>
  <c r="G59" i="3"/>
  <c r="G11" i="12" s="1"/>
  <c r="G11" i="11"/>
  <c r="G11" i="13" s="1"/>
  <c r="G51" i="3"/>
  <c r="G3" i="12" s="1"/>
  <c r="G3" i="11"/>
  <c r="G61" i="3"/>
  <c r="G13" i="12" s="1"/>
  <c r="G13" i="11"/>
  <c r="G13" i="13" s="1"/>
  <c r="J48" i="15"/>
  <c r="G14" i="11"/>
  <c r="G14" i="13" s="1"/>
  <c r="G62" i="3"/>
  <c r="G14" i="12" s="1"/>
  <c r="G57" i="3"/>
  <c r="G9" i="12" s="1"/>
  <c r="G9" i="11"/>
  <c r="G9" i="13" s="1"/>
  <c r="G12" i="11"/>
  <c r="G12" i="13" s="1"/>
  <c r="G60" i="3"/>
  <c r="G12" i="12" s="1"/>
  <c r="G58" i="3"/>
  <c r="G10" i="12" s="1"/>
  <c r="G10" i="11"/>
  <c r="G10" i="13" s="1"/>
  <c r="G56" i="3"/>
  <c r="G8" i="12" s="1"/>
  <c r="G8" i="11"/>
  <c r="G8" i="13" s="1"/>
  <c r="G55" i="3"/>
  <c r="G7" i="12" s="1"/>
  <c r="G7" i="11"/>
  <c r="G7" i="13" s="1"/>
  <c r="G6" i="11"/>
  <c r="G6" i="13" s="1"/>
  <c r="G54" i="3"/>
  <c r="G6" i="12" s="1"/>
  <c r="G4" i="11"/>
  <c r="G4" i="13" s="1"/>
  <c r="G52" i="3"/>
  <c r="G4" i="12" s="1"/>
  <c r="E49" i="15"/>
  <c r="E47" i="15"/>
  <c r="D47" i="15"/>
  <c r="L42" i="15"/>
  <c r="K42" i="15"/>
  <c r="K48" i="15" s="1"/>
  <c r="K49" i="15"/>
  <c r="H42" i="15"/>
  <c r="O42" i="15"/>
  <c r="O49" i="15" s="1"/>
  <c r="M42" i="15"/>
  <c r="M47" i="15" s="1"/>
  <c r="AB33" i="15"/>
  <c r="X43" i="15"/>
  <c r="D51" i="15"/>
  <c r="D53" i="15" s="1"/>
  <c r="F42" i="15"/>
  <c r="F48" i="15" s="1"/>
  <c r="I42" i="15"/>
  <c r="P31" i="15"/>
  <c r="AA43" i="15"/>
  <c r="F47" i="15"/>
  <c r="G42" i="15"/>
  <c r="G49" i="15"/>
  <c r="G48" i="15"/>
  <c r="G47" i="15"/>
  <c r="F47" i="14"/>
  <c r="F49" i="14"/>
  <c r="F48" i="14"/>
  <c r="G49" i="14"/>
  <c r="D49" i="14"/>
  <c r="J42" i="14"/>
  <c r="J49" i="14"/>
  <c r="J47" i="14"/>
  <c r="J48" i="14"/>
  <c r="E49" i="14"/>
  <c r="D47" i="14"/>
  <c r="E47" i="14"/>
  <c r="H48" i="14"/>
  <c r="N53" i="14"/>
  <c r="K49" i="14"/>
  <c r="K51" i="14" s="1"/>
  <c r="K53" i="14" s="1"/>
  <c r="M47" i="14"/>
  <c r="D48" i="14"/>
  <c r="AB33" i="14"/>
  <c r="AB43" i="14" s="1"/>
  <c r="X43" i="14"/>
  <c r="O48" i="14"/>
  <c r="M49" i="14"/>
  <c r="H49" i="14"/>
  <c r="I47" i="14"/>
  <c r="I51" i="14" s="1"/>
  <c r="I53" i="14" s="1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3" i="3"/>
  <c r="D4" i="3"/>
  <c r="C3" i="3"/>
  <c r="C4" i="3"/>
  <c r="D5" i="3"/>
  <c r="C6" i="3"/>
  <c r="D7" i="3"/>
  <c r="D8" i="3"/>
  <c r="D3" i="3"/>
  <c r="D6" i="3"/>
  <c r="P42" i="15" l="1"/>
  <c r="G47" i="14"/>
  <c r="O51" i="14"/>
  <c r="O53" i="14" s="1"/>
  <c r="AB43" i="15"/>
  <c r="E51" i="15"/>
  <c r="E53" i="15" s="1"/>
  <c r="P48" i="14"/>
  <c r="F19" i="12"/>
  <c r="F18" i="12"/>
  <c r="F17" i="12"/>
  <c r="H51" i="14"/>
  <c r="H53" i="14" s="1"/>
  <c r="G51" i="14"/>
  <c r="G53" i="14" s="1"/>
  <c r="J51" i="14"/>
  <c r="J53" i="14" s="1"/>
  <c r="F3" i="13"/>
  <c r="F18" i="11"/>
  <c r="F17" i="11"/>
  <c r="F16" i="11"/>
  <c r="M48" i="15"/>
  <c r="M49" i="15"/>
  <c r="K47" i="15"/>
  <c r="K51" i="15" s="1"/>
  <c r="K53" i="15" s="1"/>
  <c r="J51" i="15"/>
  <c r="J53" i="15" s="1"/>
  <c r="G18" i="12"/>
  <c r="G19" i="12"/>
  <c r="G17" i="12"/>
  <c r="H20" i="12" s="1"/>
  <c r="O48" i="15"/>
  <c r="G3" i="13"/>
  <c r="G16" i="11"/>
  <c r="G17" i="11"/>
  <c r="G18" i="11"/>
  <c r="E51" i="14"/>
  <c r="I49" i="15"/>
  <c r="H47" i="15"/>
  <c r="L47" i="15"/>
  <c r="G51" i="15"/>
  <c r="G53" i="15" s="1"/>
  <c r="I47" i="15"/>
  <c r="O47" i="15"/>
  <c r="F49" i="15"/>
  <c r="H48" i="15"/>
  <c r="L48" i="15"/>
  <c r="I48" i="15"/>
  <c r="M51" i="15"/>
  <c r="M53" i="15" s="1"/>
  <c r="H49" i="15"/>
  <c r="L49" i="15"/>
  <c r="M51" i="14"/>
  <c r="M53" i="14" s="1"/>
  <c r="P47" i="14"/>
  <c r="D51" i="14"/>
  <c r="D53" i="14" s="1"/>
  <c r="P49" i="14"/>
  <c r="F51" i="14"/>
  <c r="P40" i="8"/>
  <c r="AA27" i="8"/>
  <c r="Y27" i="8"/>
  <c r="W27" i="8"/>
  <c r="U27" i="8"/>
  <c r="S27" i="8"/>
  <c r="Q27" i="8"/>
  <c r="O27" i="8"/>
  <c r="M27" i="8"/>
  <c r="K27" i="8"/>
  <c r="I27" i="8"/>
  <c r="G27" i="8"/>
  <c r="E27" i="8"/>
  <c r="AB17" i="8"/>
  <c r="AD17" i="8"/>
  <c r="C2" i="8"/>
  <c r="C7" i="3"/>
  <c r="C8" i="3"/>
  <c r="C5" i="3"/>
  <c r="P51" i="14" l="1"/>
  <c r="P53" i="14" s="1"/>
  <c r="G20" i="12"/>
  <c r="E41" i="8"/>
  <c r="I41" i="8"/>
  <c r="F16" i="13"/>
  <c r="F18" i="13"/>
  <c r="F17" i="13"/>
  <c r="O51" i="15"/>
  <c r="O53" i="15" s="1"/>
  <c r="P49" i="15"/>
  <c r="P48" i="15"/>
  <c r="G18" i="13"/>
  <c r="G17" i="13"/>
  <c r="G16" i="13"/>
  <c r="F51" i="15"/>
  <c r="L51" i="15"/>
  <c r="L53" i="15" s="1"/>
  <c r="I51" i="15"/>
  <c r="I53" i="15" s="1"/>
  <c r="H51" i="15"/>
  <c r="H53" i="15" s="1"/>
  <c r="P47" i="15"/>
  <c r="G41" i="8"/>
  <c r="D41" i="8"/>
  <c r="F41" i="8"/>
  <c r="H41" i="8"/>
  <c r="E3" i="3"/>
  <c r="C3" i="11" s="1"/>
  <c r="E4" i="3"/>
  <c r="C4" i="11" s="1"/>
  <c r="E5" i="3"/>
  <c r="C5" i="11" s="1"/>
  <c r="E7" i="3"/>
  <c r="C7" i="11" s="1"/>
  <c r="E6" i="3"/>
  <c r="C6" i="11" s="1"/>
  <c r="E8" i="3"/>
  <c r="C8" i="11" s="1"/>
  <c r="F3" i="3"/>
  <c r="F7" i="3"/>
  <c r="C26" i="11" s="1"/>
  <c r="F6" i="3"/>
  <c r="C25" i="11" s="1"/>
  <c r="F5" i="3"/>
  <c r="C24" i="11" s="1"/>
  <c r="F8" i="3"/>
  <c r="C27" i="11" s="1"/>
  <c r="F4" i="3"/>
  <c r="C23" i="11" s="1"/>
  <c r="P41" i="8" l="1"/>
  <c r="P51" i="15"/>
  <c r="P53" i="15" s="1"/>
  <c r="C22" i="11"/>
  <c r="C22" i="13" s="1"/>
  <c r="H4" i="3"/>
  <c r="C25" i="12" s="1"/>
  <c r="C23" i="13"/>
  <c r="H7" i="3"/>
  <c r="C28" i="12" s="1"/>
  <c r="C26" i="13"/>
  <c r="H8" i="3"/>
  <c r="C29" i="12" s="1"/>
  <c r="C27" i="13"/>
  <c r="H6" i="3"/>
  <c r="C27" i="12" s="1"/>
  <c r="C25" i="13"/>
  <c r="H5" i="3"/>
  <c r="C26" i="12" s="1"/>
  <c r="C24" i="13"/>
  <c r="H3" i="3"/>
  <c r="C24" i="12" s="1"/>
  <c r="G6" i="3"/>
  <c r="C6" i="12" s="1"/>
  <c r="G7" i="3"/>
  <c r="C7" i="12" s="1"/>
  <c r="G5" i="3"/>
  <c r="C5" i="12" s="1"/>
  <c r="G8" i="3"/>
  <c r="C8" i="12" s="1"/>
  <c r="G4" i="3"/>
  <c r="C4" i="12" s="1"/>
  <c r="G3" i="3"/>
  <c r="C3" i="12" s="1"/>
  <c r="C45" i="12" l="1"/>
  <c r="C48" i="12"/>
  <c r="C49" i="12"/>
  <c r="C47" i="12"/>
  <c r="C50" i="12"/>
  <c r="C46" i="12"/>
  <c r="C3" i="13"/>
  <c r="C41" i="13" s="1"/>
  <c r="C8" i="13"/>
  <c r="C46" i="13" s="1"/>
  <c r="C7" i="13"/>
  <c r="C45" i="13" s="1"/>
  <c r="C5" i="13"/>
  <c r="C43" i="13" s="1"/>
  <c r="C6" i="13"/>
  <c r="C44" i="13" s="1"/>
  <c r="C4" i="13"/>
  <c r="C43" i="11"/>
  <c r="C44" i="11"/>
  <c r="C45" i="11"/>
  <c r="C46" i="11"/>
  <c r="C42" i="11"/>
  <c r="C41" i="11"/>
  <c r="C42" i="13" l="1"/>
  <c r="AX26" i="8"/>
  <c r="AX25" i="8"/>
  <c r="AX24" i="8"/>
  <c r="AX23" i="8"/>
  <c r="AX22" i="8"/>
  <c r="AX21" i="8"/>
  <c r="AX20" i="8"/>
  <c r="AX19" i="8"/>
  <c r="AX18" i="8"/>
  <c r="AX17" i="8"/>
  <c r="AV26" i="8"/>
  <c r="AV25" i="8"/>
  <c r="AV24" i="8"/>
  <c r="AV23" i="8"/>
  <c r="AV22" i="8"/>
  <c r="AV21" i="8"/>
  <c r="AV20" i="8"/>
  <c r="AV19" i="8"/>
  <c r="AV18" i="8"/>
  <c r="AV17" i="8"/>
  <c r="AT26" i="8"/>
  <c r="AT25" i="8"/>
  <c r="AT24" i="8"/>
  <c r="AT23" i="8"/>
  <c r="AT22" i="8"/>
  <c r="AT21" i="8"/>
  <c r="AT20" i="8"/>
  <c r="AT19" i="8"/>
  <c r="AT18" i="8"/>
  <c r="AT17" i="8"/>
  <c r="AR26" i="8"/>
  <c r="AR25" i="8"/>
  <c r="AR24" i="8"/>
  <c r="AR23" i="8"/>
  <c r="AR22" i="8"/>
  <c r="AR21" i="8"/>
  <c r="AR20" i="8"/>
  <c r="AR19" i="8"/>
  <c r="AR18" i="8"/>
  <c r="AR17" i="8"/>
  <c r="AP26" i="8"/>
  <c r="AP25" i="8"/>
  <c r="AP24" i="8"/>
  <c r="AP23" i="8"/>
  <c r="AP22" i="8"/>
  <c r="AP21" i="8"/>
  <c r="AP20" i="8"/>
  <c r="AP19" i="8"/>
  <c r="AP18" i="8"/>
  <c r="AP17" i="8"/>
  <c r="AN26" i="8"/>
  <c r="AN25" i="8"/>
  <c r="AN24" i="8"/>
  <c r="AN23" i="8"/>
  <c r="AN22" i="8"/>
  <c r="AN21" i="8"/>
  <c r="AN20" i="8"/>
  <c r="AN19" i="8"/>
  <c r="AN18" i="8"/>
  <c r="AN17" i="8"/>
  <c r="AL26" i="8"/>
  <c r="AL25" i="8"/>
  <c r="AL24" i="8"/>
  <c r="AL23" i="8"/>
  <c r="AL22" i="8"/>
  <c r="AL21" i="8"/>
  <c r="AL20" i="8"/>
  <c r="AL19" i="8"/>
  <c r="AL18" i="8"/>
  <c r="AL17" i="8"/>
  <c r="AJ26" i="8"/>
  <c r="AJ25" i="8"/>
  <c r="AJ24" i="8"/>
  <c r="AJ23" i="8"/>
  <c r="AJ22" i="8"/>
  <c r="AJ21" i="8"/>
  <c r="AJ20" i="8"/>
  <c r="AJ19" i="8"/>
  <c r="AJ18" i="8"/>
  <c r="AJ17" i="8"/>
  <c r="AH26" i="8"/>
  <c r="AH25" i="8"/>
  <c r="AH24" i="8"/>
  <c r="AH23" i="8"/>
  <c r="AH22" i="8"/>
  <c r="AH21" i="8"/>
  <c r="AH20" i="8"/>
  <c r="AH19" i="8"/>
  <c r="AH18" i="8"/>
  <c r="AH17" i="8"/>
  <c r="AF26" i="8"/>
  <c r="AF25" i="8"/>
  <c r="AF24" i="8"/>
  <c r="AF23" i="8"/>
  <c r="AF22" i="8"/>
  <c r="AF21" i="8"/>
  <c r="AF20" i="8"/>
  <c r="AF19" i="8"/>
  <c r="AF18" i="8"/>
  <c r="AF17" i="8"/>
  <c r="AD26" i="8"/>
  <c r="AD25" i="8"/>
  <c r="AD24" i="8"/>
  <c r="AD23" i="8"/>
  <c r="AD22" i="8"/>
  <c r="AD21" i="8"/>
  <c r="AD20" i="8"/>
  <c r="AD19" i="8"/>
  <c r="AD18" i="8"/>
  <c r="Y34" i="8" s="1"/>
  <c r="Y33" i="8"/>
  <c r="AB18" i="8"/>
  <c r="AB19" i="8"/>
  <c r="AB20" i="8"/>
  <c r="AB21" i="8"/>
  <c r="AB22" i="8"/>
  <c r="AB23" i="8"/>
  <c r="AB24" i="8"/>
  <c r="AB25" i="8"/>
  <c r="AB26" i="8"/>
  <c r="P31" i="8"/>
  <c r="P33" i="8"/>
  <c r="P35" i="8"/>
  <c r="P37" i="8"/>
  <c r="P39" i="8"/>
  <c r="P32" i="8"/>
  <c r="P34" i="8"/>
  <c r="P36" i="8"/>
  <c r="P38" i="8"/>
  <c r="D42" i="8"/>
  <c r="P42" i="8" s="1"/>
  <c r="E43" i="8"/>
  <c r="H43" i="8"/>
  <c r="C11" i="8"/>
  <c r="C10" i="8"/>
  <c r="G9" i="8"/>
  <c r="C9" i="8"/>
  <c r="G8" i="8"/>
  <c r="A2" i="8"/>
  <c r="Y42" i="6"/>
  <c r="W42" i="6"/>
  <c r="E42" i="6"/>
  <c r="D42" i="6"/>
  <c r="Y41" i="6"/>
  <c r="W41" i="6"/>
  <c r="P41" i="6"/>
  <c r="Y40" i="6"/>
  <c r="W40" i="6"/>
  <c r="Y39" i="6"/>
  <c r="W39" i="6"/>
  <c r="Y38" i="6"/>
  <c r="W38" i="6"/>
  <c r="Y37" i="6"/>
  <c r="W37" i="6"/>
  <c r="Y36" i="6"/>
  <c r="W36" i="6"/>
  <c r="Y35" i="6"/>
  <c r="W35" i="6"/>
  <c r="Y34" i="6"/>
  <c r="W34" i="6"/>
  <c r="AA34" i="6" s="1"/>
  <c r="Y33" i="6"/>
  <c r="W33" i="6"/>
  <c r="AX27" i="6"/>
  <c r="AV27" i="6"/>
  <c r="AT27" i="6"/>
  <c r="AR27" i="6"/>
  <c r="AP27" i="6"/>
  <c r="AN27" i="6"/>
  <c r="AL27" i="6"/>
  <c r="AJ27" i="6"/>
  <c r="AH27" i="6"/>
  <c r="AF27" i="6"/>
  <c r="AD27" i="6"/>
  <c r="AB27" i="6"/>
  <c r="Z27" i="6"/>
  <c r="X27" i="6"/>
  <c r="V27" i="6"/>
  <c r="T27" i="6"/>
  <c r="R27" i="6"/>
  <c r="P27" i="6"/>
  <c r="N27" i="6"/>
  <c r="L27" i="6"/>
  <c r="J27" i="6"/>
  <c r="H27" i="6"/>
  <c r="F27" i="6"/>
  <c r="D27" i="6"/>
  <c r="AY26" i="6"/>
  <c r="AW26" i="6"/>
  <c r="AU26" i="6"/>
  <c r="AS26" i="6"/>
  <c r="AQ26" i="6"/>
  <c r="AO26" i="6"/>
  <c r="O40" i="6" s="1"/>
  <c r="AM26" i="6"/>
  <c r="AK26" i="6"/>
  <c r="AI26" i="6"/>
  <c r="AG26" i="6"/>
  <c r="M40" i="6" s="1"/>
  <c r="AE26" i="6"/>
  <c r="AC26" i="6"/>
  <c r="AA26" i="6"/>
  <c r="Y26" i="6"/>
  <c r="K40" i="6" s="1"/>
  <c r="W26" i="6"/>
  <c r="U26" i="6"/>
  <c r="S26" i="6"/>
  <c r="Q26" i="6"/>
  <c r="I40" i="6" s="1"/>
  <c r="O26" i="6"/>
  <c r="M26" i="6"/>
  <c r="K26" i="6"/>
  <c r="I26" i="6"/>
  <c r="G40" i="6" s="1"/>
  <c r="G26" i="6"/>
  <c r="E26" i="6"/>
  <c r="AY25" i="6"/>
  <c r="AW25" i="6"/>
  <c r="AU25" i="6"/>
  <c r="AS25" i="6"/>
  <c r="AQ25" i="6"/>
  <c r="AO25" i="6"/>
  <c r="O39" i="6" s="1"/>
  <c r="AM25" i="6"/>
  <c r="AK25" i="6"/>
  <c r="AI25" i="6"/>
  <c r="AG25" i="6"/>
  <c r="M39" i="6" s="1"/>
  <c r="AE25" i="6"/>
  <c r="AC25" i="6"/>
  <c r="AA25" i="6"/>
  <c r="Y25" i="6"/>
  <c r="K39" i="6" s="1"/>
  <c r="W25" i="6"/>
  <c r="U25" i="6"/>
  <c r="S25" i="6"/>
  <c r="Q25" i="6"/>
  <c r="I39" i="6" s="1"/>
  <c r="O25" i="6"/>
  <c r="M25" i="6"/>
  <c r="K25" i="6"/>
  <c r="I25" i="6"/>
  <c r="G39" i="6" s="1"/>
  <c r="G25" i="6"/>
  <c r="E25" i="6"/>
  <c r="AY24" i="6"/>
  <c r="AW24" i="6"/>
  <c r="AU24" i="6"/>
  <c r="AS24" i="6"/>
  <c r="AQ24" i="6"/>
  <c r="AO24" i="6"/>
  <c r="O38" i="6" s="1"/>
  <c r="AM24" i="6"/>
  <c r="AK24" i="6"/>
  <c r="AI24" i="6"/>
  <c r="AG24" i="6"/>
  <c r="M38" i="6" s="1"/>
  <c r="AE24" i="6"/>
  <c r="AC24" i="6"/>
  <c r="AA24" i="6"/>
  <c r="Y24" i="6"/>
  <c r="K38" i="6" s="1"/>
  <c r="W24" i="6"/>
  <c r="U24" i="6"/>
  <c r="S24" i="6"/>
  <c r="Q24" i="6"/>
  <c r="I38" i="6" s="1"/>
  <c r="O24" i="6"/>
  <c r="M24" i="6"/>
  <c r="K24" i="6"/>
  <c r="I24" i="6"/>
  <c r="G38" i="6" s="1"/>
  <c r="G24" i="6"/>
  <c r="E24" i="6"/>
  <c r="AY23" i="6"/>
  <c r="AW23" i="6"/>
  <c r="AU23" i="6"/>
  <c r="AS23" i="6"/>
  <c r="AQ23" i="6"/>
  <c r="AO23" i="6"/>
  <c r="O37" i="6" s="1"/>
  <c r="AM23" i="6"/>
  <c r="AK23" i="6"/>
  <c r="AI23" i="6"/>
  <c r="AG23" i="6"/>
  <c r="M37" i="6" s="1"/>
  <c r="AE23" i="6"/>
  <c r="AC23" i="6"/>
  <c r="AA23" i="6"/>
  <c r="Y23" i="6"/>
  <c r="K37" i="6" s="1"/>
  <c r="W23" i="6"/>
  <c r="U23" i="6"/>
  <c r="S23" i="6"/>
  <c r="Q23" i="6"/>
  <c r="I37" i="6" s="1"/>
  <c r="O23" i="6"/>
  <c r="M23" i="6"/>
  <c r="K23" i="6"/>
  <c r="I23" i="6"/>
  <c r="G37" i="6" s="1"/>
  <c r="G23" i="6"/>
  <c r="E23" i="6"/>
  <c r="AY22" i="6"/>
  <c r="AW22" i="6"/>
  <c r="AU22" i="6"/>
  <c r="AS22" i="6"/>
  <c r="AQ22" i="6"/>
  <c r="AO22" i="6"/>
  <c r="O36" i="6" s="1"/>
  <c r="AM22" i="6"/>
  <c r="AK22" i="6"/>
  <c r="AI22" i="6"/>
  <c r="AG22" i="6"/>
  <c r="M36" i="6" s="1"/>
  <c r="AE22" i="6"/>
  <c r="AC22" i="6"/>
  <c r="AA22" i="6"/>
  <c r="Y22" i="6"/>
  <c r="K36" i="6" s="1"/>
  <c r="W22" i="6"/>
  <c r="U22" i="6"/>
  <c r="S22" i="6"/>
  <c r="Q22" i="6"/>
  <c r="I36" i="6" s="1"/>
  <c r="O22" i="6"/>
  <c r="M22" i="6"/>
  <c r="K22" i="6"/>
  <c r="I22" i="6"/>
  <c r="G36" i="6" s="1"/>
  <c r="G22" i="6"/>
  <c r="E22" i="6"/>
  <c r="AY21" i="6"/>
  <c r="AW21" i="6"/>
  <c r="AU21" i="6"/>
  <c r="AS21" i="6"/>
  <c r="AQ21" i="6"/>
  <c r="AO21" i="6"/>
  <c r="O35" i="6" s="1"/>
  <c r="AM21" i="6"/>
  <c r="AK21" i="6"/>
  <c r="AI21" i="6"/>
  <c r="AG21" i="6"/>
  <c r="M35" i="6" s="1"/>
  <c r="AE21" i="6"/>
  <c r="AC21" i="6"/>
  <c r="AA21" i="6"/>
  <c r="Y21" i="6"/>
  <c r="K35" i="6" s="1"/>
  <c r="W21" i="6"/>
  <c r="U21" i="6"/>
  <c r="S21" i="6"/>
  <c r="Q21" i="6"/>
  <c r="I35" i="6" s="1"/>
  <c r="O21" i="6"/>
  <c r="M21" i="6"/>
  <c r="K21" i="6"/>
  <c r="I21" i="6"/>
  <c r="G35" i="6" s="1"/>
  <c r="G21" i="6"/>
  <c r="E21" i="6"/>
  <c r="AY20" i="6"/>
  <c r="AW20" i="6"/>
  <c r="AU20" i="6"/>
  <c r="AS20" i="6"/>
  <c r="AQ20" i="6"/>
  <c r="AO20" i="6"/>
  <c r="O34" i="6" s="1"/>
  <c r="AM20" i="6"/>
  <c r="AK20" i="6"/>
  <c r="AI20" i="6"/>
  <c r="AG20" i="6"/>
  <c r="M34" i="6" s="1"/>
  <c r="AE20" i="6"/>
  <c r="AC20" i="6"/>
  <c r="AA20" i="6"/>
  <c r="Y20" i="6"/>
  <c r="K34" i="6" s="1"/>
  <c r="W20" i="6"/>
  <c r="U20" i="6"/>
  <c r="S20" i="6"/>
  <c r="Q20" i="6"/>
  <c r="I34" i="6" s="1"/>
  <c r="O20" i="6"/>
  <c r="M20" i="6"/>
  <c r="K20" i="6"/>
  <c r="I20" i="6"/>
  <c r="G34" i="6" s="1"/>
  <c r="G20" i="6"/>
  <c r="E20" i="6"/>
  <c r="AY19" i="6"/>
  <c r="AW19" i="6"/>
  <c r="AU19" i="6"/>
  <c r="AS19" i="6"/>
  <c r="AQ19" i="6"/>
  <c r="AO19" i="6"/>
  <c r="O33" i="6" s="1"/>
  <c r="AM19" i="6"/>
  <c r="AK19" i="6"/>
  <c r="AI19" i="6"/>
  <c r="AG19" i="6"/>
  <c r="M33" i="6" s="1"/>
  <c r="AE19" i="6"/>
  <c r="AC19" i="6"/>
  <c r="AA19" i="6"/>
  <c r="Y19" i="6"/>
  <c r="K33" i="6" s="1"/>
  <c r="W19" i="6"/>
  <c r="U19" i="6"/>
  <c r="S19" i="6"/>
  <c r="Q19" i="6"/>
  <c r="I33" i="6" s="1"/>
  <c r="O19" i="6"/>
  <c r="M19" i="6"/>
  <c r="K19" i="6"/>
  <c r="I19" i="6"/>
  <c r="G33" i="6" s="1"/>
  <c r="G19" i="6"/>
  <c r="E19" i="6"/>
  <c r="AY18" i="6"/>
  <c r="AW18" i="6"/>
  <c r="AU18" i="6"/>
  <c r="AS18" i="6"/>
  <c r="AQ18" i="6"/>
  <c r="AO18" i="6"/>
  <c r="O32" i="6" s="1"/>
  <c r="AM18" i="6"/>
  <c r="AK18" i="6"/>
  <c r="AI18" i="6"/>
  <c r="AG18" i="6"/>
  <c r="M32" i="6" s="1"/>
  <c r="AE18" i="6"/>
  <c r="AC18" i="6"/>
  <c r="AA18" i="6"/>
  <c r="Y18" i="6"/>
  <c r="K32" i="6" s="1"/>
  <c r="W18" i="6"/>
  <c r="U18" i="6"/>
  <c r="S18" i="6"/>
  <c r="Q18" i="6"/>
  <c r="I32" i="6" s="1"/>
  <c r="O18" i="6"/>
  <c r="M18" i="6"/>
  <c r="K18" i="6"/>
  <c r="I18" i="6"/>
  <c r="G32" i="6" s="1"/>
  <c r="G18" i="6"/>
  <c r="E18" i="6"/>
  <c r="AY17" i="6"/>
  <c r="AY27" i="6" s="1"/>
  <c r="AW17" i="6"/>
  <c r="AW27" i="6" s="1"/>
  <c r="AU17" i="6"/>
  <c r="AU27" i="6" s="1"/>
  <c r="AS17" i="6"/>
  <c r="AS27" i="6" s="1"/>
  <c r="AQ17" i="6"/>
  <c r="AQ27" i="6" s="1"/>
  <c r="AO17" i="6"/>
  <c r="AM17" i="6"/>
  <c r="AK17" i="6"/>
  <c r="AI17" i="6"/>
  <c r="AI27" i="6" s="1"/>
  <c r="AG17" i="6"/>
  <c r="AE17" i="6"/>
  <c r="AE27" i="6" s="1"/>
  <c r="AC17" i="6"/>
  <c r="AA17" i="6"/>
  <c r="AA27" i="6" s="1"/>
  <c r="Y17" i="6"/>
  <c r="W17" i="6"/>
  <c r="W27" i="6" s="1"/>
  <c r="U17" i="6"/>
  <c r="S17" i="6"/>
  <c r="S27" i="6" s="1"/>
  <c r="Q17" i="6"/>
  <c r="O17" i="6"/>
  <c r="O27" i="6" s="1"/>
  <c r="M17" i="6"/>
  <c r="K17" i="6"/>
  <c r="K27" i="6" s="1"/>
  <c r="I17" i="6"/>
  <c r="G17" i="6"/>
  <c r="E17" i="6"/>
  <c r="C11" i="6"/>
  <c r="C10" i="6"/>
  <c r="G9" i="6"/>
  <c r="C9" i="6"/>
  <c r="G8" i="6"/>
  <c r="A2" i="6"/>
  <c r="D15" i="3"/>
  <c r="C21" i="3"/>
  <c r="D23" i="3"/>
  <c r="D20" i="3"/>
  <c r="D17" i="3"/>
  <c r="D21" i="3"/>
  <c r="D22" i="3"/>
  <c r="D24" i="3"/>
  <c r="C24" i="3"/>
  <c r="C15" i="3"/>
  <c r="C26" i="3"/>
  <c r="C20" i="3"/>
  <c r="D18" i="3"/>
  <c r="C23" i="3"/>
  <c r="D19" i="3"/>
  <c r="C18" i="3"/>
  <c r="C22" i="3"/>
  <c r="C17" i="3"/>
  <c r="C25" i="3"/>
  <c r="D26" i="3"/>
  <c r="C19" i="3"/>
  <c r="D16" i="3"/>
  <c r="C16" i="3"/>
  <c r="D25" i="3"/>
  <c r="AM27" i="6" l="1"/>
  <c r="AA36" i="6"/>
  <c r="AA38" i="6"/>
  <c r="E16" i="3"/>
  <c r="D4" i="11" s="1"/>
  <c r="E22" i="3"/>
  <c r="G22" i="3" s="1"/>
  <c r="D10" i="12" s="1"/>
  <c r="E20" i="3"/>
  <c r="E26" i="3"/>
  <c r="E15" i="3"/>
  <c r="D3" i="11" s="1"/>
  <c r="E17" i="3"/>
  <c r="D5" i="11" s="1"/>
  <c r="E19" i="3"/>
  <c r="E21" i="3"/>
  <c r="E23" i="3"/>
  <c r="E25" i="3"/>
  <c r="G25" i="3" s="1"/>
  <c r="D13" i="12" s="1"/>
  <c r="E18" i="3"/>
  <c r="E24" i="3"/>
  <c r="Y43" i="6"/>
  <c r="Y45" i="6" s="1"/>
  <c r="AA41" i="6"/>
  <c r="AA42" i="6"/>
  <c r="P43" i="8"/>
  <c r="W35" i="8"/>
  <c r="W33" i="8"/>
  <c r="AA33" i="8" s="1"/>
  <c r="W37" i="8"/>
  <c r="W34" i="8"/>
  <c r="AA34" i="8" s="1"/>
  <c r="Y36" i="8"/>
  <c r="Y35" i="8"/>
  <c r="Y37" i="8"/>
  <c r="W41" i="8"/>
  <c r="Y38" i="8"/>
  <c r="W42" i="8"/>
  <c r="Y39" i="8"/>
  <c r="AL27" i="8"/>
  <c r="Y42" i="8"/>
  <c r="Y41" i="8"/>
  <c r="AJ27" i="8"/>
  <c r="AV27" i="8"/>
  <c r="AB27" i="8"/>
  <c r="AK27" i="8"/>
  <c r="AP27" i="8"/>
  <c r="AX27" i="8"/>
  <c r="W36" i="8"/>
  <c r="W38" i="8"/>
  <c r="AF27" i="8"/>
  <c r="AS27" i="8"/>
  <c r="AD27" i="8"/>
  <c r="AR27" i="8"/>
  <c r="Y40" i="8"/>
  <c r="AU27" i="8"/>
  <c r="AT27" i="8"/>
  <c r="W39" i="8"/>
  <c r="Z37" i="8"/>
  <c r="AW27" i="8"/>
  <c r="Z33" i="8"/>
  <c r="AQ27" i="8"/>
  <c r="AY27" i="8"/>
  <c r="Z36" i="8"/>
  <c r="AE27" i="8"/>
  <c r="Z34" i="8"/>
  <c r="Z35" i="8"/>
  <c r="Z38" i="8"/>
  <c r="I43" i="8"/>
  <c r="K43" i="8"/>
  <c r="O43" i="8"/>
  <c r="X34" i="8"/>
  <c r="X41" i="8"/>
  <c r="X33" i="8"/>
  <c r="X37" i="8"/>
  <c r="X38" i="8"/>
  <c r="X35" i="8"/>
  <c r="L43" i="8"/>
  <c r="M43" i="8"/>
  <c r="G43" i="8"/>
  <c r="N43" i="8"/>
  <c r="J43" i="8"/>
  <c r="X39" i="8"/>
  <c r="D43" i="8"/>
  <c r="AC27" i="8"/>
  <c r="AO27" i="8"/>
  <c r="X36" i="8"/>
  <c r="X40" i="8"/>
  <c r="F43" i="8"/>
  <c r="AA40" i="6"/>
  <c r="H32" i="6"/>
  <c r="J32" i="6"/>
  <c r="L32" i="6"/>
  <c r="N32" i="6"/>
  <c r="H33" i="6"/>
  <c r="J33" i="6"/>
  <c r="L33" i="6"/>
  <c r="N33" i="6"/>
  <c r="H34" i="6"/>
  <c r="J34" i="6"/>
  <c r="L34" i="6"/>
  <c r="N34" i="6"/>
  <c r="H35" i="6"/>
  <c r="J35" i="6"/>
  <c r="L35" i="6"/>
  <c r="N35" i="6"/>
  <c r="H36" i="6"/>
  <c r="J36" i="6"/>
  <c r="L36" i="6"/>
  <c r="N36" i="6"/>
  <c r="H37" i="6"/>
  <c r="J37" i="6"/>
  <c r="L37" i="6"/>
  <c r="N37" i="6"/>
  <c r="H38" i="6"/>
  <c r="J38" i="6"/>
  <c r="L38" i="6"/>
  <c r="N38" i="6"/>
  <c r="H39" i="6"/>
  <c r="J39" i="6"/>
  <c r="L39" i="6"/>
  <c r="N39" i="6"/>
  <c r="H40" i="6"/>
  <c r="J40" i="6"/>
  <c r="L40" i="6"/>
  <c r="N40" i="6"/>
  <c r="AA33" i="6"/>
  <c r="AA35" i="6"/>
  <c r="AA37" i="6"/>
  <c r="AA39" i="6"/>
  <c r="I31" i="6"/>
  <c r="Q27" i="6"/>
  <c r="M27" i="6"/>
  <c r="H31" i="6"/>
  <c r="AC27" i="6"/>
  <c r="L31" i="6"/>
  <c r="X34" i="6"/>
  <c r="F32" i="6"/>
  <c r="X35" i="6"/>
  <c r="F33" i="6"/>
  <c r="X36" i="6"/>
  <c r="F34" i="6"/>
  <c r="F36" i="6"/>
  <c r="X38" i="6"/>
  <c r="X40" i="6"/>
  <c r="F38" i="6"/>
  <c r="G27" i="6"/>
  <c r="Z33" i="6"/>
  <c r="Z34" i="6"/>
  <c r="Z35" i="6"/>
  <c r="Z36" i="6"/>
  <c r="Z37" i="6"/>
  <c r="Z38" i="6"/>
  <c r="Z39" i="6"/>
  <c r="Z40" i="6"/>
  <c r="Z41" i="6"/>
  <c r="Z42" i="6"/>
  <c r="G31" i="6"/>
  <c r="I27" i="6"/>
  <c r="M31" i="6"/>
  <c r="AG27" i="6"/>
  <c r="K31" i="6"/>
  <c r="Y27" i="6"/>
  <c r="O31" i="6"/>
  <c r="AO27" i="6"/>
  <c r="F31" i="6"/>
  <c r="E27" i="6"/>
  <c r="F28" i="6" s="1"/>
  <c r="X33" i="6"/>
  <c r="J31" i="6"/>
  <c r="U27" i="6"/>
  <c r="N31" i="6"/>
  <c r="AK27" i="6"/>
  <c r="F35" i="6"/>
  <c r="X37" i="6"/>
  <c r="X39" i="6"/>
  <c r="F37" i="6"/>
  <c r="X41" i="6"/>
  <c r="F39" i="6"/>
  <c r="F40" i="6"/>
  <c r="X42" i="6"/>
  <c r="W43" i="6"/>
  <c r="W45" i="6" s="1"/>
  <c r="F16" i="3"/>
  <c r="D23" i="11" s="1"/>
  <c r="F17" i="3"/>
  <c r="D24" i="11" s="1"/>
  <c r="F18" i="3"/>
  <c r="D25" i="11" s="1"/>
  <c r="F19" i="3"/>
  <c r="D26" i="11" s="1"/>
  <c r="F20" i="3"/>
  <c r="D27" i="11" s="1"/>
  <c r="F21" i="3"/>
  <c r="D28" i="11" s="1"/>
  <c r="F22" i="3"/>
  <c r="D29" i="11" s="1"/>
  <c r="F23" i="3"/>
  <c r="D30" i="11" s="1"/>
  <c r="F24" i="3"/>
  <c r="D31" i="11" s="1"/>
  <c r="F25" i="3"/>
  <c r="D32" i="11" s="1"/>
  <c r="F26" i="3"/>
  <c r="D33" i="11" s="1"/>
  <c r="F15" i="3"/>
  <c r="D22" i="11" s="1"/>
  <c r="D14" i="3"/>
  <c r="C9" i="3"/>
  <c r="C11" i="3"/>
  <c r="D12" i="3"/>
  <c r="C13" i="3"/>
  <c r="D9" i="3"/>
  <c r="D13" i="3"/>
  <c r="D11" i="3"/>
  <c r="C14" i="3"/>
  <c r="C10" i="3"/>
  <c r="AA45" i="6" l="1"/>
  <c r="AA35" i="8"/>
  <c r="AB42" i="6"/>
  <c r="P37" i="6"/>
  <c r="P33" i="6"/>
  <c r="D12" i="11"/>
  <c r="D12" i="13" s="1"/>
  <c r="D9" i="11"/>
  <c r="D9" i="13" s="1"/>
  <c r="D14" i="11"/>
  <c r="D14" i="13" s="1"/>
  <c r="D6" i="11"/>
  <c r="D6" i="13" s="1"/>
  <c r="D7" i="11"/>
  <c r="D7" i="13" s="1"/>
  <c r="D8" i="11"/>
  <c r="D8" i="13" s="1"/>
  <c r="D13" i="11"/>
  <c r="D13" i="13" s="1"/>
  <c r="D10" i="11"/>
  <c r="D10" i="13" s="1"/>
  <c r="D11" i="11"/>
  <c r="D11" i="13" s="1"/>
  <c r="G20" i="3"/>
  <c r="D8" i="12" s="1"/>
  <c r="G23" i="3"/>
  <c r="D11" i="12" s="1"/>
  <c r="G18" i="3"/>
  <c r="D6" i="12" s="1"/>
  <c r="G26" i="3"/>
  <c r="D14" i="12" s="1"/>
  <c r="G24" i="3"/>
  <c r="D12" i="12" s="1"/>
  <c r="G19" i="3"/>
  <c r="D7" i="12" s="1"/>
  <c r="E10" i="3"/>
  <c r="C10" i="11" s="1"/>
  <c r="F12" i="3"/>
  <c r="E11" i="3"/>
  <c r="C11" i="11" s="1"/>
  <c r="E14" i="3"/>
  <c r="C14" i="11" s="1"/>
  <c r="F11" i="3"/>
  <c r="E13" i="3"/>
  <c r="C13" i="11" s="1"/>
  <c r="F14" i="3"/>
  <c r="C33" i="11" s="1"/>
  <c r="F13" i="3"/>
  <c r="F9" i="3"/>
  <c r="C28" i="11" s="1"/>
  <c r="E9" i="3"/>
  <c r="C9" i="11" s="1"/>
  <c r="D5" i="13"/>
  <c r="G17" i="3"/>
  <c r="D5" i="12" s="1"/>
  <c r="G21" i="3"/>
  <c r="D9" i="12" s="1"/>
  <c r="AB40" i="6"/>
  <c r="AB36" i="6"/>
  <c r="AA43" i="6"/>
  <c r="G15" i="3"/>
  <c r="D3" i="12" s="1"/>
  <c r="D4" i="13"/>
  <c r="G16" i="3"/>
  <c r="D4" i="12" s="1"/>
  <c r="H16" i="3"/>
  <c r="D25" i="12" s="1"/>
  <c r="D23" i="13"/>
  <c r="H26" i="3"/>
  <c r="D35" i="12" s="1"/>
  <c r="D33" i="13"/>
  <c r="H24" i="3"/>
  <c r="D33" i="12" s="1"/>
  <c r="D31" i="13"/>
  <c r="H22" i="3"/>
  <c r="D31" i="12" s="1"/>
  <c r="D29" i="13"/>
  <c r="H20" i="3"/>
  <c r="D29" i="12" s="1"/>
  <c r="D27" i="13"/>
  <c r="H18" i="3"/>
  <c r="D27" i="12" s="1"/>
  <c r="D25" i="13"/>
  <c r="H25" i="3"/>
  <c r="D34" i="12" s="1"/>
  <c r="D32" i="13"/>
  <c r="H23" i="3"/>
  <c r="D32" i="12" s="1"/>
  <c r="D30" i="13"/>
  <c r="H21" i="3"/>
  <c r="D30" i="12" s="1"/>
  <c r="D28" i="13"/>
  <c r="H19" i="3"/>
  <c r="D28" i="12" s="1"/>
  <c r="D26" i="13"/>
  <c r="H17" i="3"/>
  <c r="D26" i="12" s="1"/>
  <c r="D24" i="13"/>
  <c r="H15" i="3"/>
  <c r="D24" i="12" s="1"/>
  <c r="D22" i="13"/>
  <c r="AA37" i="8"/>
  <c r="X42" i="8"/>
  <c r="Z40" i="8"/>
  <c r="AB40" i="8" s="1"/>
  <c r="AA36" i="8"/>
  <c r="AA39" i="8"/>
  <c r="AA41" i="8"/>
  <c r="AA38" i="8"/>
  <c r="Z39" i="8"/>
  <c r="AB39" i="8" s="1"/>
  <c r="AA42" i="8"/>
  <c r="Z41" i="8"/>
  <c r="AB41" i="8" s="1"/>
  <c r="AB38" i="8"/>
  <c r="AM27" i="8"/>
  <c r="AI27" i="8"/>
  <c r="Z43" i="8" s="1"/>
  <c r="AH27" i="8"/>
  <c r="Z42" i="8"/>
  <c r="AG27" i="8"/>
  <c r="X43" i="8" s="1"/>
  <c r="W40" i="8"/>
  <c r="AA40" i="8" s="1"/>
  <c r="AN27" i="8"/>
  <c r="AB36" i="8"/>
  <c r="AB37" i="8"/>
  <c r="AB34" i="8"/>
  <c r="AB33" i="8"/>
  <c r="AB35" i="8"/>
  <c r="P40" i="6"/>
  <c r="AB39" i="6"/>
  <c r="P36" i="6"/>
  <c r="AB35" i="6"/>
  <c r="P39" i="6"/>
  <c r="AB37" i="6"/>
  <c r="P38" i="6"/>
  <c r="P34" i="6"/>
  <c r="P32" i="6"/>
  <c r="P35" i="6"/>
  <c r="O42" i="6"/>
  <c r="AB41" i="6"/>
  <c r="J42" i="6"/>
  <c r="G42" i="6"/>
  <c r="H42" i="6"/>
  <c r="X43" i="6"/>
  <c r="AB33" i="6"/>
  <c r="N42" i="6"/>
  <c r="M42" i="6"/>
  <c r="Z43" i="6"/>
  <c r="AB38" i="6"/>
  <c r="L42" i="6"/>
  <c r="AB34" i="6"/>
  <c r="F42" i="6"/>
  <c r="P31" i="6"/>
  <c r="K42" i="6"/>
  <c r="G28" i="6"/>
  <c r="I42" i="6"/>
  <c r="D10" i="3"/>
  <c r="C12" i="3"/>
  <c r="D47" i="12" l="1"/>
  <c r="D17" i="12"/>
  <c r="D38" i="12"/>
  <c r="D49" i="12"/>
  <c r="D45" i="12"/>
  <c r="D46" i="12"/>
  <c r="D48" i="12"/>
  <c r="H13" i="3"/>
  <c r="C34" i="12" s="1"/>
  <c r="C32" i="11"/>
  <c r="C32" i="13" s="1"/>
  <c r="H11" i="3"/>
  <c r="C32" i="12" s="1"/>
  <c r="C30" i="11"/>
  <c r="C30" i="13" s="1"/>
  <c r="H12" i="3"/>
  <c r="C33" i="12" s="1"/>
  <c r="C31" i="11"/>
  <c r="D51" i="12"/>
  <c r="D50" i="12"/>
  <c r="D54" i="12"/>
  <c r="C28" i="13"/>
  <c r="D56" i="12"/>
  <c r="C33" i="13"/>
  <c r="H14" i="3"/>
  <c r="C35" i="12" s="1"/>
  <c r="H9" i="3"/>
  <c r="C30" i="12" s="1"/>
  <c r="D53" i="12"/>
  <c r="E12" i="3"/>
  <c r="F10" i="3"/>
  <c r="C29" i="11" s="1"/>
  <c r="P42" i="6"/>
  <c r="G11" i="3"/>
  <c r="C11" i="13"/>
  <c r="C14" i="13"/>
  <c r="G14" i="3"/>
  <c r="C14" i="12" s="1"/>
  <c r="G9" i="3"/>
  <c r="C9" i="12" s="1"/>
  <c r="G13" i="3"/>
  <c r="C13" i="12" s="1"/>
  <c r="C13" i="13"/>
  <c r="W43" i="8"/>
  <c r="Y43" i="8"/>
  <c r="Y45" i="8" s="1"/>
  <c r="D18" i="11"/>
  <c r="D16" i="11"/>
  <c r="D17" i="11"/>
  <c r="D3" i="13"/>
  <c r="G10" i="3"/>
  <c r="C10" i="12" s="1"/>
  <c r="C10" i="13"/>
  <c r="D52" i="12"/>
  <c r="D19" i="12"/>
  <c r="D55" i="12"/>
  <c r="D18" i="12"/>
  <c r="D45" i="11"/>
  <c r="D45" i="13"/>
  <c r="D49" i="11"/>
  <c r="D49" i="13"/>
  <c r="D44" i="11"/>
  <c r="D44" i="13"/>
  <c r="D48" i="11"/>
  <c r="D48" i="13"/>
  <c r="D52" i="11"/>
  <c r="D52" i="13"/>
  <c r="D42" i="11"/>
  <c r="D42" i="13"/>
  <c r="D43" i="11"/>
  <c r="D43" i="13"/>
  <c r="D47" i="11"/>
  <c r="D47" i="13"/>
  <c r="D51" i="11"/>
  <c r="D51" i="13"/>
  <c r="D46" i="11"/>
  <c r="D46" i="13"/>
  <c r="D50" i="11"/>
  <c r="D50" i="13"/>
  <c r="D41" i="13"/>
  <c r="D41" i="11"/>
  <c r="D35" i="11"/>
  <c r="D36" i="11"/>
  <c r="D37" i="11"/>
  <c r="AB43" i="8"/>
  <c r="AB42" i="8"/>
  <c r="AB43" i="6"/>
  <c r="AA43" i="8" l="1"/>
  <c r="D59" i="12"/>
  <c r="C11" i="12"/>
  <c r="C31" i="13"/>
  <c r="C12" i="11"/>
  <c r="C16" i="11" s="1"/>
  <c r="D39" i="12"/>
  <c r="C51" i="12"/>
  <c r="D40" i="12"/>
  <c r="C52" i="11"/>
  <c r="C52" i="13"/>
  <c r="C55" i="12"/>
  <c r="C56" i="12"/>
  <c r="C51" i="13"/>
  <c r="C49" i="13"/>
  <c r="C51" i="11"/>
  <c r="C9" i="13"/>
  <c r="C47" i="11"/>
  <c r="W45" i="8"/>
  <c r="AA45" i="8" s="1"/>
  <c r="D17" i="13"/>
  <c r="D18" i="13"/>
  <c r="D16" i="13"/>
  <c r="H10" i="3"/>
  <c r="C31" i="12" s="1"/>
  <c r="C38" i="12" s="1"/>
  <c r="D41" i="12" s="1"/>
  <c r="C49" i="11"/>
  <c r="G12" i="3"/>
  <c r="C12" i="12" s="1"/>
  <c r="D35" i="13"/>
  <c r="D37" i="13"/>
  <c r="D36" i="13"/>
  <c r="D55" i="13"/>
  <c r="D56" i="13"/>
  <c r="D54" i="13"/>
  <c r="D56" i="11"/>
  <c r="D54" i="11"/>
  <c r="D55" i="11"/>
  <c r="Y42" i="1"/>
  <c r="W42" i="1"/>
  <c r="Y41" i="1"/>
  <c r="W41" i="1"/>
  <c r="D41" i="1"/>
  <c r="P41" i="1" s="1"/>
  <c r="Y40" i="1"/>
  <c r="W40" i="1"/>
  <c r="E40" i="1"/>
  <c r="D40" i="1"/>
  <c r="Y39" i="1"/>
  <c r="W39" i="1"/>
  <c r="E39" i="1"/>
  <c r="D39" i="1"/>
  <c r="Y38" i="1"/>
  <c r="W38" i="1"/>
  <c r="E38" i="1"/>
  <c r="D38" i="1"/>
  <c r="Y37" i="1"/>
  <c r="W37" i="1"/>
  <c r="E37" i="1"/>
  <c r="D37" i="1"/>
  <c r="Y36" i="1"/>
  <c r="W36" i="1"/>
  <c r="E36" i="1"/>
  <c r="D36" i="1"/>
  <c r="Y35" i="1"/>
  <c r="W35" i="1"/>
  <c r="E35" i="1"/>
  <c r="D35" i="1"/>
  <c r="Y34" i="1"/>
  <c r="W34" i="1"/>
  <c r="E34" i="1"/>
  <c r="D34" i="1"/>
  <c r="Y33" i="1"/>
  <c r="W33" i="1"/>
  <c r="E33" i="1"/>
  <c r="D33" i="1"/>
  <c r="E32" i="1"/>
  <c r="D32" i="1"/>
  <c r="E31" i="1"/>
  <c r="D31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I26" i="1"/>
  <c r="G26" i="1"/>
  <c r="E26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I25" i="1"/>
  <c r="G25" i="1"/>
  <c r="E25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I24" i="1"/>
  <c r="G24" i="1"/>
  <c r="E24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I23" i="1"/>
  <c r="G23" i="1"/>
  <c r="E23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I22" i="1"/>
  <c r="G22" i="1"/>
  <c r="E22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I21" i="1"/>
  <c r="G21" i="1"/>
  <c r="E21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I20" i="1"/>
  <c r="G20" i="1"/>
  <c r="E20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I19" i="1"/>
  <c r="G19" i="1"/>
  <c r="E19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I18" i="1"/>
  <c r="G18" i="1"/>
  <c r="E18" i="1"/>
  <c r="AY17" i="1"/>
  <c r="AY27" i="1" s="1"/>
  <c r="AW17" i="1"/>
  <c r="AW27" i="1" s="1"/>
  <c r="AU17" i="1"/>
  <c r="AU27" i="1" s="1"/>
  <c r="AS17" i="1"/>
  <c r="AS27" i="1" s="1"/>
  <c r="AQ17" i="1"/>
  <c r="AQ27" i="1" s="1"/>
  <c r="AO17" i="1"/>
  <c r="AM17" i="1"/>
  <c r="AK17" i="1"/>
  <c r="AK27" i="1" s="1"/>
  <c r="AI17" i="1"/>
  <c r="AI27" i="1" s="1"/>
  <c r="AG17" i="1"/>
  <c r="AE17" i="1"/>
  <c r="AC17" i="1"/>
  <c r="AC27" i="1" s="1"/>
  <c r="AA17" i="1"/>
  <c r="AA27" i="1" s="1"/>
  <c r="Y17" i="1"/>
  <c r="W17" i="1"/>
  <c r="W27" i="1" s="1"/>
  <c r="U17" i="1"/>
  <c r="U27" i="1" s="1"/>
  <c r="S17" i="1"/>
  <c r="S27" i="1" s="1"/>
  <c r="Q17" i="1"/>
  <c r="O17" i="1"/>
  <c r="O27" i="1" s="1"/>
  <c r="M17" i="1"/>
  <c r="M27" i="1" s="1"/>
  <c r="K17" i="1"/>
  <c r="I17" i="1"/>
  <c r="G17" i="1"/>
  <c r="E17" i="1"/>
  <c r="E27" i="1" s="1"/>
  <c r="C11" i="1"/>
  <c r="C10" i="1"/>
  <c r="G9" i="1"/>
  <c r="C9" i="1"/>
  <c r="G8" i="1"/>
  <c r="A2" i="1"/>
  <c r="C30" i="3"/>
  <c r="C36" i="3"/>
  <c r="C33" i="3"/>
  <c r="D29" i="3"/>
  <c r="C38" i="3"/>
  <c r="C29" i="3"/>
  <c r="D37" i="3"/>
  <c r="D30" i="3"/>
  <c r="C37" i="3"/>
  <c r="D27" i="3"/>
  <c r="D33" i="3"/>
  <c r="D34" i="3"/>
  <c r="C32" i="3"/>
  <c r="D36" i="3"/>
  <c r="D28" i="3"/>
  <c r="C28" i="3"/>
  <c r="C35" i="3"/>
  <c r="D35" i="3"/>
  <c r="C27" i="3"/>
  <c r="D32" i="3"/>
  <c r="D38" i="3"/>
  <c r="C31" i="3"/>
  <c r="D31" i="3"/>
  <c r="C34" i="3"/>
  <c r="F66" i="3" l="1"/>
  <c r="F70" i="3"/>
  <c r="F67" i="3"/>
  <c r="F73" i="3"/>
  <c r="F71" i="3"/>
  <c r="F63" i="3"/>
  <c r="F72" i="3"/>
  <c r="F68" i="3"/>
  <c r="F69" i="3"/>
  <c r="F65" i="3"/>
  <c r="F74" i="3"/>
  <c r="F64" i="3"/>
  <c r="L31" i="1"/>
  <c r="K27" i="1"/>
  <c r="H33" i="1"/>
  <c r="N31" i="1"/>
  <c r="J33" i="1"/>
  <c r="F43" i="3"/>
  <c r="F42" i="3"/>
  <c r="F45" i="3"/>
  <c r="F58" i="3"/>
  <c r="F57" i="3"/>
  <c r="F44" i="3"/>
  <c r="F40" i="3"/>
  <c r="F47" i="3"/>
  <c r="F52" i="3"/>
  <c r="F60" i="3"/>
  <c r="F51" i="3"/>
  <c r="F59" i="3"/>
  <c r="F49" i="3"/>
  <c r="F46" i="3"/>
  <c r="F54" i="3"/>
  <c r="F62" i="3"/>
  <c r="F53" i="3"/>
  <c r="F61" i="3"/>
  <c r="F39" i="3"/>
  <c r="F48" i="3"/>
  <c r="F41" i="3"/>
  <c r="F50" i="3"/>
  <c r="F56" i="3"/>
  <c r="F55" i="3"/>
  <c r="X35" i="1"/>
  <c r="Z33" i="1"/>
  <c r="Z34" i="1"/>
  <c r="Z35" i="1"/>
  <c r="AB35" i="1" s="1"/>
  <c r="L33" i="1"/>
  <c r="N33" i="1"/>
  <c r="Z36" i="1"/>
  <c r="AB36" i="1" s="1"/>
  <c r="F35" i="1"/>
  <c r="H35" i="1"/>
  <c r="J35" i="1"/>
  <c r="L35" i="1"/>
  <c r="N35" i="1"/>
  <c r="Z38" i="1"/>
  <c r="Z39" i="1"/>
  <c r="AB39" i="1" s="1"/>
  <c r="H37" i="1"/>
  <c r="J37" i="1"/>
  <c r="L37" i="1"/>
  <c r="Z40" i="1"/>
  <c r="Z41" i="1"/>
  <c r="Z42" i="1"/>
  <c r="C17" i="12"/>
  <c r="D20" i="12" s="1"/>
  <c r="C53" i="12"/>
  <c r="D61" i="12"/>
  <c r="D60" i="12"/>
  <c r="C18" i="12"/>
  <c r="C39" i="12"/>
  <c r="C17" i="11"/>
  <c r="F31" i="3"/>
  <c r="E26" i="11" s="1"/>
  <c r="E37" i="3"/>
  <c r="E13" i="11" s="1"/>
  <c r="F29" i="3"/>
  <c r="E24" i="11" s="1"/>
  <c r="E28" i="3"/>
  <c r="E4" i="11" s="1"/>
  <c r="E30" i="3"/>
  <c r="E6" i="11" s="1"/>
  <c r="E32" i="3"/>
  <c r="E8" i="11" s="1"/>
  <c r="E34" i="3"/>
  <c r="E10" i="11" s="1"/>
  <c r="F35" i="3"/>
  <c r="E30" i="11" s="1"/>
  <c r="F37" i="3"/>
  <c r="E32" i="11" s="1"/>
  <c r="F27" i="3"/>
  <c r="E22" i="11" s="1"/>
  <c r="F33" i="3"/>
  <c r="E28" i="11" s="1"/>
  <c r="E27" i="3"/>
  <c r="E3" i="11" s="1"/>
  <c r="F28" i="3"/>
  <c r="E23" i="11" s="1"/>
  <c r="F30" i="3"/>
  <c r="E25" i="11" s="1"/>
  <c r="F32" i="3"/>
  <c r="E27" i="11" s="1"/>
  <c r="F34" i="3"/>
  <c r="E29" i="11" s="1"/>
  <c r="E36" i="3"/>
  <c r="E12" i="11" s="1"/>
  <c r="E38" i="3"/>
  <c r="E14" i="11" s="1"/>
  <c r="E29" i="3"/>
  <c r="E5" i="11" s="1"/>
  <c r="E31" i="3"/>
  <c r="E7" i="11" s="1"/>
  <c r="E33" i="3"/>
  <c r="E9" i="11" s="1"/>
  <c r="E35" i="3"/>
  <c r="E11" i="11" s="1"/>
  <c r="F36" i="3"/>
  <c r="E31" i="11" s="1"/>
  <c r="F38" i="3"/>
  <c r="E33" i="11" s="1"/>
  <c r="C52" i="12"/>
  <c r="C29" i="13"/>
  <c r="C36" i="11"/>
  <c r="C48" i="11"/>
  <c r="C37" i="11"/>
  <c r="C35" i="11"/>
  <c r="X39" i="1"/>
  <c r="C12" i="13"/>
  <c r="C50" i="13" s="1"/>
  <c r="C50" i="11"/>
  <c r="C47" i="13"/>
  <c r="N37" i="1"/>
  <c r="H39" i="1"/>
  <c r="J39" i="1"/>
  <c r="L39" i="1"/>
  <c r="N39" i="1"/>
  <c r="Y43" i="1"/>
  <c r="Y45" i="1" s="1"/>
  <c r="AA36" i="1"/>
  <c r="AA37" i="1"/>
  <c r="AA40" i="1"/>
  <c r="C18" i="11"/>
  <c r="I32" i="1"/>
  <c r="M32" i="1"/>
  <c r="G34" i="1"/>
  <c r="I34" i="1"/>
  <c r="K34" i="1"/>
  <c r="M34" i="1"/>
  <c r="O34" i="1"/>
  <c r="G36" i="1"/>
  <c r="I36" i="1"/>
  <c r="K36" i="1"/>
  <c r="M36" i="1"/>
  <c r="O36" i="1"/>
  <c r="G38" i="1"/>
  <c r="I38" i="1"/>
  <c r="K38" i="1"/>
  <c r="M38" i="1"/>
  <c r="O38" i="1"/>
  <c r="G40" i="1"/>
  <c r="I40" i="1"/>
  <c r="K40" i="1"/>
  <c r="M40" i="1"/>
  <c r="O40" i="1"/>
  <c r="G32" i="1"/>
  <c r="K32" i="1"/>
  <c r="O32" i="1"/>
  <c r="X33" i="1"/>
  <c r="AB33" i="1" s="1"/>
  <c r="X34" i="1"/>
  <c r="X36" i="1"/>
  <c r="X37" i="1"/>
  <c r="X40" i="1"/>
  <c r="AB40" i="1" s="1"/>
  <c r="X41" i="1"/>
  <c r="AA35" i="1"/>
  <c r="G31" i="1"/>
  <c r="I31" i="1"/>
  <c r="K31" i="1"/>
  <c r="M31" i="1"/>
  <c r="O31" i="1"/>
  <c r="G33" i="1"/>
  <c r="I33" i="1"/>
  <c r="K33" i="1"/>
  <c r="M33" i="1"/>
  <c r="O33" i="1"/>
  <c r="G35" i="1"/>
  <c r="I35" i="1"/>
  <c r="K35" i="1"/>
  <c r="M35" i="1"/>
  <c r="O35" i="1"/>
  <c r="G37" i="1"/>
  <c r="I37" i="1"/>
  <c r="K37" i="1"/>
  <c r="M37" i="1"/>
  <c r="O37" i="1"/>
  <c r="G39" i="1"/>
  <c r="I39" i="1"/>
  <c r="K39" i="1"/>
  <c r="M39" i="1"/>
  <c r="O39" i="1"/>
  <c r="X42" i="1"/>
  <c r="Q27" i="1"/>
  <c r="AG27" i="1"/>
  <c r="E42" i="1"/>
  <c r="AA38" i="1"/>
  <c r="AA39" i="1"/>
  <c r="AA41" i="1"/>
  <c r="W43" i="1"/>
  <c r="W45" i="1" s="1"/>
  <c r="H32" i="1"/>
  <c r="J32" i="1"/>
  <c r="L32" i="1"/>
  <c r="N32" i="1"/>
  <c r="H34" i="1"/>
  <c r="J34" i="1"/>
  <c r="L34" i="1"/>
  <c r="N34" i="1"/>
  <c r="F36" i="1"/>
  <c r="H36" i="1"/>
  <c r="J36" i="1"/>
  <c r="L36" i="1"/>
  <c r="N36" i="1"/>
  <c r="H38" i="1"/>
  <c r="J38" i="1"/>
  <c r="L38" i="1"/>
  <c r="N38" i="1"/>
  <c r="F40" i="1"/>
  <c r="H40" i="1"/>
  <c r="J40" i="1"/>
  <c r="L40" i="1"/>
  <c r="N40" i="1"/>
  <c r="I27" i="1"/>
  <c r="Y27" i="1"/>
  <c r="AO27" i="1"/>
  <c r="AA34" i="1"/>
  <c r="AA42" i="1"/>
  <c r="AE27" i="1"/>
  <c r="AM27" i="1"/>
  <c r="J31" i="1"/>
  <c r="Z37" i="1"/>
  <c r="F39" i="1"/>
  <c r="D42" i="1"/>
  <c r="F32" i="1"/>
  <c r="AA33" i="1"/>
  <c r="F34" i="1"/>
  <c r="F38" i="1"/>
  <c r="X38" i="1"/>
  <c r="H31" i="1"/>
  <c r="F33" i="1"/>
  <c r="F37" i="1"/>
  <c r="G27" i="1"/>
  <c r="F31" i="1"/>
  <c r="H27" i="11" l="1"/>
  <c r="H68" i="3"/>
  <c r="H29" i="12" s="1"/>
  <c r="H50" i="12" s="1"/>
  <c r="H31" i="11"/>
  <c r="H72" i="3"/>
  <c r="H33" i="12" s="1"/>
  <c r="H54" i="12" s="1"/>
  <c r="H71" i="3"/>
  <c r="H32" i="12" s="1"/>
  <c r="H53" i="12" s="1"/>
  <c r="H30" i="11"/>
  <c r="H73" i="3"/>
  <c r="H34" i="12" s="1"/>
  <c r="H55" i="12" s="1"/>
  <c r="H32" i="11"/>
  <c r="H23" i="11"/>
  <c r="H64" i="3"/>
  <c r="H25" i="12" s="1"/>
  <c r="H46" i="12" s="1"/>
  <c r="H74" i="3"/>
  <c r="H35" i="12" s="1"/>
  <c r="H56" i="12" s="1"/>
  <c r="H33" i="11"/>
  <c r="H67" i="3"/>
  <c r="H28" i="12" s="1"/>
  <c r="H49" i="12" s="1"/>
  <c r="H26" i="11"/>
  <c r="H63" i="3"/>
  <c r="H24" i="12" s="1"/>
  <c r="H22" i="11"/>
  <c r="AB38" i="1"/>
  <c r="H65" i="3"/>
  <c r="H26" i="12" s="1"/>
  <c r="H47" i="12" s="1"/>
  <c r="H24" i="11"/>
  <c r="H70" i="3"/>
  <c r="H31" i="12" s="1"/>
  <c r="H52" i="12" s="1"/>
  <c r="H29" i="11"/>
  <c r="AA45" i="1"/>
  <c r="H69" i="3"/>
  <c r="H30" i="12" s="1"/>
  <c r="H51" i="12" s="1"/>
  <c r="H28" i="11"/>
  <c r="H66" i="3"/>
  <c r="H27" i="12" s="1"/>
  <c r="H48" i="12" s="1"/>
  <c r="H25" i="11"/>
  <c r="O42" i="1"/>
  <c r="H55" i="3"/>
  <c r="G28" i="12" s="1"/>
  <c r="G49" i="12" s="1"/>
  <c r="G26" i="11"/>
  <c r="G30" i="11"/>
  <c r="H59" i="3"/>
  <c r="G32" i="12" s="1"/>
  <c r="G53" i="12" s="1"/>
  <c r="H58" i="3"/>
  <c r="G31" i="12" s="1"/>
  <c r="G52" i="12" s="1"/>
  <c r="G29" i="11"/>
  <c r="AB41" i="1"/>
  <c r="AB34" i="1"/>
  <c r="H56" i="3"/>
  <c r="G29" i="12" s="1"/>
  <c r="G50" i="12" s="1"/>
  <c r="G27" i="11"/>
  <c r="H39" i="3"/>
  <c r="F24" i="12" s="1"/>
  <c r="F22" i="11"/>
  <c r="H54" i="3"/>
  <c r="G27" i="12" s="1"/>
  <c r="G48" i="12" s="1"/>
  <c r="G25" i="11"/>
  <c r="H51" i="3"/>
  <c r="G24" i="12" s="1"/>
  <c r="G22" i="11"/>
  <c r="H40" i="3"/>
  <c r="F25" i="12" s="1"/>
  <c r="F46" i="12" s="1"/>
  <c r="F23" i="11"/>
  <c r="H45" i="3"/>
  <c r="F30" i="12" s="1"/>
  <c r="F51" i="12" s="1"/>
  <c r="F28" i="11"/>
  <c r="H48" i="3"/>
  <c r="F33" i="12" s="1"/>
  <c r="F54" i="12" s="1"/>
  <c r="F31" i="11"/>
  <c r="G33" i="11"/>
  <c r="H62" i="3"/>
  <c r="G35" i="12" s="1"/>
  <c r="G56" i="12" s="1"/>
  <c r="H47" i="3"/>
  <c r="F32" i="12" s="1"/>
  <c r="F53" i="12" s="1"/>
  <c r="F30" i="11"/>
  <c r="H50" i="3"/>
  <c r="F35" i="12" s="1"/>
  <c r="F56" i="12" s="1"/>
  <c r="F33" i="11"/>
  <c r="G32" i="11"/>
  <c r="H61" i="3"/>
  <c r="G34" i="12" s="1"/>
  <c r="G55" i="12" s="1"/>
  <c r="H46" i="3"/>
  <c r="F31" i="12" s="1"/>
  <c r="F52" i="12" s="1"/>
  <c r="F29" i="11"/>
  <c r="G31" i="11"/>
  <c r="H60" i="3"/>
  <c r="G33" i="12" s="1"/>
  <c r="G54" i="12" s="1"/>
  <c r="H44" i="3"/>
  <c r="F29" i="12" s="1"/>
  <c r="F50" i="12" s="1"/>
  <c r="F27" i="11"/>
  <c r="H42" i="3"/>
  <c r="F27" i="12" s="1"/>
  <c r="F48" i="12" s="1"/>
  <c r="F25" i="11"/>
  <c r="H41" i="3"/>
  <c r="F26" i="12" s="1"/>
  <c r="F47" i="12" s="1"/>
  <c r="F24" i="11"/>
  <c r="H53" i="3"/>
  <c r="G26" i="12" s="1"/>
  <c r="G47" i="12" s="1"/>
  <c r="G24" i="11"/>
  <c r="H49" i="3"/>
  <c r="F34" i="12" s="1"/>
  <c r="F55" i="12" s="1"/>
  <c r="F32" i="11"/>
  <c r="H52" i="3"/>
  <c r="G25" i="12" s="1"/>
  <c r="G46" i="12" s="1"/>
  <c r="G23" i="11"/>
  <c r="H57" i="3"/>
  <c r="G30" i="12" s="1"/>
  <c r="G51" i="12" s="1"/>
  <c r="G28" i="11"/>
  <c r="H43" i="3"/>
  <c r="F28" i="12" s="1"/>
  <c r="F49" i="12" s="1"/>
  <c r="F26" i="11"/>
  <c r="Z43" i="1"/>
  <c r="P40" i="1"/>
  <c r="M42" i="1"/>
  <c r="I42" i="1"/>
  <c r="AB42" i="1"/>
  <c r="C40" i="12"/>
  <c r="C19" i="12"/>
  <c r="C54" i="12"/>
  <c r="C59" i="12" s="1"/>
  <c r="D62" i="12" s="1"/>
  <c r="C17" i="13"/>
  <c r="C16" i="13"/>
  <c r="H38" i="3"/>
  <c r="E35" i="12" s="1"/>
  <c r="E7" i="13"/>
  <c r="G31" i="3"/>
  <c r="E7" i="12" s="1"/>
  <c r="H34" i="3"/>
  <c r="E31" i="12" s="1"/>
  <c r="G27" i="3"/>
  <c r="E3" i="12" s="1"/>
  <c r="H35" i="3"/>
  <c r="E32" i="12" s="1"/>
  <c r="E4" i="13"/>
  <c r="G28" i="3"/>
  <c r="E4" i="12" s="1"/>
  <c r="C18" i="13"/>
  <c r="C55" i="11"/>
  <c r="C56" i="11"/>
  <c r="C54" i="11"/>
  <c r="H36" i="3"/>
  <c r="E33" i="12" s="1"/>
  <c r="E5" i="13"/>
  <c r="G29" i="3"/>
  <c r="E5" i="12" s="1"/>
  <c r="H32" i="3"/>
  <c r="E29" i="12" s="1"/>
  <c r="H33" i="3"/>
  <c r="E30" i="12" s="1"/>
  <c r="E10" i="13"/>
  <c r="G34" i="3"/>
  <c r="E10" i="12" s="1"/>
  <c r="H29" i="3"/>
  <c r="E26" i="12" s="1"/>
  <c r="P34" i="1"/>
  <c r="N42" i="1"/>
  <c r="G42" i="1"/>
  <c r="E11" i="13"/>
  <c r="G35" i="3"/>
  <c r="E11" i="12" s="1"/>
  <c r="E14" i="13"/>
  <c r="G38" i="3"/>
  <c r="E14" i="12" s="1"/>
  <c r="H30" i="3"/>
  <c r="E27" i="12" s="1"/>
  <c r="H27" i="3"/>
  <c r="E24" i="12" s="1"/>
  <c r="E8" i="13"/>
  <c r="G32" i="3"/>
  <c r="E8" i="12" s="1"/>
  <c r="E13" i="13"/>
  <c r="G37" i="3"/>
  <c r="E13" i="12" s="1"/>
  <c r="C48" i="13"/>
  <c r="C56" i="13" s="1"/>
  <c r="C37" i="13"/>
  <c r="C35" i="13"/>
  <c r="C36" i="13"/>
  <c r="E9" i="13"/>
  <c r="G33" i="3"/>
  <c r="E9" i="12" s="1"/>
  <c r="E12" i="13"/>
  <c r="G36" i="3"/>
  <c r="E12" i="12" s="1"/>
  <c r="H28" i="3"/>
  <c r="E25" i="12" s="1"/>
  <c r="H37" i="3"/>
  <c r="E34" i="12" s="1"/>
  <c r="E6" i="13"/>
  <c r="G30" i="3"/>
  <c r="E6" i="12" s="1"/>
  <c r="H31" i="3"/>
  <c r="E28" i="12" s="1"/>
  <c r="P35" i="1"/>
  <c r="K42" i="1"/>
  <c r="P37" i="1"/>
  <c r="P38" i="1"/>
  <c r="AB37" i="1"/>
  <c r="AB43" i="1" s="1"/>
  <c r="P36" i="1"/>
  <c r="F42" i="1"/>
  <c r="P32" i="1"/>
  <c r="J42" i="1"/>
  <c r="P33" i="1"/>
  <c r="P39" i="1"/>
  <c r="L42" i="1"/>
  <c r="H42" i="1"/>
  <c r="AA43" i="1"/>
  <c r="X43" i="1"/>
  <c r="P31" i="1"/>
  <c r="H32" i="13" l="1"/>
  <c r="H51" i="13" s="1"/>
  <c r="H51" i="11"/>
  <c r="H26" i="13"/>
  <c r="H45" i="13" s="1"/>
  <c r="H45" i="11"/>
  <c r="H30" i="13"/>
  <c r="H49" i="13" s="1"/>
  <c r="H49" i="11"/>
  <c r="H22" i="13"/>
  <c r="H41" i="13" s="1"/>
  <c r="H35" i="11"/>
  <c r="H35" i="13" s="1"/>
  <c r="H54" i="13" s="1"/>
  <c r="H36" i="11"/>
  <c r="H36" i="13" s="1"/>
  <c r="H55" i="13" s="1"/>
  <c r="H37" i="11"/>
  <c r="H37" i="13" s="1"/>
  <c r="H56" i="13" s="1"/>
  <c r="H41" i="11"/>
  <c r="H29" i="13"/>
  <c r="H48" i="13" s="1"/>
  <c r="H48" i="11"/>
  <c r="H45" i="12"/>
  <c r="H39" i="12"/>
  <c r="H40" i="12"/>
  <c r="H38" i="12"/>
  <c r="H28" i="13"/>
  <c r="H47" i="13" s="1"/>
  <c r="H47" i="11"/>
  <c r="H24" i="13"/>
  <c r="H43" i="13" s="1"/>
  <c r="H43" i="11"/>
  <c r="H31" i="13"/>
  <c r="H50" i="13" s="1"/>
  <c r="H50" i="11"/>
  <c r="H33" i="13"/>
  <c r="H52" i="13" s="1"/>
  <c r="H52" i="11"/>
  <c r="H25" i="13"/>
  <c r="H44" i="13" s="1"/>
  <c r="H44" i="11"/>
  <c r="H23" i="13"/>
  <c r="H42" i="13" s="1"/>
  <c r="H42" i="11"/>
  <c r="H27" i="13"/>
  <c r="H46" i="13" s="1"/>
  <c r="H46" i="11"/>
  <c r="G33" i="13"/>
  <c r="G52" i="13" s="1"/>
  <c r="G52" i="11"/>
  <c r="G39" i="12"/>
  <c r="G45" i="12"/>
  <c r="G40" i="12"/>
  <c r="F38" i="12"/>
  <c r="F40" i="12"/>
  <c r="F39" i="12"/>
  <c r="F45" i="12"/>
  <c r="G49" i="11"/>
  <c r="G30" i="13"/>
  <c r="G49" i="13" s="1"/>
  <c r="F26" i="13"/>
  <c r="F45" i="13" s="1"/>
  <c r="F45" i="11"/>
  <c r="G23" i="13"/>
  <c r="G42" i="13" s="1"/>
  <c r="G42" i="11"/>
  <c r="G24" i="13"/>
  <c r="G43" i="13" s="1"/>
  <c r="G43" i="11"/>
  <c r="F25" i="13"/>
  <c r="F44" i="13" s="1"/>
  <c r="F44" i="11"/>
  <c r="F30" i="13"/>
  <c r="F49" i="13" s="1"/>
  <c r="F49" i="11"/>
  <c r="F31" i="13"/>
  <c r="F50" i="13" s="1"/>
  <c r="F50" i="11"/>
  <c r="F23" i="13"/>
  <c r="F42" i="13" s="1"/>
  <c r="F42" i="11"/>
  <c r="G25" i="13"/>
  <c r="G44" i="13" s="1"/>
  <c r="G44" i="11"/>
  <c r="G46" i="11"/>
  <c r="G27" i="13"/>
  <c r="G46" i="13" s="1"/>
  <c r="G29" i="13"/>
  <c r="G48" i="13" s="1"/>
  <c r="G48" i="11"/>
  <c r="G26" i="13"/>
  <c r="G45" i="13" s="1"/>
  <c r="G45" i="11"/>
  <c r="G31" i="13"/>
  <c r="G50" i="13" s="1"/>
  <c r="G50" i="11"/>
  <c r="G51" i="11"/>
  <c r="G32" i="13"/>
  <c r="G51" i="13" s="1"/>
  <c r="G47" i="11"/>
  <c r="G28" i="13"/>
  <c r="G47" i="13" s="1"/>
  <c r="F32" i="13"/>
  <c r="F51" i="13" s="1"/>
  <c r="F51" i="11"/>
  <c r="F24" i="13"/>
  <c r="F43" i="13" s="1"/>
  <c r="F43" i="11"/>
  <c r="F27" i="13"/>
  <c r="F46" i="13" s="1"/>
  <c r="F46" i="11"/>
  <c r="F29" i="13"/>
  <c r="F48" i="13" s="1"/>
  <c r="F48" i="11"/>
  <c r="F33" i="13"/>
  <c r="F52" i="13" s="1"/>
  <c r="F52" i="11"/>
  <c r="F28" i="13"/>
  <c r="F47" i="13" s="1"/>
  <c r="F47" i="11"/>
  <c r="G37" i="11"/>
  <c r="G41" i="11"/>
  <c r="G35" i="11"/>
  <c r="G36" i="11"/>
  <c r="G22" i="13"/>
  <c r="F22" i="13"/>
  <c r="F35" i="11"/>
  <c r="F36" i="11"/>
  <c r="F41" i="11"/>
  <c r="F37" i="11"/>
  <c r="E17" i="12"/>
  <c r="E38" i="12"/>
  <c r="C61" i="12"/>
  <c r="C60" i="12"/>
  <c r="E48" i="12"/>
  <c r="E54" i="12"/>
  <c r="E50" i="12"/>
  <c r="E46" i="12"/>
  <c r="E47" i="12"/>
  <c r="E51" i="12"/>
  <c r="E49" i="12"/>
  <c r="E52" i="12"/>
  <c r="E56" i="12"/>
  <c r="E55" i="12"/>
  <c r="E26" i="13"/>
  <c r="E45" i="13" s="1"/>
  <c r="E45" i="11"/>
  <c r="C55" i="13"/>
  <c r="E25" i="13"/>
  <c r="E44" i="13" s="1"/>
  <c r="E44" i="11"/>
  <c r="E24" i="13"/>
  <c r="E43" i="13" s="1"/>
  <c r="E43" i="11"/>
  <c r="E28" i="13"/>
  <c r="E47" i="13" s="1"/>
  <c r="E47" i="11"/>
  <c r="E19" i="12"/>
  <c r="E18" i="12"/>
  <c r="E23" i="13"/>
  <c r="E42" i="13" s="1"/>
  <c r="E42" i="11"/>
  <c r="E45" i="12"/>
  <c r="E18" i="11"/>
  <c r="E3" i="13"/>
  <c r="E16" i="11"/>
  <c r="E17" i="11"/>
  <c r="C54" i="13"/>
  <c r="E22" i="13"/>
  <c r="E37" i="11"/>
  <c r="E41" i="11"/>
  <c r="E35" i="11"/>
  <c r="E36" i="11"/>
  <c r="E27" i="13"/>
  <c r="E46" i="13" s="1"/>
  <c r="E46" i="11"/>
  <c r="E31" i="13"/>
  <c r="E50" i="13" s="1"/>
  <c r="E50" i="11"/>
  <c r="E53" i="12"/>
  <c r="E32" i="13"/>
  <c r="E51" i="13" s="1"/>
  <c r="E51" i="11"/>
  <c r="E30" i="13"/>
  <c r="E49" i="13" s="1"/>
  <c r="E49" i="11"/>
  <c r="E29" i="13"/>
  <c r="E48" i="13" s="1"/>
  <c r="E48" i="11"/>
  <c r="E33" i="13"/>
  <c r="E52" i="13" s="1"/>
  <c r="E52" i="11"/>
  <c r="P42" i="1"/>
  <c r="H61" i="12" l="1"/>
  <c r="H60" i="12"/>
  <c r="H59" i="12"/>
  <c r="H55" i="11"/>
  <c r="H56" i="11"/>
  <c r="H54" i="11"/>
  <c r="F56" i="11"/>
  <c r="F54" i="11"/>
  <c r="F55" i="11"/>
  <c r="G35" i="13"/>
  <c r="G36" i="13"/>
  <c r="G41" i="13"/>
  <c r="G37" i="13"/>
  <c r="G61" i="12"/>
  <c r="G60" i="12"/>
  <c r="F36" i="13"/>
  <c r="F41" i="13"/>
  <c r="F35" i="13"/>
  <c r="F37" i="13"/>
  <c r="G54" i="11"/>
  <c r="G56" i="11"/>
  <c r="G55" i="11"/>
  <c r="F59" i="12"/>
  <c r="F60" i="12"/>
  <c r="F61" i="12"/>
  <c r="E20" i="12"/>
  <c r="F20" i="12"/>
  <c r="E41" i="12"/>
  <c r="F41" i="12"/>
  <c r="E59" i="12"/>
  <c r="E39" i="12"/>
  <c r="E40" i="12"/>
  <c r="E54" i="11"/>
  <c r="E55" i="11"/>
  <c r="E56" i="11"/>
  <c r="E61" i="12"/>
  <c r="E60" i="12"/>
  <c r="E41" i="13"/>
  <c r="E36" i="13"/>
  <c r="E37" i="13"/>
  <c r="E35" i="13"/>
  <c r="E18" i="13"/>
  <c r="E16" i="13"/>
  <c r="E17" i="13"/>
  <c r="F56" i="13" l="1"/>
  <c r="F55" i="13"/>
  <c r="F54" i="13"/>
  <c r="G55" i="13"/>
  <c r="G54" i="13"/>
  <c r="G56" i="13"/>
  <c r="E62" i="12"/>
  <c r="F62" i="12"/>
  <c r="E56" i="13"/>
  <c r="E54" i="13"/>
  <c r="E55" i="13"/>
  <c r="G38" i="12"/>
  <c r="G59" i="12"/>
  <c r="J36" i="12" l="1"/>
  <c r="G41" i="12"/>
  <c r="H41" i="12"/>
  <c r="G62" i="12"/>
  <c r="H62" i="12"/>
</calcChain>
</file>

<file path=xl/sharedStrings.xml><?xml version="1.0" encoding="utf-8"?>
<sst xmlns="http://schemas.openxmlformats.org/spreadsheetml/2006/main" count="1322" uniqueCount="99">
  <si>
    <t>Petrol Tax Reconciliation</t>
  </si>
  <si>
    <t>General Information:</t>
  </si>
  <si>
    <t>Bank Statement amount to litres conversion</t>
  </si>
  <si>
    <t>Instructions</t>
  </si>
  <si>
    <t>Month of Reconciliation</t>
  </si>
  <si>
    <t>July</t>
  </si>
  <si>
    <t>- Assumes  petrol and diesel split 50/50</t>
  </si>
  <si>
    <t>- The worksheet is structured so only the litres by each supplier are entered into the light orange cells</t>
  </si>
  <si>
    <t>Financial Year</t>
  </si>
  <si>
    <t>Input amount:</t>
  </si>
  <si>
    <t>- All other amounts are formula driven. These should not be changed.</t>
  </si>
  <si>
    <t>Rate for petrol</t>
  </si>
  <si>
    <t>- If only the deposit amount is avaliable, an asumed 50/50 split will arise. This is calculated in the green conversion</t>
  </si>
  <si>
    <t>Rate for diesel</t>
  </si>
  <si>
    <t>litres Petrol</t>
  </si>
  <si>
    <t xml:space="preserve">  box.</t>
  </si>
  <si>
    <t>Yearly rates DCC</t>
  </si>
  <si>
    <t>Litres Diesel</t>
  </si>
  <si>
    <t xml:space="preserve">- After the split has been determined, then the appropriate amount should be paid. </t>
  </si>
  <si>
    <t>Yearly rates WDS</t>
  </si>
  <si>
    <t>- Copy the above figures as values only</t>
  </si>
  <si>
    <t xml:space="preserve">- The bank chould the be reconcilied. There is a timing difference of approximatly 2 months from when the </t>
  </si>
  <si>
    <t>Wearly rates CDC</t>
  </si>
  <si>
    <t xml:space="preserve">  supplier pays the tax.</t>
  </si>
  <si>
    <t>Administration Fee</t>
  </si>
  <si>
    <t>Petrol Supplies Received (input)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</si>
  <si>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</si>
  <si>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</si>
  <si>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</si>
  <si>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</si>
  <si>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</si>
  <si>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</si>
  <si>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</si>
  <si>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</si>
  <si>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</si>
  <si>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</si>
  <si>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</si>
  <si>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Petrol</t>
  </si>
  <si>
    <t>Diesel</t>
  </si>
  <si>
    <t>Litres</t>
  </si>
  <si>
    <t>Amount ($)</t>
  </si>
  <si>
    <t>B.P NZ LTD</t>
  </si>
  <si>
    <t>Chevron CALTEX</t>
  </si>
  <si>
    <t>ExxonMOBIL</t>
  </si>
  <si>
    <t>Z Energy</t>
  </si>
  <si>
    <t>McKeown &amp; Graham</t>
  </si>
  <si>
    <t>Allied Petroleum</t>
  </si>
  <si>
    <t>CRT Farmlands Fuel</t>
  </si>
  <si>
    <t>RD Petroleum Ltd</t>
  </si>
  <si>
    <t>GULL NZ Ltd</t>
  </si>
  <si>
    <t>Nelson Petroleum Dist</t>
  </si>
  <si>
    <t>Total</t>
  </si>
  <si>
    <t>Petrol Supplies Received (Summary) ($)</t>
  </si>
  <si>
    <t>Petrol Supplies Received</t>
  </si>
  <si>
    <t>Total Reported</t>
  </si>
  <si>
    <t>DCC Proportion</t>
  </si>
  <si>
    <t>Energy Content (PJ)</t>
  </si>
  <si>
    <t>- The worksheet is structured so only The litres by each supplier  are entered into The light orange cells</t>
  </si>
  <si>
    <t xml:space="preserve">  are entered into the light orange cells. All other amounts are formula driven. These should not be changed.</t>
  </si>
  <si>
    <t>Total Energy (PJ)</t>
  </si>
  <si>
    <t>Tax data collection begain January 2014</t>
  </si>
  <si>
    <t>Anonymous</t>
  </si>
  <si>
    <t>Minimum</t>
  </si>
  <si>
    <t>Maximum</t>
  </si>
  <si>
    <t>Tonnes</t>
  </si>
  <si>
    <t>Energy (PJ)</t>
  </si>
  <si>
    <t>Electricity</t>
  </si>
  <si>
    <t>Allocated To:</t>
  </si>
  <si>
    <t>Auguat</t>
  </si>
  <si>
    <t>Dunedin City Council</t>
  </si>
  <si>
    <t>Waitaki District Council</t>
  </si>
  <si>
    <t>Clutha District Council</t>
  </si>
  <si>
    <t>Variance (should be -0-)</t>
  </si>
  <si>
    <t>Bank Reconciliation</t>
  </si>
  <si>
    <t>Administration Fee Payable - in July each year</t>
  </si>
  <si>
    <t>Plus: amounts not yet paid:</t>
  </si>
  <si>
    <t>X</t>
  </si>
  <si>
    <t>Variance Correction</t>
  </si>
  <si>
    <t>Closing Balance Per Worksheet</t>
  </si>
  <si>
    <t>Closing Balance per Statement</t>
  </si>
  <si>
    <t>Notes debit amount per month are total for month + months paid in advance less transaction paid prior month</t>
  </si>
  <si>
    <t>Location</t>
  </si>
  <si>
    <t>Fuel Type</t>
  </si>
  <si>
    <t>Energy Consumed for electicity generation</t>
  </si>
  <si>
    <t>FY Year</t>
  </si>
  <si>
    <t>University</t>
  </si>
  <si>
    <t>Hospitals</t>
  </si>
  <si>
    <t>Unit</t>
  </si>
  <si>
    <t>L</t>
  </si>
  <si>
    <t>MWh</t>
  </si>
  <si>
    <t>LPG</t>
  </si>
  <si>
    <t>Variation</t>
  </si>
  <si>
    <t>kWh</t>
  </si>
  <si>
    <t xml:space="preserve"> </t>
  </si>
  <si>
    <t>Univeristy</t>
  </si>
  <si>
    <t>MJ</t>
  </si>
  <si>
    <t>-</t>
  </si>
  <si>
    <t>Petrol (litres)</t>
  </si>
  <si>
    <t>Deisel (litres)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</si>
</sst>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-* #,##0.00_-;\-* #,##0.00_-;_-* &quot;-&quot;??_-;_-@_-"/>
    <numFmt numFmtId="164" formatCode="_(* #,##0_);_(* \(#,##0\);_(* &quot;-&quot;_);_(@_)"/>
    <numFmt numFmtId="165" formatCode="yyyy"/>
    <numFmt numFmtId="166" formatCode="&quot;$&quot;#,##0"/>
    <numFmt numFmtId="167" formatCode="_(* #,##0.00_);_(* \(#,##0.00\);_(* &quot;-&quot;_);_(@_)"/>
    <numFmt numFmtId="168" formatCode="_-* #,##0_-;\-* #,##0_-;_-* &quot;-&quot;??_-;_-@_-"/>
    <numFmt numFmtId="169" formatCode="_-* #,##0.0000_-;\-* #,##0.0000_-;_-* &quot;-&quot;??_-;_-@_-"/>
    <numFmt numFmtId="170" formatCode="0.000%"/>
    <numFmt numFmtId="171" formatCode="_-* #,##0.00000_-;\-* #,##0.00000_-;_-* &quot;-&quot;??_-;_-@_-"/>
    <numFmt numFmtId="172" formatCode="0.0%"/>
    <numFmt numFmtId="173" formatCode="_(* #,##0.0000_);_(* \(#,##0.0000\);_(* &quot;-&quot;_);_(@_)"/>
    <numFmt numFmtId="174" formatCode="0.000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8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10" fillId="9" borderId="0" applyNumberFormat="0" applyBorder="0" applyAlignment="0" applyProtection="0"/>
    <xf numFmtId="0" fontId="11" fillId="10" borderId="39" applyNumberFormat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9" fontId="8" fillId="0" borderId="0" applyFon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4" fillId="2" borderId="4" xfId="0" applyFont="1" applyFill="1" applyBorder="1"/>
    <xf numFmtId="0" fontId="0" fillId="2" borderId="0" xfId="0" applyFill="1"/>
    <xf numFmtId="0" fontId="4" fillId="2" borderId="5" xfId="0" applyFont="1" applyFill="1" applyBorder="1" applyAlignment="1">
      <alignment horizontal="right"/>
    </xf>
    <xf numFmtId="0" fontId="0" fillId="3" borderId="4" xfId="0" quotePrefix="1" applyFill="1" applyBorder="1" applyAlignment="1">
      <alignment horizontal="left"/>
    </xf>
    <xf numFmtId="0" fontId="0" fillId="3" borderId="0" xfId="0" applyFill="1"/>
    <xf numFmtId="0" fontId="0" fillId="3" borderId="5" xfId="0" applyFill="1" applyBorder="1"/>
    <xf numFmtId="0" fontId="0" fillId="4" borderId="4" xfId="0" quotePrefix="1" applyFill="1" applyBorder="1"/>
    <xf numFmtId="0" fontId="0" fillId="4" borderId="0" xfId="0" applyFill="1"/>
    <xf numFmtId="0" fontId="0" fillId="4" borderId="5" xfId="0" applyFill="1" applyBorder="1"/>
    <xf numFmtId="165" fontId="4" fillId="2" borderId="5" xfId="0" applyNumberFormat="1" applyFont="1" applyFill="1" applyBorder="1"/>
    <xf numFmtId="0" fontId="0" fillId="3" borderId="4" xfId="0" applyFill="1" applyBorder="1"/>
    <xf numFmtId="0" fontId="0" fillId="5" borderId="0" xfId="0" applyFill="1"/>
    <xf numFmtId="0" fontId="4" fillId="2" borderId="5" xfId="0" applyFont="1" applyFill="1" applyBorder="1"/>
    <xf numFmtId="166" fontId="4" fillId="5" borderId="0" xfId="0" applyNumberFormat="1" applyFont="1" applyFill="1"/>
    <xf numFmtId="0" fontId="0" fillId="2" borderId="5" xfId="0" applyFill="1" applyBorder="1"/>
    <xf numFmtId="0" fontId="0" fillId="3" borderId="4" xfId="0" quotePrefix="1" applyFill="1" applyBorder="1"/>
    <xf numFmtId="0" fontId="4" fillId="2" borderId="6" xfId="0" applyFont="1" applyFill="1" applyBorder="1"/>
    <xf numFmtId="0" fontId="0" fillId="2" borderId="7" xfId="0" applyFill="1" applyBorder="1"/>
    <xf numFmtId="166" fontId="4" fillId="2" borderId="8" xfId="0" applyNumberFormat="1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4" xfId="0" applyFont="1" applyBorder="1"/>
    <xf numFmtId="0" fontId="1" fillId="0" borderId="22" xfId="0" applyFont="1" applyBorder="1"/>
    <xf numFmtId="0" fontId="1" fillId="0" borderId="23" xfId="0" applyFont="1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164" fontId="0" fillId="5" borderId="27" xfId="0" applyNumberFormat="1" applyFill="1" applyBorder="1"/>
    <xf numFmtId="164" fontId="0" fillId="0" borderId="28" xfId="0" applyNumberFormat="1" applyBorder="1"/>
    <xf numFmtId="164" fontId="0" fillId="5" borderId="0" xfId="0" applyNumberFormat="1" applyFill="1"/>
    <xf numFmtId="164" fontId="0" fillId="0" borderId="0" xfId="0" applyNumberFormat="1"/>
    <xf numFmtId="164" fontId="0" fillId="5" borderId="4" xfId="0" applyNumberFormat="1" applyFill="1" applyBorder="1"/>
    <xf numFmtId="164" fontId="0" fillId="0" borderId="5" xfId="0" applyNumberFormat="1" applyBorder="1"/>
    <xf numFmtId="0" fontId="7" fillId="0" borderId="29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64" fontId="0" fillId="0" borderId="31" xfId="0" applyNumberFormat="1" applyBorder="1"/>
    <xf numFmtId="164" fontId="0" fillId="0" borderId="32" xfId="0" applyNumberFormat="1" applyBorder="1"/>
    <xf numFmtId="164" fontId="0" fillId="0" borderId="30" xfId="0" applyNumberFormat="1" applyBorder="1"/>
    <xf numFmtId="164" fontId="0" fillId="0" borderId="29" xfId="0" applyNumberFormat="1" applyBorder="1"/>
    <xf numFmtId="164" fontId="0" fillId="0" borderId="33" xfId="0" applyNumberFormat="1" applyBorder="1"/>
    <xf numFmtId="164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164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6" borderId="9" xfId="0" applyFont="1" applyFill="1" applyBorder="1"/>
    <xf numFmtId="0" fontId="1" fillId="6" borderId="10" xfId="0" applyFont="1" applyFill="1" applyBorder="1"/>
    <xf numFmtId="167" fontId="0" fillId="0" borderId="4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0" fillId="0" borderId="5" xfId="0" applyNumberFormat="1" applyBorder="1"/>
    <xf numFmtId="167" fontId="0" fillId="0" borderId="35" xfId="0" applyNumberFormat="1" applyBorder="1"/>
    <xf numFmtId="0" fontId="1" fillId="6" borderId="4" xfId="0" applyFont="1" applyFill="1" applyBorder="1"/>
    <xf numFmtId="0" fontId="1" fillId="6" borderId="0" xfId="0" applyFont="1" applyFill="1"/>
    <xf numFmtId="0" fontId="1" fillId="6" borderId="22" xfId="0" applyFont="1" applyFill="1" applyBorder="1"/>
    <xf numFmtId="0" fontId="1" fillId="6" borderId="23" xfId="0" applyFont="1" applyFill="1" applyBorder="1"/>
    <xf numFmtId="0" fontId="0" fillId="6" borderId="22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4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6" fillId="6" borderId="4" xfId="0" applyFont="1" applyFill="1" applyBorder="1" applyAlignment="1">
      <alignment vertical="center"/>
    </xf>
    <xf numFmtId="0" fontId="6" fillId="6" borderId="0" xfId="0" applyFont="1" applyFill="1" applyAlignment="1">
      <alignment vertical="center"/>
    </xf>
    <xf numFmtId="164" fontId="0" fillId="6" borderId="4" xfId="0" applyNumberFormat="1" applyFill="1" applyBorder="1"/>
    <xf numFmtId="164" fontId="0" fillId="6" borderId="36" xfId="0" applyNumberFormat="1" applyFill="1" applyBorder="1"/>
    <xf numFmtId="164" fontId="0" fillId="6" borderId="37" xfId="0" applyNumberFormat="1" applyFill="1" applyBorder="1"/>
    <xf numFmtId="164" fontId="0" fillId="6" borderId="27" xfId="0" applyNumberFormat="1" applyFill="1" applyBorder="1"/>
    <xf numFmtId="164" fontId="0" fillId="6" borderId="5" xfId="0" applyNumberFormat="1" applyFill="1" applyBorder="1"/>
    <xf numFmtId="164" fontId="0" fillId="6" borderId="0" xfId="0" applyNumberFormat="1" applyFill="1"/>
    <xf numFmtId="164" fontId="0" fillId="6" borderId="28" xfId="0" applyNumberFormat="1" applyFill="1" applyBorder="1"/>
    <xf numFmtId="167" fontId="1" fillId="0" borderId="29" xfId="0" applyNumberFormat="1" applyFont="1" applyBorder="1"/>
    <xf numFmtId="167" fontId="1" fillId="0" borderId="30" xfId="0" applyNumberFormat="1" applyFont="1" applyBorder="1"/>
    <xf numFmtId="167" fontId="1" fillId="0" borderId="38" xfId="0" applyNumberFormat="1" applyFont="1" applyBorder="1"/>
    <xf numFmtId="0" fontId="7" fillId="0" borderId="0" xfId="0" applyFont="1" applyAlignment="1">
      <alignment vertical="center"/>
    </xf>
    <xf numFmtId="0" fontId="7" fillId="6" borderId="29" xfId="0" applyFont="1" applyFill="1" applyBorder="1" applyAlignment="1">
      <alignment vertical="center"/>
    </xf>
    <xf numFmtId="0" fontId="7" fillId="6" borderId="30" xfId="0" applyFont="1" applyFill="1" applyBorder="1" applyAlignment="1">
      <alignment vertical="center"/>
    </xf>
    <xf numFmtId="164" fontId="1" fillId="6" borderId="29" xfId="0" applyNumberFormat="1" applyFont="1" applyFill="1" applyBorder="1"/>
    <xf numFmtId="164" fontId="1" fillId="6" borderId="32" xfId="0" applyNumberFormat="1" applyFont="1" applyFill="1" applyBorder="1"/>
    <xf numFmtId="164" fontId="1" fillId="6" borderId="30" xfId="0" applyNumberFormat="1" applyFont="1" applyFill="1" applyBorder="1"/>
    <xf numFmtId="164" fontId="1" fillId="6" borderId="31" xfId="0" applyNumberFormat="1" applyFont="1" applyFill="1" applyBorder="1"/>
    <xf numFmtId="164" fontId="1" fillId="6" borderId="33" xfId="0" applyNumberFormat="1" applyFont="1" applyFill="1" applyBorder="1"/>
    <xf numFmtId="0" fontId="1" fillId="0" borderId="0" xfId="0" applyFont="1" applyAlignment="1">
      <alignment horizontal="center"/>
    </xf>
    <xf numFmtId="43" fontId="0" fillId="0" borderId="0" xfId="0" applyNumberFormat="1"/>
    <xf numFmtId="43" fontId="0" fillId="3" borderId="0" xfId="1" applyFont="1" applyFill="1"/>
    <xf numFmtId="168" fontId="0" fillId="3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" fontId="0" fillId="0" borderId="0" xfId="0" applyNumberFormat="1" applyAlignment="1">
      <alignment vertical="center"/>
    </xf>
    <xf numFmtId="168" fontId="0" fillId="0" borderId="0" xfId="1" applyNumberFormat="1" applyFont="1" applyAlignment="1">
      <alignment horizontal="center" vertical="center"/>
    </xf>
    <xf numFmtId="43" fontId="0" fillId="5" borderId="0" xfId="1" applyFont="1" applyFill="1"/>
    <xf numFmtId="0" fontId="0" fillId="4" borderId="4" xfId="0" applyFill="1" applyBorder="1"/>
    <xf numFmtId="0" fontId="0" fillId="11" borderId="6" xfId="0" applyFill="1" applyBorder="1"/>
    <xf numFmtId="0" fontId="5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28" xfId="0" applyNumberFormat="1" applyBorder="1"/>
    <xf numFmtId="167" fontId="0" fillId="0" borderId="28" xfId="0" applyNumberFormat="1" applyBorder="1"/>
    <xf numFmtId="167" fontId="0" fillId="0" borderId="32" xfId="0" applyNumberFormat="1" applyBorder="1"/>
    <xf numFmtId="2" fontId="0" fillId="0" borderId="0" xfId="0" applyNumberFormat="1"/>
    <xf numFmtId="164" fontId="0" fillId="0" borderId="35" xfId="0" applyNumberFormat="1" applyBorder="1"/>
    <xf numFmtId="164" fontId="1" fillId="0" borderId="38" xfId="0" applyNumberFormat="1" applyFont="1" applyBorder="1"/>
    <xf numFmtId="0" fontId="12" fillId="0" borderId="0" xfId="0" applyFont="1"/>
    <xf numFmtId="49" fontId="1" fillId="0" borderId="4" xfId="0" applyNumberFormat="1" applyFont="1" applyBorder="1"/>
    <xf numFmtId="49" fontId="1" fillId="0" borderId="0" xfId="0" applyNumberFormat="1" applyFont="1"/>
    <xf numFmtId="49" fontId="0" fillId="0" borderId="0" xfId="0" applyNumberFormat="1"/>
    <xf numFmtId="0" fontId="7" fillId="6" borderId="9" xfId="0" applyFont="1" applyFill="1" applyBorder="1" applyAlignment="1">
      <alignment vertical="center"/>
    </xf>
    <xf numFmtId="0" fontId="7" fillId="6" borderId="10" xfId="0" applyFont="1" applyFill="1" applyBorder="1" applyAlignment="1">
      <alignment vertical="center"/>
    </xf>
    <xf numFmtId="164" fontId="1" fillId="6" borderId="11" xfId="0" applyNumberFormat="1" applyFont="1" applyFill="1" applyBorder="1"/>
    <xf numFmtId="167" fontId="1" fillId="6" borderId="9" xfId="0" applyNumberFormat="1" applyFont="1" applyFill="1" applyBorder="1"/>
    <xf numFmtId="167" fontId="1" fillId="6" borderId="12" xfId="0" applyNumberFormat="1" applyFont="1" applyFill="1" applyBorder="1"/>
    <xf numFmtId="167" fontId="1" fillId="6" borderId="10" xfId="0" applyNumberFormat="1" applyFont="1" applyFill="1" applyBorder="1"/>
    <xf numFmtId="167" fontId="1" fillId="6" borderId="13" xfId="0" applyNumberFormat="1" applyFont="1" applyFill="1" applyBorder="1"/>
    <xf numFmtId="164" fontId="0" fillId="0" borderId="19" xfId="0" applyNumberFormat="1" applyBorder="1"/>
    <xf numFmtId="0" fontId="0" fillId="0" borderId="19" xfId="0" applyBorder="1"/>
    <xf numFmtId="168" fontId="0" fillId="0" borderId="0" xfId="1" applyNumberFormat="1" applyFont="1"/>
    <xf numFmtId="1" fontId="0" fillId="3" borderId="0" xfId="0" applyNumberFormat="1" applyFill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35" xfId="0" applyBorder="1"/>
    <xf numFmtId="167" fontId="0" fillId="0" borderId="4" xfId="0" applyNumberFormat="1" applyBorder="1"/>
    <xf numFmtId="0" fontId="1" fillId="0" borderId="40" xfId="0" applyFont="1" applyBorder="1"/>
    <xf numFmtId="0" fontId="1" fillId="0" borderId="41" xfId="0" applyFont="1" applyBorder="1"/>
    <xf numFmtId="167" fontId="1" fillId="0" borderId="40" xfId="0" applyNumberFormat="1" applyFont="1" applyBorder="1"/>
    <xf numFmtId="167" fontId="1" fillId="0" borderId="41" xfId="0" applyNumberFormat="1" applyFont="1" applyBorder="1"/>
    <xf numFmtId="167" fontId="1" fillId="0" borderId="42" xfId="0" applyNumberFormat="1" applyFont="1" applyBorder="1"/>
    <xf numFmtId="167" fontId="1" fillId="0" borderId="43" xfId="0" applyNumberFormat="1" applyFont="1" applyBorder="1"/>
    <xf numFmtId="167" fontId="1" fillId="0" borderId="4" xfId="0" applyNumberFormat="1" applyFont="1" applyBorder="1"/>
    <xf numFmtId="167" fontId="1" fillId="0" borderId="0" xfId="0" applyNumberFormat="1" applyFont="1"/>
    <xf numFmtId="167" fontId="1" fillId="0" borderId="5" xfId="0" applyNumberFormat="1" applyFont="1" applyBorder="1"/>
    <xf numFmtId="167" fontId="1" fillId="0" borderId="35" xfId="0" applyNumberFormat="1" applyFont="1" applyBorder="1"/>
    <xf numFmtId="0" fontId="0" fillId="0" borderId="29" xfId="0" applyBorder="1"/>
    <xf numFmtId="0" fontId="0" fillId="0" borderId="30" xfId="0" applyBorder="1"/>
    <xf numFmtId="167" fontId="0" fillId="0" borderId="29" xfId="0" applyNumberFormat="1" applyBorder="1"/>
    <xf numFmtId="167" fontId="0" fillId="0" borderId="30" xfId="0" applyNumberFormat="1" applyBorder="1"/>
    <xf numFmtId="167" fontId="0" fillId="0" borderId="38" xfId="0" applyNumberFormat="1" applyBorder="1"/>
    <xf numFmtId="4" fontId="0" fillId="0" borderId="0" xfId="0" applyNumberFormat="1"/>
    <xf numFmtId="0" fontId="12" fillId="0" borderId="9" xfId="0" applyFont="1" applyBorder="1"/>
    <xf numFmtId="0" fontId="12" fillId="0" borderId="10" xfId="0" applyFont="1" applyBorder="1"/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4" fontId="1" fillId="0" borderId="34" xfId="0" applyNumberFormat="1" applyFont="1" applyBorder="1" applyAlignment="1">
      <alignment horizontal="center"/>
    </xf>
    <xf numFmtId="0" fontId="12" fillId="0" borderId="4" xfId="0" applyFont="1" applyBorder="1"/>
    <xf numFmtId="4" fontId="1" fillId="0" borderId="4" xfId="0" applyNumberFormat="1" applyFont="1" applyBorder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0" borderId="35" xfId="0" applyNumberFormat="1" applyBorder="1"/>
    <xf numFmtId="17" fontId="0" fillId="0" borderId="4" xfId="0" applyNumberFormat="1" applyBorder="1" applyAlignment="1">
      <alignment horizontal="left" indent="1"/>
    </xf>
    <xf numFmtId="167" fontId="0" fillId="5" borderId="0" xfId="0" applyNumberFormat="1" applyFill="1"/>
    <xf numFmtId="167" fontId="0" fillId="5" borderId="4" xfId="0" applyNumberFormat="1" applyFill="1" applyBorder="1"/>
    <xf numFmtId="0" fontId="0" fillId="0" borderId="40" xfId="0" applyBorder="1"/>
    <xf numFmtId="0" fontId="0" fillId="0" borderId="41" xfId="0" applyBorder="1"/>
    <xf numFmtId="167" fontId="0" fillId="0" borderId="40" xfId="0" applyNumberFormat="1" applyBorder="1"/>
    <xf numFmtId="167" fontId="0" fillId="0" borderId="41" xfId="0" applyNumberFormat="1" applyBorder="1"/>
    <xf numFmtId="4" fontId="0" fillId="0" borderId="43" xfId="0" applyNumberFormat="1" applyBorder="1"/>
    <xf numFmtId="167" fontId="0" fillId="5" borderId="40" xfId="0" applyNumberFormat="1" applyFill="1" applyBorder="1"/>
    <xf numFmtId="167" fontId="0" fillId="5" borderId="41" xfId="0" applyNumberFormat="1" applyFill="1" applyBorder="1"/>
    <xf numFmtId="4" fontId="0" fillId="0" borderId="38" xfId="0" applyNumberFormat="1" applyBorder="1"/>
    <xf numFmtId="168" fontId="15" fillId="0" borderId="0" xfId="1" applyNumberFormat="1" applyFont="1" applyAlignment="1">
      <alignment vertical="center"/>
    </xf>
    <xf numFmtId="168" fontId="0" fillId="0" borderId="0" xfId="1" applyNumberFormat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169" fontId="0" fillId="0" borderId="0" xfId="1" applyNumberFormat="1" applyFont="1" applyAlignment="1">
      <alignment vertical="center"/>
    </xf>
    <xf numFmtId="170" fontId="0" fillId="0" borderId="0" xfId="8" applyNumberFormat="1" applyFont="1" applyAlignment="1">
      <alignment vertical="center"/>
    </xf>
    <xf numFmtId="0" fontId="0" fillId="0" borderId="0" xfId="0" applyAlignment="1">
      <alignment vertical="center" wrapText="1"/>
    </xf>
    <xf numFmtId="171" fontId="0" fillId="0" borderId="0" xfId="1" applyNumberFormat="1" applyFont="1" applyAlignment="1">
      <alignment vertical="center"/>
    </xf>
    <xf numFmtId="171" fontId="0" fillId="0" borderId="0" xfId="0" applyNumberFormat="1" applyAlignment="1">
      <alignment vertical="center"/>
    </xf>
    <xf numFmtId="10" fontId="0" fillId="0" borderId="0" xfId="8" applyNumberFormat="1" applyFont="1" applyAlignment="1">
      <alignment vertical="center"/>
    </xf>
    <xf numFmtId="172" fontId="0" fillId="0" borderId="0" xfId="8" applyNumberFormat="1" applyFont="1" applyAlignment="1">
      <alignment vertical="center"/>
    </xf>
    <xf numFmtId="0" fontId="0" fillId="5" borderId="27" xfId="0" applyNumberFormat="1" applyFill="1" applyBorder="1"/>
    <xf numFmtId="0" fontId="0" fillId="5" borderId="0" xfId="0" applyNumberFormat="1" applyFill="1"/>
    <xf numFmtId="0" fontId="0" fillId="5" borderId="4" xfId="0" applyNumberForma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43" fontId="0" fillId="0" borderId="0" xfId="0" applyNumberFormat="1" applyAlignment="1">
      <alignment vertical="center"/>
    </xf>
    <xf numFmtId="43" fontId="0" fillId="0" borderId="0" xfId="1" applyNumberFormat="1" applyFont="1" applyAlignment="1">
      <alignment vertical="center"/>
    </xf>
    <xf numFmtId="169" fontId="0" fillId="0" borderId="0" xfId="0" applyNumberFormat="1" applyAlignment="1">
      <alignment vertical="center"/>
    </xf>
    <xf numFmtId="173" fontId="0" fillId="0" borderId="0" xfId="0" applyNumberFormat="1"/>
    <xf numFmtId="3" fontId="16" fillId="0" borderId="0" xfId="0" applyNumberFormat="1" applyFont="1"/>
    <xf numFmtId="17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5" fillId="6" borderId="2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1" xfId="0" applyFont="1" applyFill="1" applyBorder="1" applyAlignment="1">
      <alignment horizontal="center"/>
    </xf>
    <xf numFmtId="49" fontId="5" fillId="0" borderId="17" xfId="0" applyNumberFormat="1" applyFont="1" applyBorder="1" applyAlignment="1">
      <alignment horizontal="center"/>
    </xf>
    <xf numFmtId="49" fontId="5" fillId="0" borderId="18" xfId="0" applyNumberFormat="1" applyFont="1" applyBorder="1" applyAlignment="1">
      <alignment horizontal="center"/>
    </xf>
    <xf numFmtId="49" fontId="5" fillId="0" borderId="19" xfId="0" applyNumberFormat="1" applyFont="1" applyBorder="1" applyAlignment="1">
      <alignment horizontal="center"/>
    </xf>
    <xf numFmtId="49" fontId="5" fillId="0" borderId="20" xfId="0" applyNumberFormat="1" applyFont="1" applyBorder="1" applyAlignment="1">
      <alignment horizontal="center"/>
    </xf>
    <xf numFmtId="49" fontId="5" fillId="0" borderId="21" xfId="0" applyNumberFormat="1" applyFont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17" fontId="1" fillId="0" borderId="16" xfId="0" applyNumberFormat="1" applyFont="1" applyBorder="1" applyAlignment="1">
      <alignment horizontal="center"/>
    </xf>
    <xf numFmtId="17" fontId="1" fillId="0" borderId="15" xfId="0" applyNumberFormat="1" applyFon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17" fontId="1" fillId="0" borderId="12" xfId="0" applyNumberFormat="1" applyFont="1" applyBorder="1" applyAlignment="1">
      <alignment horizontal="center"/>
    </xf>
    <xf numFmtId="17" fontId="1" fillId="0" borderId="10" xfId="0" applyNumberFormat="1" applyFont="1" applyBorder="1" applyAlignment="1">
      <alignment horizontal="center"/>
    </xf>
    <xf numFmtId="17" fontId="1" fillId="0" borderId="11" xfId="0" applyNumberFormat="1" applyFont="1" applyBorder="1" applyAlignment="1">
      <alignment horizontal="center"/>
    </xf>
    <xf numFmtId="17" fontId="1" fillId="0" borderId="13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8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8" fontId="2" fillId="0" borderId="0" xfId="1" applyNumberFormat="1" applyFont="1" applyAlignment="1">
      <alignment horizontal="center" vertical="center"/>
    </xf>
  </cellXfs>
  <cellStyles count="9">
    <cellStyle name="Bad 2" xfId="7" xr:uid="{00000000-0005-0000-0000-000000000000}"/>
    <cellStyle name="Calculation 2" xfId="5" xr:uid="{00000000-0005-0000-0000-000001000000}"/>
    <cellStyle name="Comma" xfId="1" builtinId="3"/>
    <cellStyle name="Comma 2" xfId="3" xr:uid="{00000000-0005-0000-0000-000003000000}"/>
    <cellStyle name="Good 2" xfId="6" xr:uid="{00000000-0005-0000-0000-000004000000}"/>
    <cellStyle name="Neutral 2" xfId="4" xr:uid="{00000000-0005-0000-0000-000005000000}"/>
    <cellStyle name="Normal" xfId="0" builtinId="0"/>
    <cellStyle name="Normal 2" xfId="2" xr:uid="{00000000-0005-0000-0000-000007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'2020'!$A$91</c:f>
              <c:strCache>
                <c:ptCount val="1"/>
                <c:pt idx="0">
                  <c:v>Petrol (litres)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'2020'!$B$90:$M$90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'2020'!$B$91:$M$91</c:f>
              <c:numCache>
                <c:formatCode>_(* #,##0_);_(* \(#,##0\);_(* "-"_);_(@_)</c:formatCode>
                <c:ptCount val="12"/>
                <c:pt idx="0">
                  <c:v>8364556.6300000008</c:v>
                </c:pt>
                <c:pt idx="1">
                  <c:v>8606582.629999999</c:v>
                </c:pt>
                <c:pt idx="2">
                  <c:v>8798115.6099999994</c:v>
                </c:pt>
                <c:pt idx="3">
                  <c:v>8965891.3000000007</c:v>
                </c:pt>
                <c:pt idx="4">
                  <c:v>9269983.8000000007</c:v>
                </c:pt>
                <c:pt idx="5">
                  <c:v>9895138.4100000001</c:v>
                </c:pt>
                <c:pt idx="6">
                  <c:v>9438238.5199999996</c:v>
                </c:pt>
                <c:pt idx="7">
                  <c:v>8845877.4600000009</c:v>
                </c:pt>
                <c:pt idx="8">
                  <c:v>8354018.04</c:v>
                </c:pt>
                <c:pt idx="9">
                  <c:v>2149143.33</c:v>
                </c:pt>
                <c:pt idx="10">
                  <c:v>6646351.2999999998</c:v>
                </c:pt>
                <c:pt idx="11">
                  <c:v>8164878.3200000003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1-8947-A9BD-A847087E44C9}"/>
            </c:ext>
          </c:extLst>
        </c:ser>
        <c:ser>
          <c:idx val="1"/>
          <c:order val="1"/>
          <c:tx>
            <c:strRef>
              <c:f>'2020'!$A$92</c:f>
              <c:strCache>
                <c:ptCount val="1"/>
                <c:pt idx="0">
                  <c:v>Deisel (litres)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'2020'!$B$90:$M$90</c:f>
              <c:strCache>
                <c:ptCount val="12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  <c:pt idx="6">
                  <c:v>January</c:v>
                </c:pt>
                <c:pt idx="7">
                  <c:v>February</c:v>
                </c:pt>
                <c:pt idx="8">
                  <c:v>March</c:v>
                </c:pt>
                <c:pt idx="9">
                  <c:v>April</c:v>
                </c:pt>
                <c:pt idx="10">
                  <c:v>May</c:v>
                </c:pt>
                <c:pt idx="11">
                  <c:v>June</c:v>
                </c:pt>
              </c:strCache>
            </c:strRef>
          </c:cat>
          <c:val>
            <c:numRef>
              <c:f>'2020'!$B$92:$M$92</c:f>
              <c:numCache>
                <c:formatCode>_(* #,##0_);_(* \(#,##0\);_(* "-"_);_(@_)</c:formatCode>
                <c:ptCount val="12"/>
                <c:pt idx="0">
                  <c:v>13724191.969999999</c:v>
                </c:pt>
                <c:pt idx="1">
                  <c:v>13392814.779999999</c:v>
                </c:pt>
                <c:pt idx="2">
                  <c:v>14616515.01</c:v>
                </c:pt>
                <c:pt idx="3">
                  <c:v>15998877.6</c:v>
                </c:pt>
                <c:pt idx="4">
                  <c:v>16367212.709999999</c:v>
                </c:pt>
                <c:pt idx="5">
                  <c:v>15517011.98</c:v>
                </c:pt>
                <c:pt idx="6">
                  <c:v>14917324.200000001</c:v>
                </c:pt>
                <c:pt idx="7">
                  <c:v>15409000.760000002</c:v>
                </c:pt>
                <c:pt idx="8">
                  <c:v>14477462.91</c:v>
                </c:pt>
                <c:pt idx="9">
                  <c:v>7144883.4100000001</c:v>
                </c:pt>
                <c:pt idx="10">
                  <c:v>14088939.98</c:v>
                </c:pt>
                <c:pt idx="11">
                  <c:v>14127726.789999999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A1-8947-A9BD-A847087E4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412160"/>
        <c:axId val="1042413808"/>
      </c:barChart>
      <c:catAx>
        <c:axId val="10424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3808"/>
        <c:crosses val="autoZero"/>
        <c:auto val="1"/>
        <c:lblAlgn val="ctr"/>
        <c:lblOffset val="100"/>
        <c:noMultiLvlLbl val="0"/>
      </c:catAx>
      <c:valAx>
        <c:axId val="104241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41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</a:t>
            </a:r>
            <a:r>
              <a:rPr lang="en-NZ" baseline="0"/>
              <a:t> Fuel</a:t>
            </a:r>
            <a:r>
              <a:rPr lang="en-NZ"/>
              <a:t> Energy Used in Dunedin (PJ)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PJ!$C$2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PJ!$C$45:$C$56</c:f>
              <c:numCache>
                <c:formatCode>_-* #,##0.0000_-;\-* #,##0.0000_-;_-* "-"??_-;_-@_-</c:formatCode>
                <c:ptCount val="12"/>
                <c:pt idx="0">
                  <c:v>0.47689559607567211</c:v>
                </c:pt>
                <c:pt idx="1">
                  <c:v>0.48091736377565453</c:v>
                </c:pt>
                <c:pt idx="2">
                  <c:v>0.46226779299739973</c:v>
                </c:pt>
                <c:pt idx="3">
                  <c:v>0.54855246545184</c:v>
                </c:pt>
                <c:pt idx="4">
                  <c:v>0.53337833116416999</c:v>
                </c:pt>
                <c:pt idx="5">
                  <c:v>0.54395290048614986</c:v>
                </c:pt>
                <c:pt idx="6">
                  <c:v>0.54418869303774686</c:v>
                </c:pt>
                <c:pt idx="7">
                  <c:v>0.54194900851648453</c:v>
                </c:pt>
                <c:pt idx="8">
                  <c:v>0.6018479751310597</c:v>
                </c:pt>
                <c:pt idx="9">
                  <c:v>0.54024847922489494</c:v>
                </c:pt>
                <c:pt idx="10">
                  <c:v>0.51408675797306902</c:v>
                </c:pt>
                <c:pt idx="11">
                  <c:v>0.49679739764553887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49-44F3-8B34-12E673C417B4}"/>
            </c:ext>
          </c:extLst>
        </c:ser>
        <c:ser>
          <c:idx val="0"/>
          <c:order val="1"/>
          <c:tx>
            <c:strRef>
              <c:f>PJ!$D$2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PJ!$D$45:$D$56</c:f>
              <c:numCache>
                <c:formatCode>_-* #,##0.0000_-;\-* #,##0.0000_-;_-* "-"??_-;_-@_-</c:formatCode>
                <c:ptCount val="12"/>
                <c:pt idx="0">
                  <c:v>0.51010469329051222</c:v>
                </c:pt>
                <c:pt idx="1">
                  <c:v>0.50810540269159121</c:v>
                </c:pt>
                <c:pt idx="2">
                  <c:v>0.53346803967023093</c:v>
                </c:pt>
                <c:pt idx="3">
                  <c:v>0.56251427765109363</c:v>
                </c:pt>
                <c:pt idx="4">
                  <c:v>0.58150842891523979</c:v>
                </c:pt>
                <c:pt idx="5">
                  <c:v>0.60338475031381678</c:v>
                </c:pt>
                <c:pt idx="6">
                  <c:v>0.56534987023345062</c:v>
                </c:pt>
                <c:pt idx="7">
                  <c:v>0.57426152973372391</c:v>
                </c:pt>
                <c:pt idx="8">
                  <c:v>0.5888150901032928</c:v>
                </c:pt>
                <c:pt idx="9">
                  <c:v>0.57533346344025205</c:v>
                </c:pt>
                <c:pt idx="10">
                  <c:v>0.56513230457416808</c:v>
                </c:pt>
                <c:pt idx="11">
                  <c:v>0.50039963993128223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49-44F3-8B34-12E673C417B4}"/>
            </c:ext>
          </c:extLst>
        </c:ser>
        <c:ser>
          <c:idx val="1"/>
          <c:order val="2"/>
          <c:tx>
            <c:strRef>
              <c:f>PJ!$E$2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PJ!$E$45:$E$56</c:f>
              <c:numCache>
                <c:formatCode>_-* #,##0.0000_-;\-* #,##0.0000_-;_-* "-"??_-;_-@_-</c:formatCode>
                <c:ptCount val="12"/>
                <c:pt idx="0">
                  <c:v>0.51316685648401372</c:v>
                </c:pt>
                <c:pt idx="1">
                  <c:v>0.57090557472550429</c:v>
                </c:pt>
                <c:pt idx="2">
                  <c:v>0.57958407546404134</c:v>
                </c:pt>
                <c:pt idx="3">
                  <c:v>0.45918768946767469</c:v>
                </c:pt>
                <c:pt idx="4">
                  <c:v>0.47618616124472268</c:v>
                </c:pt>
                <c:pt idx="5">
                  <c:v>0.60192614751883899</c:v>
                </c:pt>
                <c:pt idx="6">
                  <c:v>0.54750201483153904</c:v>
                </c:pt>
                <c:pt idx="7">
                  <c:v>0.54670927868728914</c:v>
                </c:pt>
                <c:pt idx="8">
                  <c:v>0.63914276278295334</c:v>
                </c:pt>
                <c:pt idx="9">
                  <c:v>0.52462495431335632</c:v>
                </c:pt>
                <c:pt idx="10">
                  <c:v>0.56828336450744965</c:v>
                </c:pt>
                <c:pt idx="11">
                  <c:v>0.51622049915719581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49-44F3-8B34-12E673C417B4}"/>
            </c:ext>
          </c:extLst>
        </c:ser>
        <c:ser>
          <c:idx val="2"/>
          <c:order val="3"/>
          <c:tx>
            <c:strRef>
              <c:f>PJ!$F$2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PJ!$F$45:$F$56</c:f>
              <c:numCache>
                <c:formatCode>_-* #,##0.0000_-;\-* #,##0.0000_-;_-* "-"??_-;_-@_-</c:formatCode>
                <c:ptCount val="12"/>
                <c:pt idx="0">
                  <c:v>0.50298970486140304</c:v>
                </c:pt>
                <c:pt idx="1">
                  <c:v>0.62099777976654336</c:v>
                </c:pt>
                <c:pt idx="2">
                  <c:v>0.55197612644105243</c:v>
                </c:pt>
                <c:pt idx="3">
                  <c:v>0.62296870700703411</c:v>
                </c:pt>
                <c:pt idx="4">
                  <c:v>0.63718627675871342</c:v>
                </c:pt>
                <c:pt idx="5">
                  <c:v>0.61021751907528587</c:v>
                </c:pt>
                <c:pt idx="6">
                  <c:v>0.58952191427618228</c:v>
                </c:pt>
                <c:pt idx="7">
                  <c:v>0.57040102908067092</c:v>
                </c:pt>
                <c:pt idx="8">
                  <c:v>0.63937819180978472</c:v>
                </c:pt>
                <c:pt idx="9">
                  <c:v>0.59932995445214621</c:v>
                </c:pt>
                <c:pt idx="10">
                  <c:v>0.60606441508637876</c:v>
                </c:pt>
                <c:pt idx="11">
                  <c:v>0.55196804865618887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F-443A-BDFA-940040AA1256}"/>
            </c:ext>
          </c:extLst>
        </c:ser>
        <c:ser>
          <c:idx val="4"/>
          <c:order val="4"/>
          <c:tx>
            <c:strRef>
              <c:f>PJ!$G$2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PJ!$G$45:$G$56</c:f>
              <c:numCache>
                <c:formatCode>_-* #,##0.0000_-;\-* #,##0.0000_-;_-* "-"??_-;_-@_-</c:formatCode>
                <c:ptCount val="12"/>
                <c:pt idx="0">
                  <c:v>0.58053413232530748</c:v>
                </c:pt>
                <c:pt idx="1">
                  <c:v>0.593069219582392</c:v>
                </c:pt>
                <c:pt idx="2">
                  <c:v>0.61948727351499722</c:v>
                </c:pt>
                <c:pt idx="3">
                  <c:v>0.67816932674113528</c:v>
                </c:pt>
                <c:pt idx="4">
                  <c:v>0.66873785837886945</c:v>
                </c:pt>
                <c:pt idx="5">
                  <c:v>0.66558448399983872</c:v>
                </c:pt>
                <c:pt idx="6">
                  <c:v>0.6455766037378482</c:v>
                </c:pt>
                <c:pt idx="7">
                  <c:v>0.61814226857434462</c:v>
                </c:pt>
                <c:pt idx="8">
                  <c:v>0.6844062122140937</c:v>
                </c:pt>
                <c:pt idx="9">
                  <c:v>0.61286846591765354</c:v>
                </c:pt>
                <c:pt idx="10">
                  <c:v>0.65438034588291982</c:v>
                </c:pt>
                <c:pt idx="11">
                  <c:v>0.55149442947631866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4A-5541-A250-DA591882CDB0}"/>
            </c:ext>
          </c:extLst>
        </c:ser>
        <c:ser>
          <c:idx val="5"/>
          <c:order val="5"/>
          <c:tx>
            <c:strRef>
              <c:f>PJ!$H$2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PJ!$A$45:$A$56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PJ!$H$45:$H$56</c:f>
              <c:numCache>
                <c:formatCode>_-* #,##0.0000_-;\-* #,##0.0000_-;_-* "-"??_-;_-@_-</c:formatCode>
                <c:ptCount val="12"/>
                <c:pt idx="0">
                  <c:v>0.57831937436368552</c:v>
                </c:pt>
                <c:pt idx="1">
                  <c:v>0.57532210765445713</c:v>
                </c:pt>
                <c:pt idx="2">
                  <c:v>0.61319655018442776</c:v>
                </c:pt>
                <c:pt idx="3">
                  <c:v>0.65478152158221903</c:v>
                </c:pt>
                <c:pt idx="4">
                  <c:v>0.67226881721388554</c:v>
                </c:pt>
                <c:pt idx="5">
                  <c:v>0.66468255706766366</c:v>
                </c:pt>
                <c:pt idx="6">
                  <c:v>0.63715481670138607</c:v>
                </c:pt>
                <c:pt idx="7">
                  <c:v>0.63584053553214237</c:v>
                </c:pt>
                <c:pt idx="8">
                  <c:v>0.59846122567208893</c:v>
                </c:pt>
                <c:pt idx="9">
                  <c:v>0.24660082855105431</c:v>
                </c:pt>
                <c:pt idx="10">
                  <c:v>0.54575910573439423</c:v>
                </c:pt>
                <c:pt idx="11">
                  <c:v>0.58431699286911054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4A-5541-A250-DA591882C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5256"/>
        <c:axId val="249645648"/>
      </c:lineChart>
      <c:catAx>
        <c:axId val="24964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5648"/>
        <c:crosses val="autoZero"/>
        <c:auto val="1"/>
        <c:lblAlgn val="ctr"/>
        <c:lblOffset val="100"/>
        <c:noMultiLvlLbl val="0"/>
      </c:catAx>
      <c:valAx>
        <c:axId val="24964564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5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371001026043035"/>
          <c:h val="5.625039370078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PJ!$A$1</c:f>
              <c:strCache>
                <c:ptCount val="1"/>
                <c:pt idx="0">
                  <c:v> Petrol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PJ!$C$2:$H$2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PJ!$C$17:$H$17</c:f>
              <c:numCache>
                <c:formatCode>_-* #,##0.0000_-;\-* #,##0.0000_-;_-* "-"??_-;_-@_-</c:formatCode>
                <c:ptCount val="6"/>
                <c:pt idx="0">
                  <c:v>2.4827858099168418</c:v>
                </c:pt>
                <c:pt idx="1">
                  <c:v>2.5874603804360117</c:v>
                </c:pt>
                <c:pt idx="2">
                  <c:v>2.6525993110796096</c:v>
                </c:pt>
                <c:pt idx="3">
                  <c:v>2.757488476575237</c:v>
                </c:pt>
                <c:pt idx="4">
                  <c:v>2.6944125393965432</c:v>
                </c:pt>
                <c:pt idx="5">
                  <c:v>2.4082029813556396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4-4E5A-A503-006A954494EC}"/>
            </c:ext>
          </c:extLst>
        </c:ser>
        <c:ser>
          <c:idx val="1"/>
          <c:order val="1"/>
          <c:tx>
            <c:strRef>
              <c:f>PJ!$A$22</c:f>
              <c:strCache>
                <c:ptCount val="1"/>
                <c:pt idx="0">
                  <c:v> Diesel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PJ!$C$2:$H$2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PJ!$C$38:$H$38</c:f>
              <c:numCache>
                <c:formatCode>_-* #,##0.0000_-;\-* #,##0.0000_-;_-* "-"??_-;_-@_-</c:formatCode>
                <c:ptCount val="6"/>
                <c:pt idx="0">
                  <c:v>3.8122969515628378</c:v>
                </c:pt>
                <c:pt idx="1">
                  <c:v>4.0909171101126427</c:v>
                </c:pt>
                <c:pt idx="2">
                  <c:v>3.9008400681049689</c:v>
                </c:pt>
                <c:pt idx="3">
                  <c:v>4.3605111906961458</c:v>
                </c:pt>
                <c:pt idx="4">
                  <c:v>4.8881380809491768</c:v>
                </c:pt>
                <c:pt idx="5">
                  <c:v>4.5993348985708753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4-4E5A-A503-006A95449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460368"/>
        <c:axId val="540461680"/>
      </c:barChart>
      <c:catAx>
        <c:axId val="54046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1680"/>
        <c:crosses val="autoZero"/>
        <c:auto val="1"/>
        <c:lblAlgn val="ctr"/>
        <c:lblOffset val="100"/>
        <c:noMultiLvlLbl val="0"/>
      </c:catAx>
      <c:valAx>
        <c:axId val="540461680"/>
        <c:scaling>
          <c:orientation val="minMax"/>
          <c:max val="5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Litres of Petrol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Litres!$C$2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Litres!$C$3:$C$14</c:f>
              <c:numCache>
                <c:formatCode>_-* #,##0_-;\-* #,##0_-;_-* "-"??_-;_-@_-</c:formatCode>
                <c:ptCount val="12"/>
                <c:pt idx="0">
                  <c:v>5610641.5427061282</c:v>
                </c:pt>
                <c:pt idx="1">
                  <c:v>5700739.6089386111</c:v>
                </c:pt>
                <c:pt idx="2">
                  <c:v>4877209.8695152774</c:v>
                </c:pt>
                <c:pt idx="3">
                  <c:v>6223225.8767538378</c:v>
                </c:pt>
                <c:pt idx="4">
                  <c:v>6011594.5543843769</c:v>
                </c:pt>
                <c:pt idx="5">
                  <c:v>6665164.0345682986</c:v>
                </c:pt>
                <c:pt idx="6">
                  <c:v>5995498.893745454</c:v>
                </c:pt>
                <c:pt idx="7">
                  <c:v>5970823.5812272727</c:v>
                </c:pt>
                <c:pt idx="8">
                  <c:v>6630749.4353818176</c:v>
                </c:pt>
                <c:pt idx="9">
                  <c:v>5952088.3123454545</c:v>
                </c:pt>
                <c:pt idx="10">
                  <c:v>5663856.3574545449</c:v>
                </c:pt>
                <c:pt idx="11">
                  <c:v>5473374.0081454543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4-4DC0-A643-C6BE4852D422}"/>
            </c:ext>
          </c:extLst>
        </c:ser>
        <c:ser>
          <c:idx val="0"/>
          <c:order val="1"/>
          <c:tx>
            <c:strRef>
              <c:f>Litres!$D$2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Litres!$D$3:$D$14</c:f>
              <c:numCache>
                <c:formatCode>_-* #,##0_-;\-* #,##0_-;_-* "-"??_-;_-@_-</c:formatCode>
                <c:ptCount val="12"/>
                <c:pt idx="0">
                  <c:v>5544497.0630172724</c:v>
                </c:pt>
                <c:pt idx="1">
                  <c:v>5497343.9677923629</c:v>
                </c:pt>
                <c:pt idx="2">
                  <c:v>5757994.032664272</c:v>
                </c:pt>
                <c:pt idx="3">
                  <c:v>6467628.0041214544</c:v>
                </c:pt>
                <c:pt idx="4">
                  <c:v>6484300.983306</c:v>
                </c:pt>
                <c:pt idx="5">
                  <c:v>6689691.7616689084</c:v>
                </c:pt>
                <c:pt idx="6">
                  <c:v>5380071.1121888179</c:v>
                </c:pt>
                <c:pt idx="7">
                  <c:v>6869005.1768669998</c:v>
                </c:pt>
                <c:pt idx="8">
                  <c:v>7050296.2322999993</c:v>
                </c:pt>
                <c:pt idx="9">
                  <c:v>5631945.7094958173</c:v>
                </c:pt>
                <c:pt idx="10">
                  <c:v>6294742.7165999999</c:v>
                </c:pt>
                <c:pt idx="11">
                  <c:v>6091331.0289179999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4-4DC0-A643-C6BE4852D422}"/>
            </c:ext>
          </c:extLst>
        </c:ser>
        <c:ser>
          <c:idx val="1"/>
          <c:order val="2"/>
          <c:tx>
            <c:strRef>
              <c:f>Litres!$E$2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Litres!$E$3:$E$14</c:f>
              <c:numCache>
                <c:formatCode>_-* #,##0_-;\-* #,##0_-;_-* "-"??_-;_-@_-</c:formatCode>
                <c:ptCount val="12"/>
                <c:pt idx="0">
                  <c:v>6184077.9113999996</c:v>
                </c:pt>
                <c:pt idx="1">
                  <c:v>5950338.5384999998</c:v>
                </c:pt>
                <c:pt idx="2">
                  <c:v>6503403.3219210003</c:v>
                </c:pt>
                <c:pt idx="3">
                  <c:v>5690018.0387279997</c:v>
                </c:pt>
                <c:pt idx="4">
                  <c:v>5865678.3853379991</c:v>
                </c:pt>
                <c:pt idx="5">
                  <c:v>7324505.6748930002</c:v>
                </c:pt>
                <c:pt idx="6">
                  <c:v>6083094.1573140007</c:v>
                </c:pt>
                <c:pt idx="7">
                  <c:v>6591906.4035959998</c:v>
                </c:pt>
                <c:pt idx="8">
                  <c:v>6426700.2310229987</c:v>
                </c:pt>
                <c:pt idx="9">
                  <c:v>6407193.6545159994</c:v>
                </c:pt>
                <c:pt idx="10">
                  <c:v>6442741.2062069988</c:v>
                </c:pt>
                <c:pt idx="11">
                  <c:v>6146058.2998139989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4-4DC0-A643-C6BE4852D422}"/>
            </c:ext>
          </c:extLst>
        </c:ser>
        <c:ser>
          <c:idx val="2"/>
          <c:order val="3"/>
          <c:tx>
            <c:strRef>
              <c:f>Litres!$F$2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Litres!$F$3:$F$14</c:f>
              <c:numCache>
                <c:formatCode>_-* #,##0_-;\-* #,##0_-;_-* "-"??_-;_-@_-</c:formatCode>
                <c:ptCount val="12"/>
                <c:pt idx="0">
                  <c:v>5799777.1319340002</c:v>
                </c:pt>
                <c:pt idx="1">
                  <c:v>7077167.8567499993</c:v>
                </c:pt>
                <c:pt idx="2">
                  <c:v>6102254.126513999</c:v>
                </c:pt>
                <c:pt idx="3">
                  <c:v>6768410.6844659997</c:v>
                </c:pt>
                <c:pt idx="4">
                  <c:v>6637328.7606389988</c:v>
                </c:pt>
                <c:pt idx="5">
                  <c:v>7294137.708114</c:v>
                </c:pt>
                <c:pt idx="6">
                  <c:v>6819866.5589009989</c:v>
                </c:pt>
                <c:pt idx="7">
                  <c:v>6610292.6161829988</c:v>
                </c:pt>
                <c:pt idx="8">
                  <c:v>7320276.4912019996</c:v>
                </c:pt>
                <c:pt idx="9">
                  <c:v>5925194.8669830002</c:v>
                </c:pt>
                <c:pt idx="10">
                  <c:v>6378630.2960369997</c:v>
                </c:pt>
                <c:pt idx="11">
                  <c:v>5872377.7419359991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B-491F-88C8-C24C8539A59F}"/>
            </c:ext>
          </c:extLst>
        </c:ser>
        <c:ser>
          <c:idx val="4"/>
          <c:order val="4"/>
          <c:tx>
            <c:strRef>
              <c:f>Litres!$G$2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Litres!$G$3:$G$14</c:f>
              <c:numCache>
                <c:formatCode>_-* #,##0_-;\-* #,##0_-;_-* "-"??_-;_-@_-</c:formatCode>
                <c:ptCount val="12"/>
                <c:pt idx="0">
                  <c:v>6079678.4344350006</c:v>
                </c:pt>
                <c:pt idx="1">
                  <c:v>6286819.8735959986</c:v>
                </c:pt>
                <c:pt idx="2">
                  <c:v>6231718.5143699991</c:v>
                </c:pt>
                <c:pt idx="3">
                  <c:v>6554626.6814129995</c:v>
                </c:pt>
                <c:pt idx="4">
                  <c:v>6476735.6681999993</c:v>
                </c:pt>
                <c:pt idx="5">
                  <c:v>7058879.2112999996</c:v>
                </c:pt>
                <c:pt idx="6">
                  <c:v>6606187.9737</c:v>
                </c:pt>
                <c:pt idx="7">
                  <c:v>6504445.5236999998</c:v>
                </c:pt>
                <c:pt idx="8">
                  <c:v>6548432.7629999993</c:v>
                </c:pt>
                <c:pt idx="9">
                  <c:v>6496656.0653999997</c:v>
                </c:pt>
                <c:pt idx="10">
                  <c:v>6360637.3232999993</c:v>
                </c:pt>
                <c:pt idx="11">
                  <c:v>5602837.0244999994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443-AF72-F85E430EAF95}"/>
            </c:ext>
          </c:extLst>
        </c:ser>
        <c:ser>
          <c:idx val="5"/>
          <c:order val="5"/>
          <c:tx>
            <c:strRef>
              <c:f>Litres!$H$2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Litres!$A$3:$A$14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Litres!$H$3:$H$14</c:f>
              <c:numCache>
                <c:formatCode>_-* #,##0_-;\-* #,##0_-;_-* "-"??_-;_-@_-</c:formatCode>
                <c:ptCount val="12"/>
                <c:pt idx="0">
                  <c:v>5889484.3231830001</c:v>
                </c:pt>
                <c:pt idx="1">
                  <c:v>6059894.8297829991</c:v>
                </c:pt>
                <c:pt idx="2">
                  <c:v>6194753.2010009987</c:v>
                </c:pt>
                <c:pt idx="3">
                  <c:v>6312884.0643300004</c:v>
                </c:pt>
                <c:pt idx="4">
                  <c:v>6526995.5935800001</c:v>
                </c:pt>
                <c:pt idx="5">
                  <c:v>6967166.9544809991</c:v>
                </c:pt>
                <c:pt idx="6">
                  <c:v>6645463.7419319991</c:v>
                </c:pt>
                <c:pt idx="7">
                  <c:v>6228382.3195860004</c:v>
                </c:pt>
                <c:pt idx="8">
                  <c:v>5882064.1019639997</c:v>
                </c:pt>
                <c:pt idx="9">
                  <c:v>1513211.8186530001</c:v>
                </c:pt>
                <c:pt idx="10">
                  <c:v>4679695.9503299994</c:v>
                </c:pt>
                <c:pt idx="11">
                  <c:v>5748890.8251120001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443-AF72-F85E430E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18144"/>
        <c:axId val="442518536"/>
      </c:lineChart>
      <c:catAx>
        <c:axId val="44251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8536"/>
        <c:crosses val="autoZero"/>
        <c:auto val="1"/>
        <c:lblAlgn val="ctr"/>
        <c:lblOffset val="100"/>
        <c:noMultiLvlLbl val="0"/>
      </c:catAx>
      <c:valAx>
        <c:axId val="442518536"/>
        <c:scaling>
          <c:orientation val="minMax"/>
          <c:max val="8000000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Litres of Diesel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Litres!$C$2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Litres!$C$22:$C$33</c:f>
              <c:numCache>
                <c:formatCode>_-* #,##0_-;\-* #,##0_-;_-* "-"??_-;_-@_-</c:formatCode>
                <c:ptCount val="12"/>
                <c:pt idx="0">
                  <c:v>7284116.7947344882</c:v>
                </c:pt>
                <c:pt idx="1">
                  <c:v>7306512.8294951376</c:v>
                </c:pt>
                <c:pt idx="2">
                  <c:v>7572828.8888115417</c:v>
                </c:pt>
                <c:pt idx="3">
                  <c:v>8588860.9023489039</c:v>
                </c:pt>
                <c:pt idx="4">
                  <c:v>8387297.6383970371</c:v>
                </c:pt>
                <c:pt idx="5">
                  <c:v>8066032.4097137582</c:v>
                </c:pt>
                <c:pt idx="6">
                  <c:v>8683136.3288727272</c:v>
                </c:pt>
                <c:pt idx="7">
                  <c:v>8647399.6693636365</c:v>
                </c:pt>
                <c:pt idx="8">
                  <c:v>9603154.3546909094</c:v>
                </c:pt>
                <c:pt idx="9">
                  <c:v>8620265.8316727262</c:v>
                </c:pt>
                <c:pt idx="10">
                  <c:v>8202826.4487272725</c:v>
                </c:pt>
                <c:pt idx="11">
                  <c:v>7926955.460072726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4-42E6-A1E8-F7FFC8781977}"/>
            </c:ext>
          </c:extLst>
        </c:ser>
        <c:ser>
          <c:idx val="0"/>
          <c:order val="1"/>
          <c:tx>
            <c:strRef>
              <c:f>Litres!$D$2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Litres!$D$22:$D$33</c:f>
              <c:numCache>
                <c:formatCode>_-* #,##0_-;\-* #,##0_-;_-* "-"??_-;_-@_-</c:formatCode>
                <c:ptCount val="12"/>
                <c:pt idx="0">
                  <c:v>8208159.5921941819</c:v>
                </c:pt>
                <c:pt idx="1">
                  <c:v>8199182.7386589097</c:v>
                </c:pt>
                <c:pt idx="2">
                  <c:v>8621004.1353541818</c:v>
                </c:pt>
                <c:pt idx="3">
                  <c:v>8728995.7676596362</c:v>
                </c:pt>
                <c:pt idx="4">
                  <c:v>9207780.2450160012</c:v>
                </c:pt>
                <c:pt idx="5">
                  <c:v>9589346.250051273</c:v>
                </c:pt>
                <c:pt idx="6">
                  <c:v>9794979.8600225467</c:v>
                </c:pt>
                <c:pt idx="7">
                  <c:v>8668318.0267679989</c:v>
                </c:pt>
                <c:pt idx="8">
                  <c:v>8881422.5819039997</c:v>
                </c:pt>
                <c:pt idx="9">
                  <c:v>9824832.4564665463</c:v>
                </c:pt>
                <c:pt idx="10">
                  <c:v>8954817.4272000007</c:v>
                </c:pt>
                <c:pt idx="11">
                  <c:v>7456846.4873040002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4-42E6-A1E8-F7FFC8781977}"/>
            </c:ext>
          </c:extLst>
        </c:ser>
        <c:ser>
          <c:idx val="1"/>
          <c:order val="2"/>
          <c:tx>
            <c:strRef>
              <c:f>Litres!$E$2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Litres!$E$22:$E$33</c:f>
              <c:numCache>
                <c:formatCode>_-* #,##0_-;\-* #,##0_-;_-* "-"??_-;_-@_-</c:formatCode>
                <c:ptCount val="12"/>
                <c:pt idx="0">
                  <c:v>7704275.7698856117</c:v>
                </c:pt>
                <c:pt idx="1">
                  <c:v>9419185.9244453646</c:v>
                </c:pt>
                <c:pt idx="2">
                  <c:v>9140303.9513927866</c:v>
                </c:pt>
                <c:pt idx="3">
                  <c:v>6751153.6194823515</c:v>
                </c:pt>
                <c:pt idx="4">
                  <c:v>7032982.1453072997</c:v>
                </c:pt>
                <c:pt idx="5">
                  <c:v>8972236.3704445399</c:v>
                </c:pt>
                <c:pt idx="6">
                  <c:v>8689390.6838222072</c:v>
                </c:pt>
                <c:pt idx="7">
                  <c:v>8204556.6202637563</c:v>
                </c:pt>
                <c:pt idx="8">
                  <c:v>10759274.868105762</c:v>
                </c:pt>
                <c:pt idx="9">
                  <c:v>7798715.2383078039</c:v>
                </c:pt>
                <c:pt idx="10">
                  <c:v>8901742.6006165966</c:v>
                </c:pt>
                <c:pt idx="11">
                  <c:v>7818381.6384842824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4-42E6-A1E8-F7FFC8781977}"/>
            </c:ext>
          </c:extLst>
        </c:ser>
        <c:ser>
          <c:idx val="2"/>
          <c:order val="3"/>
          <c:tx>
            <c:strRef>
              <c:f>Litres!$F$2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Litres!$F$22:$F$33</c:f>
              <c:numCache>
                <c:formatCode>_-* #,##0_-;\-* #,##0_-;_-* "-"??_-;_-@_-</c:formatCode>
                <c:ptCount val="12"/>
                <c:pt idx="0">
                  <c:v>7790208.6625008667</c:v>
                </c:pt>
                <c:pt idx="1">
                  <c:v>9693907.1873017792</c:v>
                </c:pt>
                <c:pt idx="2">
                  <c:v>8788271.8253040649</c:v>
                </c:pt>
                <c:pt idx="3">
                  <c:v>10026862.423822284</c:v>
                </c:pt>
                <c:pt idx="4">
                  <c:v>10516223.24669694</c:v>
                </c:pt>
                <c:pt idx="5">
                  <c:v>9215583.0500558317</c:v>
                </c:pt>
                <c:pt idx="6">
                  <c:v>9110038.8918058574</c:v>
                </c:pt>
                <c:pt idx="7">
                  <c:v>8803952.2524049766</c:v>
                </c:pt>
                <c:pt idx="8">
                  <c:v>9950140.2470329925</c:v>
                </c:pt>
                <c:pt idx="9">
                  <c:v>10181381.495926723</c:v>
                </c:pt>
                <c:pt idx="10">
                  <c:v>9942836.5227932576</c:v>
                </c:pt>
                <c:pt idx="11">
                  <c:v>8997790.3112893086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7A-4031-8C0D-FCD79D2941D2}"/>
            </c:ext>
          </c:extLst>
        </c:ser>
        <c:ser>
          <c:idx val="4"/>
          <c:order val="4"/>
          <c:tx>
            <c:strRef>
              <c:f>Litres!$G$2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Litres!$G$22:$G$33</c:f>
              <c:numCache>
                <c:formatCode>_-* #,##0_-;\-* #,##0_-;_-* "-"??_-;_-@_-</c:formatCode>
                <c:ptCount val="12"/>
                <c:pt idx="0">
                  <c:v>9551599.813922694</c:v>
                </c:pt>
                <c:pt idx="1">
                  <c:v>9688623.6259205285</c:v>
                </c:pt>
                <c:pt idx="2">
                  <c:v>10425971.080127375</c:v>
                </c:pt>
                <c:pt idx="3">
                  <c:v>11657555.85844388</c:v>
                </c:pt>
                <c:pt idx="4">
                  <c:v>11483328.248073172</c:v>
                </c:pt>
                <c:pt idx="5">
                  <c:v>10870195.091480747</c:v>
                </c:pt>
                <c:pt idx="6">
                  <c:v>10762848.624719173</c:v>
                </c:pt>
                <c:pt idx="7">
                  <c:v>10142166.959764594</c:v>
                </c:pt>
                <c:pt idx="8">
                  <c:v>11825414.587465636</c:v>
                </c:pt>
                <c:pt idx="9">
                  <c:v>10012113.683834109</c:v>
                </c:pt>
                <c:pt idx="10">
                  <c:v>11215843.656217316</c:v>
                </c:pt>
                <c:pt idx="11">
                  <c:v>9231388.9897752553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27-E346-84AE-C2F5C1362FBC}"/>
            </c:ext>
          </c:extLst>
        </c:ser>
        <c:ser>
          <c:idx val="5"/>
          <c:order val="5"/>
          <c:tx>
            <c:strRef>
              <c:f>Litres!$H$2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Litres!$A$22:$A$33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Litres!$H$22:$H$33</c:f>
              <c:numCache>
                <c:formatCode>_-* #,##0_-;\-* #,##0_-;_-* "-"??_-;_-@_-</c:formatCode>
                <c:ptCount val="12"/>
                <c:pt idx="0">
                  <c:v>9667523.1289057452</c:v>
                </c:pt>
                <c:pt idx="1">
                  <c:v>9434096.1515128613</c:v>
                </c:pt>
                <c:pt idx="2">
                  <c:v>10296088.631815676</c:v>
                </c:pt>
                <c:pt idx="3">
                  <c:v>11269845.217308778</c:v>
                </c:pt>
                <c:pt idx="4">
                  <c:v>11529305.898338078</c:v>
                </c:pt>
                <c:pt idx="5">
                  <c:v>10930411.971507678</c:v>
                </c:pt>
                <c:pt idx="6">
                  <c:v>10507983.059412524</c:v>
                </c:pt>
                <c:pt idx="7">
                  <c:v>10854327.275970494</c:v>
                </c:pt>
                <c:pt idx="8">
                  <c:v>10198138.282839837</c:v>
                </c:pt>
                <c:pt idx="9">
                  <c:v>5032961.1951289224</c:v>
                </c:pt>
                <c:pt idx="10">
                  <c:v>9924457.0038184077</c:v>
                </c:pt>
                <c:pt idx="11">
                  <c:v>9951779.0045300797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27-E346-84AE-C2F5C136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0792720"/>
        <c:axId val="442519320"/>
      </c:lineChart>
      <c:catAx>
        <c:axId val="25079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9320"/>
        <c:crosses val="autoZero"/>
        <c:auto val="1"/>
        <c:lblAlgn val="ctr"/>
        <c:lblOffset val="100"/>
        <c:noMultiLvlLbl val="0"/>
      </c:catAx>
      <c:valAx>
        <c:axId val="442519320"/>
        <c:scaling>
          <c:orientation val="minMax"/>
          <c:max val="11000000"/>
          <c:min val="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79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Litres of Fuel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Litres!$C$2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Litres!$C$41:$C$52</c:f>
              <c:numCache>
                <c:formatCode>_-* #,##0_-;\-* #,##0_-;_-* "-"??_-;_-@_-</c:formatCode>
                <c:ptCount val="12"/>
                <c:pt idx="0">
                  <c:v>12894758.337440617</c:v>
                </c:pt>
                <c:pt idx="1">
                  <c:v>13007252.438433748</c:v>
                </c:pt>
                <c:pt idx="2">
                  <c:v>12450038.758326819</c:v>
                </c:pt>
                <c:pt idx="3">
                  <c:v>14812086.779102743</c:v>
                </c:pt>
                <c:pt idx="4">
                  <c:v>14398892.192781415</c:v>
                </c:pt>
                <c:pt idx="5">
                  <c:v>14731196.444282057</c:v>
                </c:pt>
                <c:pt idx="6">
                  <c:v>14678635.222618181</c:v>
                </c:pt>
                <c:pt idx="7">
                  <c:v>14618223.250590909</c:v>
                </c:pt>
                <c:pt idx="8">
                  <c:v>16233903.790072728</c:v>
                </c:pt>
                <c:pt idx="9">
                  <c:v>14572354.144018181</c:v>
                </c:pt>
                <c:pt idx="10">
                  <c:v>13866682.806181818</c:v>
                </c:pt>
                <c:pt idx="11">
                  <c:v>13400329.468218181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3-4289-8408-CDB81190A04B}"/>
            </c:ext>
          </c:extLst>
        </c:ser>
        <c:ser>
          <c:idx val="0"/>
          <c:order val="1"/>
          <c:tx>
            <c:strRef>
              <c:f>Litres!$D$2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Litres!$D$41:$D$52</c:f>
              <c:numCache>
                <c:formatCode>_-* #,##0_-;\-* #,##0_-;_-* "-"??_-;_-@_-</c:formatCode>
                <c:ptCount val="12"/>
                <c:pt idx="0">
                  <c:v>13818801.134900309</c:v>
                </c:pt>
                <c:pt idx="1">
                  <c:v>13696526.706451273</c:v>
                </c:pt>
                <c:pt idx="2">
                  <c:v>14378998.168018453</c:v>
                </c:pt>
                <c:pt idx="3">
                  <c:v>15196623.771781091</c:v>
                </c:pt>
                <c:pt idx="4">
                  <c:v>15692081.228322001</c:v>
                </c:pt>
                <c:pt idx="5">
                  <c:v>16279038.011720181</c:v>
                </c:pt>
                <c:pt idx="6">
                  <c:v>15175050.972211365</c:v>
                </c:pt>
                <c:pt idx="7">
                  <c:v>15537323.203635</c:v>
                </c:pt>
                <c:pt idx="8">
                  <c:v>15931718.814204</c:v>
                </c:pt>
                <c:pt idx="9">
                  <c:v>15456778.165962365</c:v>
                </c:pt>
                <c:pt idx="10">
                  <c:v>15249560.143800002</c:v>
                </c:pt>
                <c:pt idx="11">
                  <c:v>13548177.516222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A3-4289-8408-CDB81190A04B}"/>
            </c:ext>
          </c:extLst>
        </c:ser>
        <c:ser>
          <c:idx val="1"/>
          <c:order val="2"/>
          <c:tx>
            <c:strRef>
              <c:f>Litres!$E$2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Litres!$E$41:$E$52</c:f>
              <c:numCache>
                <c:formatCode>_-* #,##0_-;\-* #,##0_-;_-* "-"??_-;_-@_-</c:formatCode>
                <c:ptCount val="12"/>
                <c:pt idx="0">
                  <c:v>13888353.681285612</c:v>
                </c:pt>
                <c:pt idx="1">
                  <c:v>15369524.462945364</c:v>
                </c:pt>
                <c:pt idx="2">
                  <c:v>15643707.273313787</c:v>
                </c:pt>
                <c:pt idx="3">
                  <c:v>12441171.658210352</c:v>
                </c:pt>
                <c:pt idx="4">
                  <c:v>12898660.5306453</c:v>
                </c:pt>
                <c:pt idx="5">
                  <c:v>16296742.045337539</c:v>
                </c:pt>
                <c:pt idx="6">
                  <c:v>14772484.841136208</c:v>
                </c:pt>
                <c:pt idx="7">
                  <c:v>14796463.023859756</c:v>
                </c:pt>
                <c:pt idx="8">
                  <c:v>17185975.09912876</c:v>
                </c:pt>
                <c:pt idx="9">
                  <c:v>14205908.892823804</c:v>
                </c:pt>
                <c:pt idx="10">
                  <c:v>15344483.806823596</c:v>
                </c:pt>
                <c:pt idx="11">
                  <c:v>13964439.938298281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A3-4289-8408-CDB81190A04B}"/>
            </c:ext>
          </c:extLst>
        </c:ser>
        <c:ser>
          <c:idx val="2"/>
          <c:order val="3"/>
          <c:tx>
            <c:strRef>
              <c:f>Litres!$F$2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Litres!$F$41:$F$52</c:f>
              <c:numCache>
                <c:formatCode>_-* #,##0_-;\-* #,##0_-;_-* "-"??_-;_-@_-</c:formatCode>
                <c:ptCount val="12"/>
                <c:pt idx="0">
                  <c:v>13589985.794434868</c:v>
                </c:pt>
                <c:pt idx="1">
                  <c:v>16771075.044051778</c:v>
                </c:pt>
                <c:pt idx="2">
                  <c:v>14890525.951818064</c:v>
                </c:pt>
                <c:pt idx="3">
                  <c:v>16795273.108288284</c:v>
                </c:pt>
                <c:pt idx="4">
                  <c:v>17153552.007335939</c:v>
                </c:pt>
                <c:pt idx="5">
                  <c:v>16509720.758169832</c:v>
                </c:pt>
                <c:pt idx="6">
                  <c:v>15929905.450706856</c:v>
                </c:pt>
                <c:pt idx="7">
                  <c:v>15414244.868587974</c:v>
                </c:pt>
                <c:pt idx="8">
                  <c:v>17270416.738234993</c:v>
                </c:pt>
                <c:pt idx="9">
                  <c:v>16106576.362909723</c:v>
                </c:pt>
                <c:pt idx="10">
                  <c:v>16321466.818830257</c:v>
                </c:pt>
                <c:pt idx="11">
                  <c:v>14870168.053225309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5-4CAB-92F1-4F1F020A6476}"/>
            </c:ext>
          </c:extLst>
        </c:ser>
        <c:ser>
          <c:idx val="4"/>
          <c:order val="4"/>
          <c:tx>
            <c:strRef>
              <c:f>Litres!$G$2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Litres!$G$41:$G$52</c:f>
              <c:numCache>
                <c:formatCode>_-* #,##0_-;\-* #,##0_-;_-* "-"??_-;_-@_-</c:formatCode>
                <c:ptCount val="12"/>
                <c:pt idx="0">
                  <c:v>15631278.248357695</c:v>
                </c:pt>
                <c:pt idx="1">
                  <c:v>15975443.499516528</c:v>
                </c:pt>
                <c:pt idx="2">
                  <c:v>16657689.594497375</c:v>
                </c:pt>
                <c:pt idx="3">
                  <c:v>18212182.539856881</c:v>
                </c:pt>
                <c:pt idx="4">
                  <c:v>17960063.916273169</c:v>
                </c:pt>
                <c:pt idx="5">
                  <c:v>17929074.302780747</c:v>
                </c:pt>
                <c:pt idx="6">
                  <c:v>17369036.598419175</c:v>
                </c:pt>
                <c:pt idx="7">
                  <c:v>16646612.483464595</c:v>
                </c:pt>
                <c:pt idx="8">
                  <c:v>18373847.350465637</c:v>
                </c:pt>
                <c:pt idx="9">
                  <c:v>16508769.74923411</c:v>
                </c:pt>
                <c:pt idx="10">
                  <c:v>17576480.979517315</c:v>
                </c:pt>
                <c:pt idx="11">
                  <c:v>14834226.014275255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52-0A48-95B2-B83F36F7B960}"/>
            </c:ext>
          </c:extLst>
        </c:ser>
        <c:ser>
          <c:idx val="5"/>
          <c:order val="5"/>
          <c:tx>
            <c:strRef>
              <c:f>Litres!$H$2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Litres!$A$41:$A$52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Litres!$H$41:$H$52</c:f>
              <c:numCache>
                <c:formatCode>_-* #,##0_-;\-* #,##0_-;_-* "-"??_-;_-@_-</c:formatCode>
                <c:ptCount val="12"/>
                <c:pt idx="0">
                  <c:v>15557007.452088745</c:v>
                </c:pt>
                <c:pt idx="1">
                  <c:v>15493990.981295861</c:v>
                </c:pt>
                <c:pt idx="2">
                  <c:v>16490841.832816675</c:v>
                </c:pt>
                <c:pt idx="3">
                  <c:v>17582729.281638779</c:v>
                </c:pt>
                <c:pt idx="4">
                  <c:v>18056301.49191808</c:v>
                </c:pt>
                <c:pt idx="5">
                  <c:v>17897578.925988678</c:v>
                </c:pt>
                <c:pt idx="6">
                  <c:v>17153446.801344521</c:v>
                </c:pt>
                <c:pt idx="7">
                  <c:v>17082709.595556494</c:v>
                </c:pt>
                <c:pt idx="8">
                  <c:v>16080202.384803835</c:v>
                </c:pt>
                <c:pt idx="9">
                  <c:v>6546173.0137819219</c:v>
                </c:pt>
                <c:pt idx="10">
                  <c:v>14604152.954148408</c:v>
                </c:pt>
                <c:pt idx="11">
                  <c:v>15700669.82964208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52-0A48-95B2-B83F36F7B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20976"/>
        <c:axId val="400421368"/>
      </c:lineChart>
      <c:catAx>
        <c:axId val="40042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21368"/>
        <c:crosses val="autoZero"/>
        <c:auto val="1"/>
        <c:lblAlgn val="ctr"/>
        <c:lblOffset val="100"/>
        <c:noMultiLvlLbl val="0"/>
      </c:catAx>
      <c:valAx>
        <c:axId val="400421368"/>
        <c:scaling>
          <c:orientation val="minMax"/>
          <c:max val="18000000"/>
          <c:min val="1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2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Litres of Petrol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Mass!$C$2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Mass!$C$3:$C$14</c:f>
              <c:numCache>
                <c:formatCode>_-* #,##0_-;\-* #,##0_-;_-* "-"??_-;_-@_-</c:formatCode>
                <c:ptCount val="12"/>
                <c:pt idx="0">
                  <c:v>4095.7683261754737</c:v>
                </c:pt>
                <c:pt idx="1">
                  <c:v>4161.5399145251858</c:v>
                </c:pt>
                <c:pt idx="2">
                  <c:v>3560.3632047461524</c:v>
                </c:pt>
                <c:pt idx="3">
                  <c:v>4542.9548900303016</c:v>
                </c:pt>
                <c:pt idx="4">
                  <c:v>4388.4640247005955</c:v>
                </c:pt>
                <c:pt idx="5">
                  <c:v>4865.5697452348586</c:v>
                </c:pt>
                <c:pt idx="6">
                  <c:v>4376.7141924341813</c:v>
                </c:pt>
                <c:pt idx="7">
                  <c:v>4358.7012142959084</c:v>
                </c:pt>
                <c:pt idx="8">
                  <c:v>4840.4470878287266</c:v>
                </c:pt>
                <c:pt idx="9">
                  <c:v>4345.0244680121823</c:v>
                </c:pt>
                <c:pt idx="10">
                  <c:v>4134.615140941818</c:v>
                </c:pt>
                <c:pt idx="11">
                  <c:v>3995.5630259461818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2-499D-A741-F80C868EBDBF}"/>
            </c:ext>
          </c:extLst>
        </c:ser>
        <c:ser>
          <c:idx val="0"/>
          <c:order val="1"/>
          <c:tx>
            <c:strRef>
              <c:f>Mass!$D$2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Mass!$D$3:$D$14</c:f>
              <c:numCache>
                <c:formatCode>_-* #,##0_-;\-* #,##0_-;_-* "-"??_-;_-@_-</c:formatCode>
                <c:ptCount val="12"/>
                <c:pt idx="0">
                  <c:v>4047.482856002609</c:v>
                </c:pt>
                <c:pt idx="1">
                  <c:v>4013.0610964884249</c:v>
                </c:pt>
                <c:pt idx="2">
                  <c:v>4203.3356438449182</c:v>
                </c:pt>
                <c:pt idx="3">
                  <c:v>4721.3684430086614</c:v>
                </c:pt>
                <c:pt idx="4">
                  <c:v>4733.5397178133799</c:v>
                </c:pt>
                <c:pt idx="5">
                  <c:v>4883.4749860183028</c:v>
                </c:pt>
                <c:pt idx="6">
                  <c:v>3927.4519118978374</c:v>
                </c:pt>
                <c:pt idx="7">
                  <c:v>5014.3737791129097</c:v>
                </c:pt>
                <c:pt idx="8">
                  <c:v>5146.7162495789989</c:v>
                </c:pt>
                <c:pt idx="9">
                  <c:v>4111.3203679319467</c:v>
                </c:pt>
                <c:pt idx="10">
                  <c:v>4595.162183118</c:v>
                </c:pt>
                <c:pt idx="11">
                  <c:v>4446.6716511101395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2-499D-A741-F80C868EBDBF}"/>
            </c:ext>
          </c:extLst>
        </c:ser>
        <c:ser>
          <c:idx val="1"/>
          <c:order val="2"/>
          <c:tx>
            <c:strRef>
              <c:f>Mass!$E$2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Mass!$E$3:$E$14</c:f>
              <c:numCache>
                <c:formatCode>_-* #,##0_-;\-* #,##0_-;_-* "-"??_-;_-@_-</c:formatCode>
                <c:ptCount val="12"/>
                <c:pt idx="0">
                  <c:v>4514.3768753219993</c:v>
                </c:pt>
                <c:pt idx="1">
                  <c:v>4343.7471331049992</c:v>
                </c:pt>
                <c:pt idx="2">
                  <c:v>4747.4844250023298</c:v>
                </c:pt>
                <c:pt idx="3">
                  <c:v>4153.7131682714398</c:v>
                </c:pt>
                <c:pt idx="4">
                  <c:v>4281.945221296739</c:v>
                </c:pt>
                <c:pt idx="5">
                  <c:v>5346.8891426718892</c:v>
                </c:pt>
                <c:pt idx="6">
                  <c:v>4440.6587348392204</c:v>
                </c:pt>
                <c:pt idx="7">
                  <c:v>4812.0916746250805</c:v>
                </c:pt>
                <c:pt idx="8">
                  <c:v>4691.4911686467894</c:v>
                </c:pt>
                <c:pt idx="9">
                  <c:v>4677.251367796679</c:v>
                </c:pt>
                <c:pt idx="10">
                  <c:v>4703.2010805311093</c:v>
                </c:pt>
                <c:pt idx="11">
                  <c:v>4486.6225588642192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2-499D-A741-F80C868EBDBF}"/>
            </c:ext>
          </c:extLst>
        </c:ser>
        <c:ser>
          <c:idx val="2"/>
          <c:order val="3"/>
          <c:tx>
            <c:strRef>
              <c:f>Mass!$F$2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Mass!$F$3:$F$14</c:f>
              <c:numCache>
                <c:formatCode>_-* #,##0_-;\-* #,##0_-;_-* "-"??_-;_-@_-</c:formatCode>
                <c:ptCount val="12"/>
                <c:pt idx="0">
                  <c:v>4233.8373063118197</c:v>
                </c:pt>
                <c:pt idx="1">
                  <c:v>5166.3325354274994</c:v>
                </c:pt>
                <c:pt idx="2">
                  <c:v>4454.6455123552196</c:v>
                </c:pt>
                <c:pt idx="3">
                  <c:v>4940.9397996601801</c:v>
                </c:pt>
                <c:pt idx="4">
                  <c:v>4845.2499952664693</c:v>
                </c:pt>
                <c:pt idx="5">
                  <c:v>5324.7205269232199</c:v>
                </c:pt>
                <c:pt idx="6">
                  <c:v>4978.5025879977293</c:v>
                </c:pt>
                <c:pt idx="7">
                  <c:v>4825.513609813589</c:v>
                </c:pt>
                <c:pt idx="8">
                  <c:v>5343.8018385774594</c:v>
                </c:pt>
                <c:pt idx="9">
                  <c:v>4325.39225289759</c:v>
                </c:pt>
                <c:pt idx="10">
                  <c:v>4656.4001161070091</c:v>
                </c:pt>
                <c:pt idx="11">
                  <c:v>4286.8357516132792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A-43D9-A902-916E45ABE8E9}"/>
            </c:ext>
          </c:extLst>
        </c:ser>
        <c:ser>
          <c:idx val="4"/>
          <c:order val="4"/>
          <c:tx>
            <c:strRef>
              <c:f>Mass!$G$2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Mass!$G$3:$G$14</c:f>
              <c:numCache>
                <c:formatCode>_-* #,##0_-;\-* #,##0_-;_-* "-"??_-;_-@_-</c:formatCode>
                <c:ptCount val="12"/>
                <c:pt idx="0">
                  <c:v>4438.1652571375498</c:v>
                </c:pt>
                <c:pt idx="1">
                  <c:v>4589.3785077250786</c:v>
                </c:pt>
                <c:pt idx="2">
                  <c:v>4549.1545154900987</c:v>
                </c:pt>
                <c:pt idx="3">
                  <c:v>4784.8774774314888</c:v>
                </c:pt>
                <c:pt idx="4">
                  <c:v>4728.0170377859995</c:v>
                </c:pt>
                <c:pt idx="5">
                  <c:v>5152.9818242489991</c:v>
                </c:pt>
                <c:pt idx="6">
                  <c:v>4822.5172208009999</c:v>
                </c:pt>
                <c:pt idx="7">
                  <c:v>4748.2452323009993</c:v>
                </c:pt>
                <c:pt idx="8">
                  <c:v>4780.35591699</c:v>
                </c:pt>
                <c:pt idx="9">
                  <c:v>4742.5589277419995</c:v>
                </c:pt>
                <c:pt idx="10">
                  <c:v>4643.2652460089994</c:v>
                </c:pt>
                <c:pt idx="11">
                  <c:v>4090.0710278849992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9E-4943-85D3-900D79A97157}"/>
            </c:ext>
          </c:extLst>
        </c:ser>
        <c:ser>
          <c:idx val="5"/>
          <c:order val="5"/>
          <c:tx>
            <c:strRef>
              <c:f>Mass!$H$2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Mass!$A$3:$A$14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Mass!$H$3:$H$14</c:f>
              <c:numCache>
                <c:formatCode>_-* #,##0_-;\-* #,##0_-;_-* "-"??_-;_-@_-</c:formatCode>
                <c:ptCount val="12"/>
                <c:pt idx="0">
                  <c:v>4299.3235559235891</c:v>
                </c:pt>
                <c:pt idx="1">
                  <c:v>4423.7232257415899</c:v>
                </c:pt>
                <c:pt idx="2">
                  <c:v>4522.169836730729</c:v>
                </c:pt>
                <c:pt idx="3">
                  <c:v>4608.4053669609002</c:v>
                </c:pt>
                <c:pt idx="4">
                  <c:v>4764.7067833133997</c:v>
                </c:pt>
                <c:pt idx="5">
                  <c:v>5086.0318767711296</c:v>
                </c:pt>
                <c:pt idx="6">
                  <c:v>4851.1885316103599</c:v>
                </c:pt>
                <c:pt idx="7">
                  <c:v>4546.7190932977801</c:v>
                </c:pt>
                <c:pt idx="8">
                  <c:v>4293.9067944337194</c:v>
                </c:pt>
                <c:pt idx="9">
                  <c:v>1104.6446276166901</c:v>
                </c:pt>
                <c:pt idx="10">
                  <c:v>3416.1780437408993</c:v>
                </c:pt>
                <c:pt idx="11">
                  <c:v>4196.69030233176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9E-4943-85D3-900D79A9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422152"/>
        <c:axId val="400422544"/>
      </c:lineChart>
      <c:catAx>
        <c:axId val="40042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22544"/>
        <c:crosses val="autoZero"/>
        <c:auto val="1"/>
        <c:lblAlgn val="ctr"/>
        <c:lblOffset val="100"/>
        <c:noMultiLvlLbl val="0"/>
      </c:catAx>
      <c:valAx>
        <c:axId val="400422544"/>
        <c:scaling>
          <c:orientation val="minMax"/>
          <c:max val="6000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22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Litres of Diesel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Mass!$C$2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Mass!$C$22:$C$33</c:f>
              <c:numCache>
                <c:formatCode>_-* #,##0_-;\-* #,##0_-;_-* "-"??_-;_-@_-</c:formatCode>
                <c:ptCount val="12"/>
                <c:pt idx="0">
                  <c:v>6045.8169396296244</c:v>
                </c:pt>
                <c:pt idx="1">
                  <c:v>6064.4056484809635</c:v>
                </c:pt>
                <c:pt idx="2">
                  <c:v>6285.4479777135793</c:v>
                </c:pt>
                <c:pt idx="3">
                  <c:v>7128.7545489495897</c:v>
                </c:pt>
                <c:pt idx="4">
                  <c:v>6961.4570398695405</c:v>
                </c:pt>
                <c:pt idx="5">
                  <c:v>6694.8069000624182</c:v>
                </c:pt>
                <c:pt idx="6">
                  <c:v>7207.0031529643629</c:v>
                </c:pt>
                <c:pt idx="7">
                  <c:v>7177.3417255718177</c:v>
                </c:pt>
                <c:pt idx="8">
                  <c:v>7970.6181143934537</c:v>
                </c:pt>
                <c:pt idx="9">
                  <c:v>7154.8206402883625</c:v>
                </c:pt>
                <c:pt idx="10">
                  <c:v>6808.3459524436357</c:v>
                </c:pt>
                <c:pt idx="11">
                  <c:v>6579.373031860363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6-4258-9781-993B4CFE684E}"/>
            </c:ext>
          </c:extLst>
        </c:ser>
        <c:ser>
          <c:idx val="0"/>
          <c:order val="1"/>
          <c:tx>
            <c:strRef>
              <c:f>Mass!$D$2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Mass!$D$22:$D$33</c:f>
              <c:numCache>
                <c:formatCode>_-* #,##0_-;\-* #,##0_-;_-* "-"??_-;_-@_-</c:formatCode>
                <c:ptCount val="12"/>
                <c:pt idx="0">
                  <c:v>6812.772461521171</c:v>
                </c:pt>
                <c:pt idx="1">
                  <c:v>6805.3216730868944</c:v>
                </c:pt>
                <c:pt idx="2">
                  <c:v>7155.4334323439698</c:v>
                </c:pt>
                <c:pt idx="3">
                  <c:v>7245.0664871574972</c:v>
                </c:pt>
                <c:pt idx="4">
                  <c:v>7642.4576033632802</c:v>
                </c:pt>
                <c:pt idx="5">
                  <c:v>7959.1573875425556</c:v>
                </c:pt>
                <c:pt idx="6">
                  <c:v>8129.8332838187134</c:v>
                </c:pt>
                <c:pt idx="7">
                  <c:v>7194.7039622174389</c:v>
                </c:pt>
                <c:pt idx="8">
                  <c:v>7371.580742980319</c:v>
                </c:pt>
                <c:pt idx="9">
                  <c:v>8154.610938867233</c:v>
                </c:pt>
                <c:pt idx="10">
                  <c:v>7432.4984645760005</c:v>
                </c:pt>
                <c:pt idx="11">
                  <c:v>6189.1825844623199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6-4258-9781-993B4CFE684E}"/>
            </c:ext>
          </c:extLst>
        </c:ser>
        <c:ser>
          <c:idx val="1"/>
          <c:order val="2"/>
          <c:tx>
            <c:strRef>
              <c:f>Mass!$E$2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Mass!$E$22:$E$33</c:f>
              <c:numCache>
                <c:formatCode>_-* #,##0_-;\-* #,##0_-;_-* "-"??_-;_-@_-</c:formatCode>
                <c:ptCount val="12"/>
                <c:pt idx="0">
                  <c:v>6394.5488890050574</c:v>
                </c:pt>
                <c:pt idx="1">
                  <c:v>7817.9243172896522</c:v>
                </c:pt>
                <c:pt idx="2">
                  <c:v>7586.4522796560123</c:v>
                </c:pt>
                <c:pt idx="3">
                  <c:v>5603.457504170352</c:v>
                </c:pt>
                <c:pt idx="4">
                  <c:v>5837.3751806050586</c:v>
                </c:pt>
                <c:pt idx="5">
                  <c:v>7446.9561874689671</c:v>
                </c:pt>
                <c:pt idx="6">
                  <c:v>7212.1942675724322</c:v>
                </c:pt>
                <c:pt idx="7">
                  <c:v>6809.7819948189172</c:v>
                </c:pt>
                <c:pt idx="8">
                  <c:v>8930.1981405277802</c:v>
                </c:pt>
                <c:pt idx="9">
                  <c:v>6472.9336477954766</c:v>
                </c:pt>
                <c:pt idx="10">
                  <c:v>7388.4463585117746</c:v>
                </c:pt>
                <c:pt idx="11">
                  <c:v>6489.2567599419544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6-4258-9781-993B4CFE684E}"/>
            </c:ext>
          </c:extLst>
        </c:ser>
        <c:ser>
          <c:idx val="2"/>
          <c:order val="3"/>
          <c:tx>
            <c:strRef>
              <c:f>Mass!$F$2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Mass!$F$22:$F$33</c:f>
              <c:numCache>
                <c:formatCode>_-* #,##0_-;\-* #,##0_-;_-* "-"??_-;_-@_-</c:formatCode>
                <c:ptCount val="12"/>
                <c:pt idx="0">
                  <c:v>6465.8731898757187</c:v>
                </c:pt>
                <c:pt idx="1">
                  <c:v>8045.9429654604764</c:v>
                </c:pt>
                <c:pt idx="2">
                  <c:v>7294.2656150023731</c:v>
                </c:pt>
                <c:pt idx="3">
                  <c:v>8322.2958117724957</c:v>
                </c:pt>
                <c:pt idx="4">
                  <c:v>8728.46529475846</c:v>
                </c:pt>
                <c:pt idx="5">
                  <c:v>7648.9339315463394</c:v>
                </c:pt>
                <c:pt idx="6">
                  <c:v>7561.3322801988606</c:v>
                </c:pt>
                <c:pt idx="7">
                  <c:v>7307.2803694961303</c:v>
                </c:pt>
                <c:pt idx="8">
                  <c:v>8258.6164050373827</c:v>
                </c:pt>
                <c:pt idx="9">
                  <c:v>8450.5466416191794</c:v>
                </c:pt>
                <c:pt idx="10">
                  <c:v>8252.5543139184028</c:v>
                </c:pt>
                <c:pt idx="11">
                  <c:v>7468.1659583701257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77-40EC-AA24-D8B8787CD19A}"/>
            </c:ext>
          </c:extLst>
        </c:ser>
        <c:ser>
          <c:idx val="4"/>
          <c:order val="4"/>
          <c:tx>
            <c:strRef>
              <c:f>Mass!$G$2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Mass!$G$22:$G$33</c:f>
              <c:numCache>
                <c:formatCode>_-* #,##0_-;\-* #,##0_-;_-* "-"??_-;_-@_-</c:formatCode>
                <c:ptCount val="12"/>
                <c:pt idx="0">
                  <c:v>7927.8278455558357</c:v>
                </c:pt>
                <c:pt idx="1">
                  <c:v>8041.5576095140377</c:v>
                </c:pt>
                <c:pt idx="2">
                  <c:v>8653.55599650572</c:v>
                </c:pt>
                <c:pt idx="3">
                  <c:v>9675.7713625084198</c:v>
                </c:pt>
                <c:pt idx="4">
                  <c:v>9531.1624459007326</c:v>
                </c:pt>
                <c:pt idx="5">
                  <c:v>9022.2619259290186</c:v>
                </c:pt>
                <c:pt idx="6">
                  <c:v>8933.1643585169131</c:v>
                </c:pt>
                <c:pt idx="7">
                  <c:v>8417.998576604612</c:v>
                </c:pt>
                <c:pt idx="8">
                  <c:v>9815.0941075964784</c:v>
                </c:pt>
                <c:pt idx="9">
                  <c:v>8310.0543575823103</c:v>
                </c:pt>
                <c:pt idx="10">
                  <c:v>9309.150234660372</c:v>
                </c:pt>
                <c:pt idx="11">
                  <c:v>7662.0528615134617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D5-A545-8544-E3A808B7F56E}"/>
            </c:ext>
          </c:extLst>
        </c:ser>
        <c:ser>
          <c:idx val="5"/>
          <c:order val="5"/>
          <c:tx>
            <c:strRef>
              <c:f>Mass!$H$2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Mass!$A$22:$A$33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Mass!$H$22:$H$33</c:f>
              <c:numCache>
                <c:formatCode>_-* #,##0_-;\-* #,##0_-;_-* "-"??_-;_-@_-</c:formatCode>
                <c:ptCount val="12"/>
                <c:pt idx="0">
                  <c:v>8024.0441969917674</c:v>
                </c:pt>
                <c:pt idx="1">
                  <c:v>7830.2998057556752</c:v>
                </c:pt>
                <c:pt idx="2">
                  <c:v>8545.7535644070103</c:v>
                </c:pt>
                <c:pt idx="3">
                  <c:v>9353.9715303662852</c:v>
                </c:pt>
                <c:pt idx="4">
                  <c:v>9569.3238956206023</c:v>
                </c:pt>
                <c:pt idx="5">
                  <c:v>9072.2419363513727</c:v>
                </c:pt>
                <c:pt idx="6">
                  <c:v>8721.6259393123946</c:v>
                </c:pt>
                <c:pt idx="7">
                  <c:v>9009.0916390555085</c:v>
                </c:pt>
                <c:pt idx="8">
                  <c:v>8464.4547747570632</c:v>
                </c:pt>
                <c:pt idx="9">
                  <c:v>4177.3577919570052</c:v>
                </c:pt>
                <c:pt idx="10">
                  <c:v>8237.2993131692783</c:v>
                </c:pt>
                <c:pt idx="11">
                  <c:v>8259.9765737599664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D5-A545-8544-E3A808B7F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74832"/>
        <c:axId val="249375224"/>
      </c:lineChart>
      <c:catAx>
        <c:axId val="24937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5224"/>
        <c:crosses val="autoZero"/>
        <c:auto val="1"/>
        <c:lblAlgn val="ctr"/>
        <c:lblOffset val="100"/>
        <c:noMultiLvlLbl val="0"/>
      </c:catAx>
      <c:valAx>
        <c:axId val="249375224"/>
        <c:scaling>
          <c:orientation val="minMax"/>
          <c:max val="95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Total Litres of Fuel Used in Dunedin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Mass!$C$2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Mass!$C$41:$C$52</c:f>
              <c:numCache>
                <c:formatCode>_-* #,##0_-;\-* #,##0_-;_-* "-"??_-;_-@_-</c:formatCode>
                <c:ptCount val="12"/>
                <c:pt idx="0">
                  <c:v>10141.585265805097</c:v>
                </c:pt>
                <c:pt idx="1">
                  <c:v>10225.945563006149</c:v>
                </c:pt>
                <c:pt idx="2">
                  <c:v>9845.8111824597327</c:v>
                </c:pt>
                <c:pt idx="3">
                  <c:v>11671.709438979891</c:v>
                </c:pt>
                <c:pt idx="4">
                  <c:v>11349.921064570135</c:v>
                </c:pt>
                <c:pt idx="5">
                  <c:v>11560.376645297278</c:v>
                </c:pt>
                <c:pt idx="6">
                  <c:v>11583.717345398545</c:v>
                </c:pt>
                <c:pt idx="7">
                  <c:v>11536.042939867726</c:v>
                </c:pt>
                <c:pt idx="8">
                  <c:v>12811.06520222218</c:v>
                </c:pt>
                <c:pt idx="9">
                  <c:v>11499.845108300546</c:v>
                </c:pt>
                <c:pt idx="10">
                  <c:v>10942.961093385453</c:v>
                </c:pt>
                <c:pt idx="11">
                  <c:v>10574.936057806544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F-43F4-98FA-11D68DBC90C6}"/>
            </c:ext>
          </c:extLst>
        </c:ser>
        <c:ser>
          <c:idx val="0"/>
          <c:order val="1"/>
          <c:tx>
            <c:strRef>
              <c:f>Mass!$D$2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Mass!$D$41:$D$52</c:f>
              <c:numCache>
                <c:formatCode>_-* #,##0_-;\-* #,##0_-;_-* "-"??_-;_-@_-</c:formatCode>
                <c:ptCount val="12"/>
                <c:pt idx="0">
                  <c:v>10908.540787696646</c:v>
                </c:pt>
                <c:pt idx="1">
                  <c:v>10818.382769575319</c:v>
                </c:pt>
                <c:pt idx="2">
                  <c:v>11358.769076188888</c:v>
                </c:pt>
                <c:pt idx="3">
                  <c:v>11966.434930166159</c:v>
                </c:pt>
                <c:pt idx="4">
                  <c:v>12375.997321176659</c:v>
                </c:pt>
                <c:pt idx="5">
                  <c:v>12842.632373560858</c:v>
                </c:pt>
                <c:pt idx="6">
                  <c:v>12057.285195716551</c:v>
                </c:pt>
                <c:pt idx="7">
                  <c:v>12209.077741330348</c:v>
                </c:pt>
                <c:pt idx="8">
                  <c:v>12518.296992559317</c:v>
                </c:pt>
                <c:pt idx="9">
                  <c:v>12265.931306799179</c:v>
                </c:pt>
                <c:pt idx="10">
                  <c:v>12027.660647694</c:v>
                </c:pt>
                <c:pt idx="11">
                  <c:v>10635.85423557246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F-43F4-98FA-11D68DBC90C6}"/>
            </c:ext>
          </c:extLst>
        </c:ser>
        <c:ser>
          <c:idx val="1"/>
          <c:order val="2"/>
          <c:tx>
            <c:strRef>
              <c:f>Mass!$E$2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Mass!$E$41:$E$52</c:f>
              <c:numCache>
                <c:formatCode>_-* #,##0_-;\-* #,##0_-;_-* "-"??_-;_-@_-</c:formatCode>
                <c:ptCount val="12"/>
                <c:pt idx="0">
                  <c:v>10908.925764327058</c:v>
                </c:pt>
                <c:pt idx="1">
                  <c:v>12161.671450394651</c:v>
                </c:pt>
                <c:pt idx="2">
                  <c:v>12333.936704658343</c:v>
                </c:pt>
                <c:pt idx="3">
                  <c:v>9757.1706724417927</c:v>
                </c:pt>
                <c:pt idx="4">
                  <c:v>10119.320401901798</c:v>
                </c:pt>
                <c:pt idx="5">
                  <c:v>12793.845330140855</c:v>
                </c:pt>
                <c:pt idx="6">
                  <c:v>11652.853002411652</c:v>
                </c:pt>
                <c:pt idx="7">
                  <c:v>11621.873669443998</c:v>
                </c:pt>
                <c:pt idx="8">
                  <c:v>13621.68930917457</c:v>
                </c:pt>
                <c:pt idx="9">
                  <c:v>11150.185015592157</c:v>
                </c:pt>
                <c:pt idx="10">
                  <c:v>12091.647439042885</c:v>
                </c:pt>
                <c:pt idx="11">
                  <c:v>10975.879318806174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DF-43F4-98FA-11D68DBC90C6}"/>
            </c:ext>
          </c:extLst>
        </c:ser>
        <c:ser>
          <c:idx val="2"/>
          <c:order val="3"/>
          <c:tx>
            <c:strRef>
              <c:f>Mass!$F$2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Mass!$F$41:$F$52</c:f>
              <c:numCache>
                <c:formatCode>_-* #,##0_-;\-* #,##0_-;_-* "-"??_-;_-@_-</c:formatCode>
                <c:ptCount val="12"/>
                <c:pt idx="0">
                  <c:v>10699.710496187538</c:v>
                </c:pt>
                <c:pt idx="1">
                  <c:v>13212.275500887976</c:v>
                </c:pt>
                <c:pt idx="2">
                  <c:v>11748.911127357593</c:v>
                </c:pt>
                <c:pt idx="3">
                  <c:v>13263.235611432676</c:v>
                </c:pt>
                <c:pt idx="4">
                  <c:v>13573.715290024929</c:v>
                </c:pt>
                <c:pt idx="5">
                  <c:v>12973.654458469558</c:v>
                </c:pt>
                <c:pt idx="6">
                  <c:v>12539.834868196591</c:v>
                </c:pt>
                <c:pt idx="7">
                  <c:v>12132.793979309719</c:v>
                </c:pt>
                <c:pt idx="8">
                  <c:v>13602.418243614842</c:v>
                </c:pt>
                <c:pt idx="9">
                  <c:v>12775.93889451677</c:v>
                </c:pt>
                <c:pt idx="10">
                  <c:v>12908.954430025413</c:v>
                </c:pt>
                <c:pt idx="11">
                  <c:v>11755.001709983404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629-8E07-8D1914F26B16}"/>
            </c:ext>
          </c:extLst>
        </c:ser>
        <c:ser>
          <c:idx val="4"/>
          <c:order val="4"/>
          <c:tx>
            <c:strRef>
              <c:f>Mass!$G$2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Mass!$G$41:$G$52</c:f>
              <c:numCache>
                <c:formatCode>_-* #,##0_-;\-* #,##0_-;_-* "-"??_-;_-@_-</c:formatCode>
                <c:ptCount val="12"/>
                <c:pt idx="0">
                  <c:v>12365.993102693385</c:v>
                </c:pt>
                <c:pt idx="1">
                  <c:v>12630.936117239116</c:v>
                </c:pt>
                <c:pt idx="2">
                  <c:v>13202.710511995818</c:v>
                </c:pt>
                <c:pt idx="3">
                  <c:v>14460.64883993991</c:v>
                </c:pt>
                <c:pt idx="4">
                  <c:v>14259.179483686732</c:v>
                </c:pt>
                <c:pt idx="5">
                  <c:v>14175.243750178019</c:v>
                </c:pt>
                <c:pt idx="6">
                  <c:v>13755.681579317912</c:v>
                </c:pt>
                <c:pt idx="7">
                  <c:v>13166.243808905612</c:v>
                </c:pt>
                <c:pt idx="8">
                  <c:v>14595.450024586478</c:v>
                </c:pt>
                <c:pt idx="9">
                  <c:v>13052.613285324311</c:v>
                </c:pt>
                <c:pt idx="10">
                  <c:v>13952.415480669371</c:v>
                </c:pt>
                <c:pt idx="11">
                  <c:v>11752.123889398461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D8-5543-B2AC-11C3D46074AD}"/>
            </c:ext>
          </c:extLst>
        </c:ser>
        <c:ser>
          <c:idx val="5"/>
          <c:order val="5"/>
          <c:tx>
            <c:strRef>
              <c:f>Mass!$H$2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Mass!$A$41:$A$52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Mass!$H$41:$H$52</c:f>
              <c:numCache>
                <c:formatCode>_-* #,##0_-;\-* #,##0_-;_-* "-"??_-;_-@_-</c:formatCode>
                <c:ptCount val="12"/>
                <c:pt idx="0">
                  <c:v>12323.367752915357</c:v>
                </c:pt>
                <c:pt idx="1">
                  <c:v>12254.023031497265</c:v>
                </c:pt>
                <c:pt idx="2">
                  <c:v>13067.923401137739</c:v>
                </c:pt>
                <c:pt idx="3">
                  <c:v>13962.376897327185</c:v>
                </c:pt>
                <c:pt idx="4">
                  <c:v>14334.030678934003</c:v>
                </c:pt>
                <c:pt idx="5">
                  <c:v>14158.273813122501</c:v>
                </c:pt>
                <c:pt idx="6">
                  <c:v>13572.814470922754</c:v>
                </c:pt>
                <c:pt idx="7">
                  <c:v>13555.810732353289</c:v>
                </c:pt>
                <c:pt idx="8">
                  <c:v>12758.361569190783</c:v>
                </c:pt>
                <c:pt idx="9">
                  <c:v>5282.0024195736951</c:v>
                </c:pt>
                <c:pt idx="10">
                  <c:v>11653.477356910178</c:v>
                </c:pt>
                <c:pt idx="11">
                  <c:v>12456.666876091727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D8-5543-B2AC-11C3D4607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376008"/>
        <c:axId val="442512672"/>
      </c:lineChart>
      <c:catAx>
        <c:axId val="24937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2672"/>
        <c:crosses val="autoZero"/>
        <c:auto val="1"/>
        <c:lblAlgn val="ctr"/>
        <c:lblOffset val="100"/>
        <c:noMultiLvlLbl val="0"/>
      </c:catAx>
      <c:valAx>
        <c:axId val="442512672"/>
        <c:scaling>
          <c:orientation val="minMax"/>
          <c:max val="14000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37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720756554915166"/>
          <c:h val="6.03221380169301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Petrol Energy Used in Dunedin (PJ)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PJ!$C$2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PJ!$C$3:$C$14</c:f>
              <c:numCache>
                <c:formatCode>_-* #,##0.0000_-;\-* #,##0.0000_-;_-* "-"??_-;_-@_-</c:formatCode>
                <c:ptCount val="12"/>
                <c:pt idx="0">
                  <c:v>0.19682130531813097</c:v>
                </c:pt>
                <c:pt idx="1">
                  <c:v>0.19998194548156645</c:v>
                </c:pt>
                <c:pt idx="2">
                  <c:v>0.17109252222259594</c:v>
                </c:pt>
                <c:pt idx="3">
                  <c:v>0.21831076375652461</c:v>
                </c:pt>
                <c:pt idx="4">
                  <c:v>0.21088673696780391</c:v>
                </c:pt>
                <c:pt idx="5">
                  <c:v>0.23381395433265589</c:v>
                </c:pt>
                <c:pt idx="6">
                  <c:v>0.21032210119259051</c:v>
                </c:pt>
                <c:pt idx="7">
                  <c:v>0.20945649122945273</c:v>
                </c:pt>
                <c:pt idx="8">
                  <c:v>0.23260669019319416</c:v>
                </c:pt>
                <c:pt idx="9">
                  <c:v>0.20879925799707855</c:v>
                </c:pt>
                <c:pt idx="10">
                  <c:v>0.19868808101950541</c:v>
                </c:pt>
                <c:pt idx="11">
                  <c:v>0.19200596020574254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5-40C2-8324-ED8D80C3E200}"/>
            </c:ext>
          </c:extLst>
        </c:ser>
        <c:ser>
          <c:idx val="0"/>
          <c:order val="1"/>
          <c:tx>
            <c:strRef>
              <c:f>PJ!$D$2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PJ!$D$3:$D$14</c:f>
              <c:numCache>
                <c:formatCode>_-* #,##0.0000_-;\-* #,##0.0000_-;_-* "-"??_-;_-@_-</c:formatCode>
                <c:ptCount val="12"/>
                <c:pt idx="0">
                  <c:v>0.1945009569706459</c:v>
                </c:pt>
                <c:pt idx="1">
                  <c:v>0.1928468263901561</c:v>
                </c:pt>
                <c:pt idx="2">
                  <c:v>0.20199043066586264</c:v>
                </c:pt>
                <c:pt idx="3">
                  <c:v>0.22688439038458061</c:v>
                </c:pt>
                <c:pt idx="4">
                  <c:v>0.22746927849437448</c:v>
                </c:pt>
                <c:pt idx="5">
                  <c:v>0.23467438699934531</c:v>
                </c:pt>
                <c:pt idx="6">
                  <c:v>0.18873289461558371</c:v>
                </c:pt>
                <c:pt idx="7">
                  <c:v>0.24096470160449435</c:v>
                </c:pt>
                <c:pt idx="8">
                  <c:v>0.24732439182908397</c:v>
                </c:pt>
                <c:pt idx="9">
                  <c:v>0.19756865548911326</c:v>
                </c:pt>
                <c:pt idx="10">
                  <c:v>0.22081957449832801</c:v>
                </c:pt>
                <c:pt idx="11">
                  <c:v>0.21368389249444342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75-40C2-8324-ED8D80C3E200}"/>
            </c:ext>
          </c:extLst>
        </c:ser>
        <c:ser>
          <c:idx val="1"/>
          <c:order val="2"/>
          <c:tx>
            <c:strRef>
              <c:f>PJ!$E$2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PJ!$E$3:$E$14</c:f>
              <c:numCache>
                <c:formatCode>_-* #,##0.0000_-;\-* #,##0.0000_-;_-* "-"??_-;_-@_-</c:formatCode>
                <c:ptCount val="12"/>
                <c:pt idx="0">
                  <c:v>0.21693745313191196</c:v>
                </c:pt>
                <c:pt idx="1">
                  <c:v>0.20873787593057999</c:v>
                </c:pt>
                <c:pt idx="2">
                  <c:v>0.22813938853298868</c:v>
                </c:pt>
                <c:pt idx="3">
                  <c:v>0.19960583279857824</c:v>
                </c:pt>
                <c:pt idx="4">
                  <c:v>0.205767997757657</c:v>
                </c:pt>
                <c:pt idx="5">
                  <c:v>0.25694365907524641</c:v>
                </c:pt>
                <c:pt idx="6">
                  <c:v>0.21339494303857515</c:v>
                </c:pt>
                <c:pt idx="7">
                  <c:v>0.23124407663814764</c:v>
                </c:pt>
                <c:pt idx="8">
                  <c:v>0.22544864410428678</c:v>
                </c:pt>
                <c:pt idx="9">
                  <c:v>0.22476435340042125</c:v>
                </c:pt>
                <c:pt idx="10">
                  <c:v>0.22601136151374149</c:v>
                </c:pt>
                <c:pt idx="11">
                  <c:v>0.21560372515747508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75-40C2-8324-ED8D80C3E200}"/>
            </c:ext>
          </c:extLst>
        </c:ser>
        <c:ser>
          <c:idx val="2"/>
          <c:order val="3"/>
          <c:tx>
            <c:strRef>
              <c:f>PJ!$F$2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PJ!$F$3:$F$14</c:f>
              <c:numCache>
                <c:formatCode>_-* #,##0.0000_-;\-* #,##0.0000_-;_-* "-"??_-;_-@_-</c:formatCode>
                <c:ptCount val="12"/>
                <c:pt idx="0">
                  <c:v>0.20345618178824473</c:v>
                </c:pt>
                <c:pt idx="1">
                  <c:v>0.24826704841478997</c:v>
                </c:pt>
                <c:pt idx="2">
                  <c:v>0.21406707475811107</c:v>
                </c:pt>
                <c:pt idx="3">
                  <c:v>0.23743584681106725</c:v>
                </c:pt>
                <c:pt idx="4">
                  <c:v>0.23283749292321607</c:v>
                </c:pt>
                <c:pt idx="5">
                  <c:v>0.25587835080063914</c:v>
                </c:pt>
                <c:pt idx="6">
                  <c:v>0.23924091888624704</c:v>
                </c:pt>
                <c:pt idx="7">
                  <c:v>0.23188906497569958</c:v>
                </c:pt>
                <c:pt idx="8">
                  <c:v>0.25679529931136613</c:v>
                </c:pt>
                <c:pt idx="9">
                  <c:v>0.20785583593376361</c:v>
                </c:pt>
                <c:pt idx="10">
                  <c:v>0.22376235078497794</c:v>
                </c:pt>
                <c:pt idx="11">
                  <c:v>0.20600301118711484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180-B35A-4083189D57C8}"/>
            </c:ext>
          </c:extLst>
        </c:ser>
        <c:ser>
          <c:idx val="4"/>
          <c:order val="4"/>
          <c:tx>
            <c:strRef>
              <c:f>PJ!$G$2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PJ!$G$3:$G$14</c:f>
              <c:numCache>
                <c:formatCode>_-* #,##0.0000_-;\-* #,##0.0000_-;_-* "-"??_-;_-@_-</c:formatCode>
                <c:ptCount val="12"/>
                <c:pt idx="0">
                  <c:v>0.21327511947997982</c:v>
                </c:pt>
                <c:pt idx="1">
                  <c:v>0.22054164116574762</c:v>
                </c:pt>
                <c:pt idx="2">
                  <c:v>0.21860868548409956</c:v>
                </c:pt>
                <c:pt idx="3">
                  <c:v>0.22993630398396803</c:v>
                </c:pt>
                <c:pt idx="4">
                  <c:v>0.22720388724045595</c:v>
                </c:pt>
                <c:pt idx="5">
                  <c:v>0.24762548273240395</c:v>
                </c:pt>
                <c:pt idx="6">
                  <c:v>0.231745074117396</c:v>
                </c:pt>
                <c:pt idx="7">
                  <c:v>0.22817594897139598</c:v>
                </c:pt>
                <c:pt idx="8">
                  <c:v>0.22971902132603997</c:v>
                </c:pt>
                <c:pt idx="9">
                  <c:v>0.22790269477423197</c:v>
                </c:pt>
                <c:pt idx="10">
                  <c:v>0.22313115730136399</c:v>
                </c:pt>
                <c:pt idx="11">
                  <c:v>0.19654752281945997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34-514F-B15C-8F9AFB838E77}"/>
            </c:ext>
          </c:extLst>
        </c:ser>
        <c:ser>
          <c:idx val="5"/>
          <c:order val="5"/>
          <c:tx>
            <c:strRef>
              <c:f>PJ!$H$2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PJ!$A$3:$A$14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PJ!$H$3:$H$14</c:f>
              <c:numCache>
                <c:formatCode>_-* #,##0.0000_-;\-* #,##0.0000_-;_-* "-"??_-;_-@_-</c:formatCode>
                <c:ptCount val="12"/>
                <c:pt idx="0">
                  <c:v>0.20660311005725962</c:v>
                </c:pt>
                <c:pt idx="1">
                  <c:v>0.2125811106287876</c:v>
                </c:pt>
                <c:pt idx="2">
                  <c:v>0.21731194229111503</c:v>
                </c:pt>
                <c:pt idx="3">
                  <c:v>0.22145597297669639</c:v>
                </c:pt>
                <c:pt idx="4">
                  <c:v>0.22896700542278639</c:v>
                </c:pt>
                <c:pt idx="5">
                  <c:v>0.24440821676319344</c:v>
                </c:pt>
                <c:pt idx="6">
                  <c:v>0.23312286806697452</c:v>
                </c:pt>
                <c:pt idx="7">
                  <c:v>0.21849165177107688</c:v>
                </c:pt>
                <c:pt idx="8">
                  <c:v>0.20634280869689708</c:v>
                </c:pt>
                <c:pt idx="9">
                  <c:v>5.308347059834724E-2</c:v>
                </c:pt>
                <c:pt idx="10">
                  <c:v>0.16416373393757638</c:v>
                </c:pt>
                <c:pt idx="11">
                  <c:v>0.20167109014492896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34-514F-B15C-8F9AFB838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513456"/>
        <c:axId val="442513848"/>
      </c:lineChart>
      <c:catAx>
        <c:axId val="44251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3848"/>
        <c:crosses val="autoZero"/>
        <c:auto val="1"/>
        <c:lblAlgn val="ctr"/>
        <c:lblOffset val="100"/>
        <c:noMultiLvlLbl val="0"/>
      </c:catAx>
      <c:valAx>
        <c:axId val="442513848"/>
        <c:scaling>
          <c:orientation val="minMax"/>
          <c:max val="0.30000000000000004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5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371001026043035"/>
          <c:h val="5.338819776905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Diesel Energy Used in Dunedin (PJ)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8720748141777"/>
          <c:y val="0.11218989788069138"/>
          <c:w val="0.8513629325746046"/>
          <c:h val="0.68270203015468756"/>
        </c:manualLayout>
      </c:layout>
      <c:lineChart>
        <c:grouping val="standard"/>
        <c:varyColors val="0"/>
        <c:ser>
          <c:idx val="3"/>
          <c:order val="0"/>
          <c:tx>
            <c:strRef>
              <c:f>PJ!$C$2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PJ!$C$24:$C$35</c:f>
              <c:numCache>
                <c:formatCode>_-* #,##0.0000_-;\-* #,##0.0000_-;_-* "-"??_-;_-@_-</c:formatCode>
                <c:ptCount val="12"/>
                <c:pt idx="0">
                  <c:v>0.28007429075754114</c:v>
                </c:pt>
                <c:pt idx="1">
                  <c:v>0.28093541829408808</c:v>
                </c:pt>
                <c:pt idx="2">
                  <c:v>0.29117527077480382</c:v>
                </c:pt>
                <c:pt idx="3">
                  <c:v>0.33024170169531536</c:v>
                </c:pt>
                <c:pt idx="4">
                  <c:v>0.32249159419636608</c:v>
                </c:pt>
                <c:pt idx="5">
                  <c:v>0.31013894615349402</c:v>
                </c:pt>
                <c:pt idx="6">
                  <c:v>0.33386659184515638</c:v>
                </c:pt>
                <c:pt idx="7">
                  <c:v>0.33249251728703183</c:v>
                </c:pt>
                <c:pt idx="8">
                  <c:v>0.36924128493786551</c:v>
                </c:pt>
                <c:pt idx="9">
                  <c:v>0.33144922122781634</c:v>
                </c:pt>
                <c:pt idx="10">
                  <c:v>0.31539867695356361</c:v>
                </c:pt>
                <c:pt idx="11">
                  <c:v>0.30479143743979631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6-45A6-84CD-0FA9074085BF}"/>
            </c:ext>
          </c:extLst>
        </c:ser>
        <c:ser>
          <c:idx val="0"/>
          <c:order val="1"/>
          <c:tx>
            <c:strRef>
              <c:f>PJ!$D$2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PJ!$D$24:$D$35</c:f>
              <c:numCache>
                <c:formatCode>_-* #,##0.0000_-;\-* #,##0.0000_-;_-* "-"??_-;_-@_-</c:formatCode>
                <c:ptCount val="12"/>
                <c:pt idx="0">
                  <c:v>0.31560373631986632</c:v>
                </c:pt>
                <c:pt idx="1">
                  <c:v>0.31525857630143511</c:v>
                </c:pt>
                <c:pt idx="2">
                  <c:v>0.33147760900436829</c:v>
                </c:pt>
                <c:pt idx="3">
                  <c:v>0.33562988726651305</c:v>
                </c:pt>
                <c:pt idx="4">
                  <c:v>0.35403915042086531</c:v>
                </c:pt>
                <c:pt idx="5">
                  <c:v>0.36871036331447149</c:v>
                </c:pt>
                <c:pt idx="6">
                  <c:v>0.37661697561786694</c:v>
                </c:pt>
                <c:pt idx="7">
                  <c:v>0.33329682812922962</c:v>
                </c:pt>
                <c:pt idx="8">
                  <c:v>0.3414906982742088</c:v>
                </c:pt>
                <c:pt idx="9">
                  <c:v>0.37776480795113876</c:v>
                </c:pt>
                <c:pt idx="10">
                  <c:v>0.34431273007584007</c:v>
                </c:pt>
                <c:pt idx="11">
                  <c:v>0.28671574743683881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6-45A6-84CD-0FA9074085BF}"/>
            </c:ext>
          </c:extLst>
        </c:ser>
        <c:ser>
          <c:idx val="1"/>
          <c:order val="2"/>
          <c:tx>
            <c:strRef>
              <c:f>PJ!$E$2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PJ!$E$24:$E$35</c:f>
              <c:numCache>
                <c:formatCode>_-* #,##0.0000_-;\-* #,##0.0000_-;_-* "-"??_-;_-@_-</c:formatCode>
                <c:ptCount val="12"/>
                <c:pt idx="0">
                  <c:v>0.29622940335210179</c:v>
                </c:pt>
                <c:pt idx="1">
                  <c:v>0.36216769879492433</c:v>
                </c:pt>
                <c:pt idx="2">
                  <c:v>0.35144468693105269</c:v>
                </c:pt>
                <c:pt idx="3">
                  <c:v>0.25958185666909644</c:v>
                </c:pt>
                <c:pt idx="4">
                  <c:v>0.27041816348706565</c:v>
                </c:pt>
                <c:pt idx="5">
                  <c:v>0.34498248844359258</c:v>
                </c:pt>
                <c:pt idx="6">
                  <c:v>0.33410707179296384</c:v>
                </c:pt>
                <c:pt idx="7">
                  <c:v>0.31546520204914147</c:v>
                </c:pt>
                <c:pt idx="8">
                  <c:v>0.41369411867866657</c:v>
                </c:pt>
                <c:pt idx="9">
                  <c:v>0.29986060091293509</c:v>
                </c:pt>
                <c:pt idx="10">
                  <c:v>0.34227200299370819</c:v>
                </c:pt>
                <c:pt idx="11">
                  <c:v>0.3006167739997207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6-45A6-84CD-0FA9074085BF}"/>
            </c:ext>
          </c:extLst>
        </c:ser>
        <c:ser>
          <c:idx val="2"/>
          <c:order val="3"/>
          <c:tx>
            <c:strRef>
              <c:f>PJ!$F$2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PJ!$F$24:$F$35</c:f>
              <c:numCache>
                <c:formatCode>_-* #,##0.0000_-;\-* #,##0.0000_-;_-* "-"??_-;_-@_-</c:formatCode>
                <c:ptCount val="12"/>
                <c:pt idx="0">
                  <c:v>0.29953352307315834</c:v>
                </c:pt>
                <c:pt idx="1">
                  <c:v>0.37273073135175339</c:v>
                </c:pt>
                <c:pt idx="2">
                  <c:v>0.33790905168294133</c:v>
                </c:pt>
                <c:pt idx="3">
                  <c:v>0.38553286019596683</c:v>
                </c:pt>
                <c:pt idx="4">
                  <c:v>0.40434878383549738</c:v>
                </c:pt>
                <c:pt idx="5">
                  <c:v>0.35433916827464673</c:v>
                </c:pt>
                <c:pt idx="6">
                  <c:v>0.35028099538993523</c:v>
                </c:pt>
                <c:pt idx="7">
                  <c:v>0.33851196410497136</c:v>
                </c:pt>
                <c:pt idx="8">
                  <c:v>0.38258289249841859</c:v>
                </c:pt>
                <c:pt idx="9">
                  <c:v>0.39147411851838254</c:v>
                </c:pt>
                <c:pt idx="10">
                  <c:v>0.38230206430140079</c:v>
                </c:pt>
                <c:pt idx="11">
                  <c:v>0.34596503746907398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48-4C04-B089-F6372A9497A7}"/>
            </c:ext>
          </c:extLst>
        </c:ser>
        <c:ser>
          <c:idx val="4"/>
          <c:order val="4"/>
          <c:tx>
            <c:strRef>
              <c:f>PJ!$G$2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PJ!$G$24:$G$35</c:f>
              <c:numCache>
                <c:formatCode>_-* #,##0.0000_-;\-* #,##0.0000_-;_-* "-"??_-;_-@_-</c:formatCode>
                <c:ptCount val="12"/>
                <c:pt idx="0">
                  <c:v>0.36725901284532764</c:v>
                </c:pt>
                <c:pt idx="1">
                  <c:v>0.37252757841664436</c:v>
                </c:pt>
                <c:pt idx="2">
                  <c:v>0.4008785880308976</c:v>
                </c:pt>
                <c:pt idx="3">
                  <c:v>0.4482330227571672</c:v>
                </c:pt>
                <c:pt idx="4">
                  <c:v>0.44153397113841347</c:v>
                </c:pt>
                <c:pt idx="5">
                  <c:v>0.41795900126743479</c:v>
                </c:pt>
                <c:pt idx="6">
                  <c:v>0.41383152962045222</c:v>
                </c:pt>
                <c:pt idx="7">
                  <c:v>0.38996631960294864</c:v>
                </c:pt>
                <c:pt idx="8">
                  <c:v>0.45468719088805376</c:v>
                </c:pt>
                <c:pt idx="9">
                  <c:v>0.38496577114342151</c:v>
                </c:pt>
                <c:pt idx="10">
                  <c:v>0.43124918858155586</c:v>
                </c:pt>
                <c:pt idx="11">
                  <c:v>0.35494690665685863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3-DA4B-9ACD-889DA86A8641}"/>
            </c:ext>
          </c:extLst>
        </c:ser>
        <c:ser>
          <c:idx val="5"/>
          <c:order val="5"/>
          <c:tx>
            <c:strRef>
              <c:f>PJ!$H$2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PJ!$A$24:$A$35</c:f>
              <c:strCache>
                <c:ptCount val="12"/>
                <c:pt idx="0">
                  <c:v> July </c:v>
                </c:pt>
                <c:pt idx="1">
                  <c:v> August </c:v>
                </c:pt>
                <c:pt idx="2">
                  <c:v> September </c:v>
                </c:pt>
                <c:pt idx="3">
                  <c:v> October </c:v>
                </c:pt>
                <c:pt idx="4">
                  <c:v> November </c:v>
                </c:pt>
                <c:pt idx="5">
                  <c:v> December </c:v>
                </c:pt>
                <c:pt idx="6">
                  <c:v> January </c:v>
                </c:pt>
                <c:pt idx="7">
                  <c:v> February </c:v>
                </c:pt>
                <c:pt idx="8">
                  <c:v> March </c:v>
                </c:pt>
                <c:pt idx="9">
                  <c:v> April </c:v>
                </c:pt>
                <c:pt idx="10">
                  <c:v> May </c:v>
                </c:pt>
                <c:pt idx="11">
                  <c:v> June </c:v>
                </c:pt>
              </c:strCache>
            </c:strRef>
          </c:cat>
          <c:val>
            <c:numRef>
              <c:f>PJ!$H$24:$H$35</c:f>
              <c:numCache>
                <c:formatCode>_-* #,##0.0000_-;\-* #,##0.0000_-;_-* "-"??_-;_-@_-</c:formatCode>
                <c:ptCount val="12"/>
                <c:pt idx="0">
                  <c:v>0.3717162643064259</c:v>
                </c:pt>
                <c:pt idx="1">
                  <c:v>0.36274099702566953</c:v>
                </c:pt>
                <c:pt idx="2">
                  <c:v>0.39588460789331276</c:v>
                </c:pt>
                <c:pt idx="3">
                  <c:v>0.43332554860552258</c:v>
                </c:pt>
                <c:pt idx="4">
                  <c:v>0.44330181179109912</c:v>
                </c:pt>
                <c:pt idx="5">
                  <c:v>0.42027434030447025</c:v>
                </c:pt>
                <c:pt idx="6">
                  <c:v>0.40403194863441155</c:v>
                </c:pt>
                <c:pt idx="7">
                  <c:v>0.41734888376106555</c:v>
                </c:pt>
                <c:pt idx="8">
                  <c:v>0.39211841697519179</c:v>
                </c:pt>
                <c:pt idx="9">
                  <c:v>0.19351735795270708</c:v>
                </c:pt>
                <c:pt idx="10">
                  <c:v>0.38159537179681779</c:v>
                </c:pt>
                <c:pt idx="11">
                  <c:v>0.38264590272418159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83-DA4B-9ACD-889DA86A8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644080"/>
        <c:axId val="249644472"/>
      </c:lineChart>
      <c:catAx>
        <c:axId val="2496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4472"/>
        <c:crosses val="autoZero"/>
        <c:auto val="1"/>
        <c:lblAlgn val="ctr"/>
        <c:lblOffset val="100"/>
        <c:noMultiLvlLbl val="0"/>
      </c:catAx>
      <c:valAx>
        <c:axId val="249644472"/>
        <c:scaling>
          <c:orientation val="minMax"/>
          <c:max val="0.45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.0000_-;\-* #,##0.0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64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54732129072097"/>
          <c:y val="0.72437911623444218"/>
          <c:w val="0.59371001026043035"/>
          <c:h val="5.33881977690522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692792</xdr:colOff>
      <xdr:row>97</xdr:row>
      <xdr:rowOff>101744</xdr:rowOff>
    </xdr:from>
    <xdr:to>
      <xdr:col>7</xdr:col>
      <xdr:colOff>455916</xdr:colOff>
      <xdr:row>111</xdr:row>
      <xdr:rowOff>147978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3E181-46FE-B842-93C6-32C3FD78A0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21</xdr:col>
      <xdr:colOff>180975</xdr:colOff>
      <xdr:row>18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21</xdr:col>
      <xdr:colOff>180975</xdr:colOff>
      <xdr:row>37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21</xdr:col>
      <xdr:colOff>180975</xdr:colOff>
      <xdr:row>56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18</xdr:col>
      <xdr:colOff>180975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180975</xdr:colOff>
      <xdr:row>37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18</xdr:col>
      <xdr:colOff>180975</xdr:colOff>
      <xdr:row>56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180975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19</xdr:col>
      <xdr:colOff>180975</xdr:colOff>
      <xdr:row>41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19</xdr:col>
      <xdr:colOff>180975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52387</xdr:colOff>
      <xdr:row>64</xdr:row>
      <xdr:rowOff>123825</xdr:rowOff>
    </xdr:from>
    <xdr:to>
      <xdr:col>17</xdr:col>
      <xdr:colOff>357187</xdr:colOff>
      <xdr:row>79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83025-01DF-4D69-A656-D679E6EFA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Research%20Projects\Dunedin%20Energy%20Study\2016-2017\Data\Oil\Petrol%20Tax%20Worksheet%20%20Reconciliatio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tagouni-my.sharepoint.com/storage.hcs-p01.otago.ac.nz/Users/WaZZa/Desktop/Dunedin%20Energy%20Study/2016-2017/Data/Oil/Petrol%20Tax%20Reconciliation%20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tagouni-my.sharepoint.com/Volumes/hum-csafe/Research%20Projects/Dunedin%20Energy%20Study/2019-2020/Data/DCC/Copy%20of%20Petrol%20Tax%20Worksheet%20%20Reconcili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  <sheetName val="2018"/>
      <sheetName val="2019"/>
    </sheetNames>
    <sheetDataSet>
      <sheetData sheetId="0">
        <row r="17">
          <cell r="AS17">
            <v>18119.151600000001</v>
          </cell>
          <cell r="AU17">
            <v>6281.0483999999997</v>
          </cell>
          <cell r="AW17">
            <v>17823.940200000001</v>
          </cell>
          <cell r="AY17">
            <v>5524.8302999999996</v>
          </cell>
        </row>
        <row r="18">
          <cell r="AS18">
            <v>4591.4615999999996</v>
          </cell>
          <cell r="AU18">
            <v>4748.2281000000003</v>
          </cell>
          <cell r="AW18">
            <v>4273.8234000000002</v>
          </cell>
          <cell r="AY18">
            <v>2038.709574</v>
          </cell>
        </row>
        <row r="19">
          <cell r="AS19">
            <v>8725.9788000000008</v>
          </cell>
          <cell r="AU19">
            <v>2265.2222999999999</v>
          </cell>
          <cell r="AW19">
            <v>7955.2308000000003</v>
          </cell>
          <cell r="AY19">
            <v>2162.8101000000001</v>
          </cell>
        </row>
        <row r="20">
          <cell r="AS20">
            <v>15837.2016</v>
          </cell>
          <cell r="AU20">
            <v>10736.1672</v>
          </cell>
          <cell r="AW20">
            <v>15390.196668</v>
          </cell>
          <cell r="AY20">
            <v>9682.1138039999987</v>
          </cell>
        </row>
        <row r="21">
          <cell r="AS21">
            <v>6755.7467999999999</v>
          </cell>
          <cell r="AU21">
            <v>8783.0787</v>
          </cell>
          <cell r="AW21">
            <v>6519.0839999999998</v>
          </cell>
          <cell r="AY21">
            <v>8476.0136999999995</v>
          </cell>
        </row>
        <row r="22">
          <cell r="AS22">
            <v>529.75559999999996</v>
          </cell>
          <cell r="AU22">
            <v>2955.9618</v>
          </cell>
          <cell r="AW22">
            <v>1703.8625999999999</v>
          </cell>
          <cell r="AY22">
            <v>1703.8593000000001</v>
          </cell>
        </row>
        <row r="23">
          <cell r="AS23">
            <v>2396.9946</v>
          </cell>
          <cell r="AU23">
            <v>2599.2615000000001</v>
          </cell>
          <cell r="AW23">
            <v>2123.1606000000002</v>
          </cell>
          <cell r="AY23">
            <v>2147.442</v>
          </cell>
        </row>
        <row r="24">
          <cell r="AS24">
            <v>854.75940000000003</v>
          </cell>
          <cell r="AU24">
            <v>3201.1815000000001</v>
          </cell>
          <cell r="AW24">
            <v>777.80340000000001</v>
          </cell>
          <cell r="AY24">
            <v>3050.4803999999999</v>
          </cell>
        </row>
        <row r="25"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S26">
            <v>1193.7816</v>
          </cell>
          <cell r="AU26">
            <v>381.72089999999997</v>
          </cell>
          <cell r="AW26">
            <v>531.01620000000003</v>
          </cell>
          <cell r="AY26">
            <v>147.85980000000001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  <sheetName val="2018"/>
      <sheetName val="2019"/>
    </sheetNames>
    <sheetDataSet>
      <sheetData sheetId="0"/>
      <sheetData sheetId="1">
        <row r="17">
          <cell r="AS17">
            <v>19319.249400000001</v>
          </cell>
          <cell r="AU17">
            <v>5979.6297000000004</v>
          </cell>
          <cell r="AW17">
            <v>18460.648799999999</v>
          </cell>
          <cell r="AY17">
            <v>5472.1391999999996</v>
          </cell>
        </row>
        <row r="18">
          <cell r="AS18">
            <v>0</v>
          </cell>
          <cell r="AU18">
            <v>0</v>
          </cell>
          <cell r="AW18">
            <v>0</v>
          </cell>
          <cell r="AY18">
            <v>0</v>
          </cell>
        </row>
        <row r="19">
          <cell r="AS19">
            <v>9481.7381999999998</v>
          </cell>
          <cell r="AU19">
            <v>2334.0041999999999</v>
          </cell>
          <cell r="AW19">
            <v>9070.6967999999997</v>
          </cell>
          <cell r="AY19">
            <v>2056.8438000000001</v>
          </cell>
        </row>
        <row r="20">
          <cell r="AS20">
            <v>18906.307002000001</v>
          </cell>
          <cell r="AU20">
            <v>13520.455178999999</v>
          </cell>
          <cell r="AW20">
            <v>18274.912523999999</v>
          </cell>
          <cell r="AY20">
            <v>11734.074000000001</v>
          </cell>
        </row>
        <row r="21">
          <cell r="AS21">
            <v>6412.2035999999998</v>
          </cell>
          <cell r="AU21">
            <v>9845.0087999999996</v>
          </cell>
          <cell r="AW21">
            <v>5982.2466000000004</v>
          </cell>
          <cell r="AY21">
            <v>8938.4030999999995</v>
          </cell>
        </row>
        <row r="22">
          <cell r="AS22">
            <v>656.51256000000001</v>
          </cell>
          <cell r="AU22">
            <v>3486.3310349999997</v>
          </cell>
          <cell r="AW22">
            <v>506.85558000000003</v>
          </cell>
          <cell r="AY22">
            <v>2937.5798759999998</v>
          </cell>
        </row>
        <row r="23">
          <cell r="AS23">
            <v>2476.93842</v>
          </cell>
          <cell r="AU23">
            <v>2426.24712</v>
          </cell>
          <cell r="AW23">
            <v>2092.7682599999998</v>
          </cell>
          <cell r="AY23">
            <v>1852.8519900000001</v>
          </cell>
        </row>
        <row r="24">
          <cell r="AS24">
            <v>995.62980000000005</v>
          </cell>
          <cell r="AU24">
            <v>3351.0542999999998</v>
          </cell>
          <cell r="AW24">
            <v>1093.3163999999999</v>
          </cell>
          <cell r="AY24">
            <v>2918.5893000000001</v>
          </cell>
        </row>
        <row r="25"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S26">
            <v>2143.5414000000001</v>
          </cell>
          <cell r="AU26">
            <v>759.62040000000002</v>
          </cell>
          <cell r="AW26">
            <v>2129.6682000000001</v>
          </cell>
          <cell r="AY26">
            <v>716.60490000000004</v>
          </cell>
        </row>
        <row r="77">
          <cell r="O77">
            <v>112556.18559999998</v>
          </cell>
        </row>
      </sheetData>
      <sheetData sheetId="2">
        <row r="17">
          <cell r="AS17">
            <v>16978.4274</v>
          </cell>
          <cell r="AU17">
            <v>9120.9887999999992</v>
          </cell>
          <cell r="AW17">
            <v>15401.001</v>
          </cell>
          <cell r="AY17">
            <v>9290.0115000000005</v>
          </cell>
        </row>
        <row r="18">
          <cell r="AS18">
            <v>0</v>
          </cell>
          <cell r="AU18">
            <v>0</v>
          </cell>
          <cell r="AW18">
            <v>0</v>
          </cell>
          <cell r="AY18">
            <v>0</v>
          </cell>
        </row>
        <row r="19">
          <cell r="AS19">
            <v>10010.800799999999</v>
          </cell>
          <cell r="AU19">
            <v>2946.2334000000001</v>
          </cell>
          <cell r="AW19">
            <v>9384.4410000000007</v>
          </cell>
          <cell r="AY19">
            <v>2567.7993000000001</v>
          </cell>
        </row>
        <row r="20">
          <cell r="AS20">
            <v>19333.486656000001</v>
          </cell>
          <cell r="AU20">
            <v>13329.552192000001</v>
          </cell>
          <cell r="AW20">
            <v>17826.213768000001</v>
          </cell>
          <cell r="AY20">
            <v>11773.320900000001</v>
          </cell>
        </row>
        <row r="21">
          <cell r="AS21">
            <v>5944.9038</v>
          </cell>
          <cell r="AU21">
            <v>10644.4866</v>
          </cell>
          <cell r="AW21">
            <v>5487.4445999999998</v>
          </cell>
          <cell r="AY21">
            <v>9271.2278999999999</v>
          </cell>
        </row>
        <row r="22">
          <cell r="AS22">
            <v>637.70394599999997</v>
          </cell>
          <cell r="AU22">
            <v>3030.1393320000002</v>
          </cell>
          <cell r="AW22">
            <v>686.46718799999996</v>
          </cell>
          <cell r="AY22">
            <v>2686.3853280000003</v>
          </cell>
        </row>
        <row r="23">
          <cell r="AS23">
            <v>2602.39716</v>
          </cell>
          <cell r="AU23">
            <v>2139.16428</v>
          </cell>
          <cell r="AW23">
            <v>2101.10538</v>
          </cell>
          <cell r="AY23">
            <v>1664.86617</v>
          </cell>
        </row>
        <row r="24">
          <cell r="AS24">
            <v>922.73940000000005</v>
          </cell>
          <cell r="AU24">
            <v>3852.9645</v>
          </cell>
          <cell r="AW24">
            <v>908.01480000000004</v>
          </cell>
          <cell r="AY24">
            <v>3458.7993000000001</v>
          </cell>
        </row>
        <row r="25"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S26">
            <v>3360.7067999999999</v>
          </cell>
          <cell r="AU26">
            <v>1516.0761</v>
          </cell>
          <cell r="AW26">
            <v>3251.0346</v>
          </cell>
          <cell r="AY26">
            <v>1439.8988999999999</v>
          </cell>
        </row>
        <row r="77">
          <cell r="O77">
            <v>119862.80559999995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"/>
      <sheetName val="2017"/>
      <sheetName val="2018"/>
      <sheetName val="2019"/>
      <sheetName val="2020"/>
      <sheetName val="2021"/>
      <sheetName val="2022"/>
    </sheetNames>
    <sheetDataSet>
      <sheetData sheetId="0"/>
      <sheetData sheetId="1"/>
      <sheetData sheetId="2"/>
      <sheetData sheetId="3">
        <row r="17">
          <cell r="AS17">
            <v>16846.513200000001</v>
          </cell>
          <cell r="AU17">
            <v>11246.007299999999</v>
          </cell>
          <cell r="AW17">
            <v>14713.6968</v>
          </cell>
          <cell r="AY17">
            <v>10088.199000000001</v>
          </cell>
        </row>
        <row r="18">
          <cell r="AS18">
            <v>0</v>
          </cell>
          <cell r="AU18">
            <v>0</v>
          </cell>
          <cell r="AW18">
            <v>0</v>
          </cell>
          <cell r="AY18">
            <v>0</v>
          </cell>
        </row>
        <row r="19">
          <cell r="AS19">
            <v>6314.6423999999997</v>
          </cell>
          <cell r="AU19">
            <v>2350.2566999999999</v>
          </cell>
          <cell r="AW19">
            <v>5099.6351999999997</v>
          </cell>
          <cell r="AY19">
            <v>1853.8772999999999</v>
          </cell>
        </row>
        <row r="20">
          <cell r="AS20">
            <v>20058.47811</v>
          </cell>
          <cell r="AU20">
            <v>13962.059892000001</v>
          </cell>
          <cell r="AW20">
            <v>18725.209800000001</v>
          </cell>
          <cell r="AY20">
            <v>11611.736367000001</v>
          </cell>
        </row>
        <row r="21">
          <cell r="AS21">
            <v>6921.2154</v>
          </cell>
          <cell r="AU21">
            <v>13434.3264</v>
          </cell>
          <cell r="AW21">
            <v>5573.0663999999997</v>
          </cell>
          <cell r="AY21">
            <v>10438.474200000001</v>
          </cell>
        </row>
        <row r="22">
          <cell r="AS22">
            <v>773.95269599999995</v>
          </cell>
          <cell r="AU22">
            <v>3168.7551059999996</v>
          </cell>
          <cell r="AW22">
            <v>516.05961000000002</v>
          </cell>
          <cell r="AY22">
            <v>2676.0163320000001</v>
          </cell>
        </row>
        <row r="23">
          <cell r="AS23">
            <v>2364.7153200000002</v>
          </cell>
          <cell r="AU23">
            <v>2229.0625500000001</v>
          </cell>
          <cell r="AW23">
            <v>1752.6233999999999</v>
          </cell>
          <cell r="AY23">
            <v>1454.1829499999999</v>
          </cell>
        </row>
        <row r="24">
          <cell r="AS24">
            <v>1027.0524</v>
          </cell>
          <cell r="AU24">
            <v>3941.52</v>
          </cell>
          <cell r="AW24">
            <v>830.00279999999998</v>
          </cell>
          <cell r="AY24">
            <v>3205.8543</v>
          </cell>
        </row>
        <row r="25"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S26">
            <v>5315.9369999999999</v>
          </cell>
          <cell r="AU26">
            <v>2211.3233999999998</v>
          </cell>
          <cell r="AW26">
            <v>5308.8419999999996</v>
          </cell>
          <cell r="AY26">
            <v>1918.3163999999999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5"/>
  <sheetViews>
    <sheetView workbookViewId="0">
      <selection activeCell="A32" sqref="A32"/>
    </sheetView>
  </sheetViews>
  <sheetFormatPr defaultColWidth="8.85546875" defaultRowHeight="15" x14ac:dyDescent="0.25"/>
  <cols>
    <col min="1" max="1" width="39.140625" bestFit="1" customWidth="1"/>
    <col min="2" max="2" width="12.140625" bestFit="1" customWidth="1"/>
    <col min="3" max="3" width="12" bestFit="1" customWidth="1"/>
    <col min="4" max="4" width="10.42578125" bestFit="1" customWidth="1"/>
    <col min="5" max="5" width="11" customWidth="1"/>
    <col min="6" max="9" width="11.42578125" bestFit="1" customWidth="1"/>
    <col min="10" max="10" width="11.42578125" customWidth="1"/>
    <col min="11" max="14" width="11.42578125" bestFit="1" customWidth="1"/>
    <col min="15" max="15" width="11" bestFit="1" customWidth="1"/>
    <col min="16" max="16" width="13.28515625" bestFit="1" customWidth="1"/>
    <col min="17" max="17" width="11" bestFit="1" customWidth="1"/>
    <col min="18" max="18" width="11.42578125" bestFit="1" customWidth="1"/>
    <col min="19" max="19" width="11" bestFit="1" customWidth="1"/>
    <col min="20" max="20" width="11.140625" customWidth="1"/>
    <col min="21" max="21" width="11" bestFit="1" customWidth="1"/>
    <col min="22" max="22" width="11.42578125" bestFit="1" customWidth="1"/>
    <col min="23" max="23" width="12.42578125" bestFit="1" customWidth="1"/>
    <col min="24" max="24" width="11.42578125" bestFit="1" customWidth="1"/>
    <col min="25" max="25" width="12.42578125" bestFit="1" customWidth="1"/>
    <col min="26" max="26" width="11.42578125" bestFit="1" customWidth="1"/>
    <col min="27" max="27" width="12.42578125" bestFit="1" customWidth="1"/>
    <col min="28" max="29" width="11" bestFit="1" customWidth="1"/>
    <col min="30" max="30" width="11.42578125" bestFit="1" customWidth="1"/>
    <col min="31" max="31" width="11" bestFit="1" customWidth="1"/>
    <col min="32" max="32" width="10.42578125" bestFit="1" customWidth="1"/>
    <col min="33" max="33" width="11" bestFit="1" customWidth="1"/>
    <col min="34" max="34" width="11.42578125" bestFit="1" customWidth="1"/>
    <col min="35" max="35" width="11" bestFit="1" customWidth="1"/>
    <col min="36" max="36" width="10.42578125" bestFit="1" customWidth="1"/>
    <col min="37" max="37" width="11" bestFit="1" customWidth="1"/>
    <col min="38" max="38" width="11.42578125" bestFit="1" customWidth="1"/>
    <col min="39" max="39" width="11" bestFit="1" customWidth="1"/>
    <col min="40" max="40" width="10.42578125" bestFit="1" customWidth="1"/>
    <col min="41" max="41" width="11" bestFit="1" customWidth="1"/>
    <col min="42" max="42" width="11.42578125" bestFit="1" customWidth="1"/>
    <col min="43" max="43" width="11" bestFit="1" customWidth="1"/>
    <col min="44" max="44" width="10.42578125" bestFit="1" customWidth="1"/>
    <col min="45" max="45" width="11" bestFit="1" customWidth="1"/>
    <col min="46" max="46" width="11.42578125" bestFit="1" customWidth="1"/>
    <col min="47" max="47" width="11" bestFit="1" customWidth="1"/>
    <col min="48" max="48" width="10.42578125" bestFit="1" customWidth="1"/>
    <col min="49" max="49" width="11" bestFit="1" customWidth="1"/>
    <col min="50" max="50" width="11.42578125" bestFit="1" customWidth="1"/>
    <col min="51" max="51" width="11" bestFit="1" customWidth="1"/>
  </cols>
  <sheetData>
    <row r="1" spans="1:51" ht="18.75" x14ac:dyDescent="0.3">
      <c r="A1" s="1" t="s">
        <v>0</v>
      </c>
      <c r="B1" s="1"/>
      <c r="C1" s="125" t="s">
        <v>60</v>
      </c>
      <c r="N1" s="125" t="s">
        <v>37</v>
      </c>
      <c r="O1" s="125">
        <v>0.57999999999999996</v>
      </c>
      <c r="P1" s="125"/>
    </row>
    <row r="2" spans="1:51" ht="18.75" x14ac:dyDescent="0.3">
      <c r="A2" s="1" t="str">
        <f>"For the year ended 30 June "&amp;YEAR(C6)</f>
        <v>For the year ended 30 June 2015</v>
      </c>
      <c r="C2" s="125" t="str">
        <f>YEAR(C6)&amp;" Data calculated from $ amount received for months, split 58% petrol and 42% diesel as avergaed from 2016 year"</f>
        <v>2015 Data calculated from $ amount received for months, split 58% petrol and 42% diesel as avergaed from 2016 year</v>
      </c>
      <c r="N2" s="125" t="s">
        <v>38</v>
      </c>
      <c r="O2" s="125">
        <v>0.42</v>
      </c>
    </row>
    <row r="3" spans="1:51" ht="15.75" thickBot="1" x14ac:dyDescent="0.3"/>
    <row r="4" spans="1:51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51" x14ac:dyDescent="0.25">
      <c r="A5" s="11" t="s">
        <v>4</v>
      </c>
      <c r="B5" s="12"/>
      <c r="C5" s="13" t="s">
        <v>5</v>
      </c>
      <c r="E5" s="14" t="s">
        <v>6</v>
      </c>
      <c r="F5" s="15"/>
      <c r="G5" s="15"/>
      <c r="H5" s="16"/>
      <c r="J5" s="17" t="s">
        <v>7</v>
      </c>
      <c r="K5" s="18"/>
      <c r="L5" s="18"/>
      <c r="M5" s="18"/>
      <c r="N5" s="18"/>
      <c r="O5" s="18"/>
      <c r="P5" s="18"/>
      <c r="Q5" s="18"/>
      <c r="R5" s="19"/>
    </row>
    <row r="6" spans="1:51" x14ac:dyDescent="0.25">
      <c r="A6" s="11" t="s">
        <v>8</v>
      </c>
      <c r="B6" s="12"/>
      <c r="C6" s="20">
        <v>42185</v>
      </c>
      <c r="E6" s="21" t="s">
        <v>9</v>
      </c>
      <c r="F6" s="15"/>
      <c r="G6" s="22">
        <v>24400.2</v>
      </c>
      <c r="H6" s="16"/>
      <c r="J6" s="17" t="s">
        <v>10</v>
      </c>
      <c r="K6" s="18"/>
      <c r="L6" s="18"/>
      <c r="M6" s="18"/>
      <c r="N6" s="18"/>
      <c r="O6" s="18"/>
      <c r="P6" s="18"/>
      <c r="Q6" s="18"/>
      <c r="R6" s="19"/>
    </row>
    <row r="7" spans="1:51" x14ac:dyDescent="0.25">
      <c r="A7" s="11" t="s">
        <v>11</v>
      </c>
      <c r="B7" s="12"/>
      <c r="C7" s="23">
        <v>6.6E-3</v>
      </c>
      <c r="E7" s="21"/>
      <c r="F7" s="15"/>
      <c r="G7" s="15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51" x14ac:dyDescent="0.25">
      <c r="A8" s="11" t="s">
        <v>13</v>
      </c>
      <c r="B8" s="12"/>
      <c r="C8" s="23">
        <v>3.3E-3</v>
      </c>
      <c r="E8" s="21" t="s">
        <v>14</v>
      </c>
      <c r="F8" s="15"/>
      <c r="G8" s="108">
        <f>G6*0.5/C7</f>
        <v>1848500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51" x14ac:dyDescent="0.25">
      <c r="A9" s="11" t="s">
        <v>16</v>
      </c>
      <c r="B9" s="24">
        <v>125204654</v>
      </c>
      <c r="C9" s="25">
        <f>B9/SUM($B$9:$B$11)</f>
        <v>0.70410000016814545</v>
      </c>
      <c r="E9" s="21" t="s">
        <v>17</v>
      </c>
      <c r="F9" s="15"/>
      <c r="G9" s="108">
        <f>(G6*0.5)/C8</f>
        <v>3697000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51" x14ac:dyDescent="0.25">
      <c r="A10" s="11" t="s">
        <v>19</v>
      </c>
      <c r="B10" s="24">
        <v>29138320</v>
      </c>
      <c r="C10" s="25">
        <f>B10/SUM($B$9:$B$11)</f>
        <v>0.16386204874540428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51" x14ac:dyDescent="0.25">
      <c r="A11" s="11" t="s">
        <v>22</v>
      </c>
      <c r="B11" s="24">
        <v>23479287</v>
      </c>
      <c r="C11" s="25">
        <f>B11/SUM($B$9:$B$11)</f>
        <v>0.13203795108645031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51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33"/>
      <c r="K12" s="34"/>
      <c r="L12" s="34"/>
      <c r="M12" s="34"/>
      <c r="N12" s="34"/>
      <c r="O12" s="34"/>
      <c r="P12" s="34"/>
      <c r="Q12" s="34"/>
      <c r="R12" s="35"/>
    </row>
    <row r="13" spans="1:51" ht="15.75" thickBot="1" x14ac:dyDescent="0.3">
      <c r="A13" s="36"/>
      <c r="B13" s="36"/>
      <c r="C13" s="36"/>
    </row>
    <row r="14" spans="1:51" ht="15.75" thickBot="1" x14ac:dyDescent="0.3">
      <c r="A14" s="37" t="s">
        <v>25</v>
      </c>
      <c r="B14" s="38"/>
      <c r="C14" s="39"/>
      <c r="D14" s="222">
        <v>41821</v>
      </c>
      <c r="E14" s="220"/>
      <c r="F14" s="220"/>
      <c r="G14" s="220"/>
      <c r="H14" s="220">
        <v>41852</v>
      </c>
      <c r="I14" s="220"/>
      <c r="J14" s="220"/>
      <c r="K14" s="220"/>
      <c r="L14" s="220">
        <v>41883</v>
      </c>
      <c r="M14" s="220"/>
      <c r="N14" s="220"/>
      <c r="O14" s="220"/>
      <c r="P14" s="220">
        <v>41913</v>
      </c>
      <c r="Q14" s="220"/>
      <c r="R14" s="220"/>
      <c r="S14" s="220"/>
      <c r="T14" s="220">
        <v>41944</v>
      </c>
      <c r="U14" s="220"/>
      <c r="V14" s="220"/>
      <c r="W14" s="220"/>
      <c r="X14" s="220">
        <v>41974</v>
      </c>
      <c r="Y14" s="220"/>
      <c r="Z14" s="220"/>
      <c r="AA14" s="220"/>
      <c r="AB14" s="220">
        <v>42005</v>
      </c>
      <c r="AC14" s="220"/>
      <c r="AD14" s="220"/>
      <c r="AE14" s="220"/>
      <c r="AF14" s="220">
        <v>42036</v>
      </c>
      <c r="AG14" s="220"/>
      <c r="AH14" s="220"/>
      <c r="AI14" s="220"/>
      <c r="AJ14" s="220">
        <v>42064</v>
      </c>
      <c r="AK14" s="220"/>
      <c r="AL14" s="220"/>
      <c r="AM14" s="220"/>
      <c r="AN14" s="220">
        <v>42095</v>
      </c>
      <c r="AO14" s="220"/>
      <c r="AP14" s="220"/>
      <c r="AQ14" s="220"/>
      <c r="AR14" s="220">
        <v>42125</v>
      </c>
      <c r="AS14" s="220"/>
      <c r="AT14" s="220"/>
      <c r="AU14" s="220"/>
      <c r="AV14" s="220">
        <v>42156</v>
      </c>
      <c r="AW14" s="220"/>
      <c r="AX14" s="220"/>
      <c r="AY14" s="221"/>
    </row>
    <row r="15" spans="1:51" s="128" customFormat="1" x14ac:dyDescent="0.25">
      <c r="A15" s="126"/>
      <c r="B15" s="127"/>
      <c r="C15" s="127"/>
      <c r="D15" s="212" t="s">
        <v>37</v>
      </c>
      <c r="E15" s="213"/>
      <c r="F15" s="212" t="s">
        <v>38</v>
      </c>
      <c r="G15" s="213"/>
      <c r="H15" s="212" t="s">
        <v>37</v>
      </c>
      <c r="I15" s="213"/>
      <c r="J15" s="212" t="s">
        <v>38</v>
      </c>
      <c r="K15" s="213"/>
      <c r="L15" s="212" t="s">
        <v>37</v>
      </c>
      <c r="M15" s="213"/>
      <c r="N15" s="212" t="s">
        <v>38</v>
      </c>
      <c r="O15" s="213"/>
      <c r="P15" s="212" t="s">
        <v>37</v>
      </c>
      <c r="Q15" s="213"/>
      <c r="R15" s="212" t="s">
        <v>38</v>
      </c>
      <c r="S15" s="213"/>
      <c r="T15" s="212" t="s">
        <v>37</v>
      </c>
      <c r="U15" s="213"/>
      <c r="V15" s="212" t="s">
        <v>38</v>
      </c>
      <c r="W15" s="213"/>
      <c r="X15" s="212" t="s">
        <v>37</v>
      </c>
      <c r="Y15" s="213"/>
      <c r="Z15" s="212" t="s">
        <v>38</v>
      </c>
      <c r="AA15" s="213"/>
      <c r="AB15" s="212" t="s">
        <v>37</v>
      </c>
      <c r="AC15" s="213"/>
      <c r="AD15" s="212" t="s">
        <v>38</v>
      </c>
      <c r="AE15" s="213"/>
      <c r="AF15" s="212" t="s">
        <v>37</v>
      </c>
      <c r="AG15" s="213"/>
      <c r="AH15" s="212" t="s">
        <v>38</v>
      </c>
      <c r="AI15" s="213"/>
      <c r="AJ15" s="212" t="s">
        <v>37</v>
      </c>
      <c r="AK15" s="213"/>
      <c r="AL15" s="212" t="s">
        <v>38</v>
      </c>
      <c r="AM15" s="213"/>
      <c r="AN15" s="212" t="s">
        <v>37</v>
      </c>
      <c r="AO15" s="213"/>
      <c r="AP15" s="214" t="s">
        <v>38</v>
      </c>
      <c r="AQ15" s="213"/>
      <c r="AR15" s="214" t="s">
        <v>37</v>
      </c>
      <c r="AS15" s="213"/>
      <c r="AT15" s="214" t="s">
        <v>38</v>
      </c>
      <c r="AU15" s="214"/>
      <c r="AV15" s="215" t="s">
        <v>37</v>
      </c>
      <c r="AW15" s="213"/>
      <c r="AX15" s="214" t="s">
        <v>38</v>
      </c>
      <c r="AY15" s="216"/>
    </row>
    <row r="16" spans="1:51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</row>
    <row r="17" spans="1:52" x14ac:dyDescent="0.25">
      <c r="A17" s="48" t="s">
        <v>41</v>
      </c>
      <c r="B17" s="49"/>
      <c r="C17" s="49"/>
      <c r="D17" s="50">
        <v>0</v>
      </c>
      <c r="E17" s="51">
        <v>0</v>
      </c>
      <c r="F17" s="50">
        <v>0</v>
      </c>
      <c r="G17" s="51">
        <v>0</v>
      </c>
      <c r="H17" s="50">
        <v>0</v>
      </c>
      <c r="I17" s="51">
        <v>0</v>
      </c>
      <c r="J17" s="50">
        <v>0</v>
      </c>
      <c r="K17" s="51">
        <v>0</v>
      </c>
      <c r="L17" s="50">
        <v>0</v>
      </c>
      <c r="M17" s="51">
        <v>0</v>
      </c>
      <c r="N17" s="50">
        <v>0</v>
      </c>
      <c r="O17" s="51">
        <v>0</v>
      </c>
      <c r="P17" s="50">
        <v>0</v>
      </c>
      <c r="Q17" s="51">
        <v>0</v>
      </c>
      <c r="R17" s="50">
        <v>0</v>
      </c>
      <c r="S17" s="51">
        <v>0</v>
      </c>
      <c r="T17" s="50">
        <v>0</v>
      </c>
      <c r="U17" s="51">
        <v>0</v>
      </c>
      <c r="V17" s="50">
        <v>0</v>
      </c>
      <c r="W17" s="51">
        <v>0</v>
      </c>
      <c r="X17" s="50">
        <v>0</v>
      </c>
      <c r="Y17" s="51">
        <v>0</v>
      </c>
      <c r="Z17" s="50">
        <v>0</v>
      </c>
      <c r="AA17" s="51">
        <v>0</v>
      </c>
      <c r="AB17" s="50">
        <f>IF(AB$15=$N$1,AC17/$C$7,AC17/$C$8)</f>
        <v>1983559.5757575757</v>
      </c>
      <c r="AC17" s="51">
        <v>13091.493199999999</v>
      </c>
      <c r="AD17" s="50">
        <f>IF(AD$15=$N$1,AE17/$C$7,AE17/$C$8)</f>
        <v>2872741.4545454546</v>
      </c>
      <c r="AE17" s="51">
        <v>9480.0468000000001</v>
      </c>
      <c r="AF17" s="50">
        <f>IF(AF$15=$N$1,AG17/$C$7,AG17/$C$8)</f>
        <v>2056174.6969696968</v>
      </c>
      <c r="AG17" s="51">
        <v>13570.752999999999</v>
      </c>
      <c r="AH17" s="50">
        <f>IF(AH$15=$N$1,AI17/$C$7,AI17/$C$8)</f>
        <v>2977908.1818181816</v>
      </c>
      <c r="AI17" s="51">
        <v>9827.0969999999998</v>
      </c>
      <c r="AJ17" s="50">
        <f>IF(AJ$15=$N$1,AK17/$C$7,AK17/$C$8)</f>
        <v>2154845</v>
      </c>
      <c r="AK17" s="51">
        <v>14221.977000000001</v>
      </c>
      <c r="AL17" s="50">
        <f>IF(AL$15=$N$1,AM17/$C$7,AM17/$C$8)</f>
        <v>3120810</v>
      </c>
      <c r="AM17" s="51">
        <v>10298.673000000001</v>
      </c>
      <c r="AN17" s="50">
        <f>IF(AN$15=$N$1,AO17/$C$7,AO17/$C$8)</f>
        <v>2109684.0909090908</v>
      </c>
      <c r="AO17" s="51">
        <v>13923.914999999999</v>
      </c>
      <c r="AP17" s="50">
        <f>IF(AP$15=$N$1,AQ17/$C$7,AQ17/$C$8)</f>
        <v>3055404.5454545454</v>
      </c>
      <c r="AQ17" s="51">
        <v>10082.834999999999</v>
      </c>
      <c r="AR17" s="50">
        <f>IF(AR$15=$N$1,AS17/$C$7,AS17/$C$8)</f>
        <v>2068019</v>
      </c>
      <c r="AS17" s="51">
        <v>13648.9254</v>
      </c>
      <c r="AT17" s="50">
        <f>IF(AT$15=$N$1,AU17/$C$7,AU17/$C$8)</f>
        <v>2995062.0000000005</v>
      </c>
      <c r="AU17" s="53">
        <v>9883.7046000000009</v>
      </c>
      <c r="AV17" s="50">
        <f>IF(AV$15=$N$1,AW17/$C$7,AW17/$C$8)</f>
        <v>1934879.1212121211</v>
      </c>
      <c r="AW17" s="51">
        <v>12770.2022</v>
      </c>
      <c r="AX17" s="50">
        <f>IF(AX$15=$N$1,AY17/$C$7,AY17/$C$8)</f>
        <v>2802238.7272727275</v>
      </c>
      <c r="AY17" s="55">
        <v>9247.3878000000004</v>
      </c>
      <c r="AZ17" s="53"/>
    </row>
    <row r="18" spans="1:52" x14ac:dyDescent="0.25">
      <c r="A18" s="48" t="s">
        <v>42</v>
      </c>
      <c r="B18" s="49"/>
      <c r="C18" s="49"/>
      <c r="D18" s="50">
        <v>0</v>
      </c>
      <c r="E18" s="51">
        <v>0</v>
      </c>
      <c r="F18" s="50">
        <v>0</v>
      </c>
      <c r="G18" s="51">
        <v>0</v>
      </c>
      <c r="H18" s="50">
        <v>0</v>
      </c>
      <c r="I18" s="51">
        <v>0</v>
      </c>
      <c r="J18" s="50">
        <v>0</v>
      </c>
      <c r="K18" s="51">
        <v>0</v>
      </c>
      <c r="L18" s="50">
        <v>0</v>
      </c>
      <c r="M18" s="51">
        <v>0</v>
      </c>
      <c r="N18" s="50">
        <v>0</v>
      </c>
      <c r="O18" s="51">
        <v>0</v>
      </c>
      <c r="P18" s="50">
        <v>0</v>
      </c>
      <c r="Q18" s="51">
        <v>0</v>
      </c>
      <c r="R18" s="50">
        <v>0</v>
      </c>
      <c r="S18" s="51">
        <v>0</v>
      </c>
      <c r="T18" s="50">
        <v>0</v>
      </c>
      <c r="U18" s="51">
        <v>0</v>
      </c>
      <c r="V18" s="50">
        <v>0</v>
      </c>
      <c r="W18" s="51">
        <v>0</v>
      </c>
      <c r="X18" s="50">
        <v>0</v>
      </c>
      <c r="Y18" s="51">
        <v>0</v>
      </c>
      <c r="Z18" s="50">
        <v>0</v>
      </c>
      <c r="AA18" s="51">
        <v>0</v>
      </c>
      <c r="AB18" s="50">
        <f t="shared" ref="AB18:AD26" si="0">IF(AB$15=$N$1,AC18/$C$7,AC18/$C$8)</f>
        <v>585518.78787878784</v>
      </c>
      <c r="AC18" s="51">
        <v>3864.424</v>
      </c>
      <c r="AD18" s="50">
        <f t="shared" si="0"/>
        <v>847992.72727272718</v>
      </c>
      <c r="AE18" s="51">
        <v>2798.3759999999997</v>
      </c>
      <c r="AF18" s="50">
        <f t="shared" ref="AF18" si="1">IF(AF$15=$N$1,AG18/$C$7,AG18/$C$8)</f>
        <v>581737.36363636365</v>
      </c>
      <c r="AG18" s="51">
        <v>3839.4666000000002</v>
      </c>
      <c r="AH18" s="50">
        <f t="shared" ref="AH18" si="2">IF(AH$15=$N$1,AI18/$C$7,AI18/$C$8)</f>
        <v>842516.18181818188</v>
      </c>
      <c r="AI18" s="51">
        <v>2780.3034000000002</v>
      </c>
      <c r="AJ18" s="50">
        <f t="shared" ref="AJ18" si="3">IF(AJ$15=$N$1,AK18/$C$7,AK18/$C$8)</f>
        <v>658191.90909090906</v>
      </c>
      <c r="AK18" s="51">
        <v>4344.0666000000001</v>
      </c>
      <c r="AL18" s="50">
        <f t="shared" ref="AL18" si="4">IF(AL$15=$N$1,AM18/$C$7,AM18/$C$8)</f>
        <v>953243.45454545447</v>
      </c>
      <c r="AM18" s="51">
        <v>3145.7033999999999</v>
      </c>
      <c r="AN18" s="50">
        <f t="shared" ref="AN18" si="5">IF(AN$15=$N$1,AO18/$C$7,AO18/$C$8)</f>
        <v>692068.30303030298</v>
      </c>
      <c r="AO18" s="51">
        <v>4567.6507999999994</v>
      </c>
      <c r="AP18" s="50">
        <f t="shared" ref="AP18" si="6">IF(AP$15=$N$1,AQ18/$C$7,AQ18/$C$8)</f>
        <v>1002305.8181818181</v>
      </c>
      <c r="AQ18" s="51">
        <v>3307.6091999999999</v>
      </c>
      <c r="AR18" s="50">
        <f t="shared" ref="AR18" si="7">IF(AR$15=$N$1,AS18/$C$7,AS18/$C$8)</f>
        <v>592893.5757575758</v>
      </c>
      <c r="AS18" s="51">
        <v>3913.0976000000001</v>
      </c>
      <c r="AT18" s="50">
        <f t="shared" ref="AT18" si="8">IF(AT$15=$N$1,AU18/$C$7,AU18/$C$8)</f>
        <v>858673.45454545459</v>
      </c>
      <c r="AU18" s="53">
        <v>2833.6224000000002</v>
      </c>
      <c r="AV18" s="50">
        <f t="shared" ref="AV18" si="9">IF(AV$15=$N$1,AW18/$C$7,AW18/$C$8)</f>
        <v>583141.66666666663</v>
      </c>
      <c r="AW18" s="51">
        <v>3848.7349999999997</v>
      </c>
      <c r="AX18" s="50">
        <f t="shared" ref="AX18" si="10">IF(AX$15=$N$1,AY18/$C$7,AY18/$C$8)</f>
        <v>844550</v>
      </c>
      <c r="AY18" s="55">
        <v>2787.0149999999999</v>
      </c>
      <c r="AZ18" s="53"/>
    </row>
    <row r="19" spans="1:52" x14ac:dyDescent="0.25">
      <c r="A19" s="48" t="s">
        <v>43</v>
      </c>
      <c r="B19" s="49"/>
      <c r="C19" s="49"/>
      <c r="D19" s="50">
        <v>0</v>
      </c>
      <c r="E19" s="51">
        <v>0</v>
      </c>
      <c r="F19" s="50">
        <v>0</v>
      </c>
      <c r="G19" s="51">
        <v>0</v>
      </c>
      <c r="H19" s="50">
        <v>0</v>
      </c>
      <c r="I19" s="51">
        <v>0</v>
      </c>
      <c r="J19" s="50">
        <v>0</v>
      </c>
      <c r="K19" s="51">
        <v>0</v>
      </c>
      <c r="L19" s="50">
        <v>0</v>
      </c>
      <c r="M19" s="51">
        <v>0</v>
      </c>
      <c r="N19" s="50">
        <v>0</v>
      </c>
      <c r="O19" s="51">
        <v>0</v>
      </c>
      <c r="P19" s="50">
        <v>0</v>
      </c>
      <c r="Q19" s="51">
        <v>0</v>
      </c>
      <c r="R19" s="50">
        <v>0</v>
      </c>
      <c r="S19" s="51">
        <v>0</v>
      </c>
      <c r="T19" s="50">
        <v>0</v>
      </c>
      <c r="U19" s="51">
        <v>0</v>
      </c>
      <c r="V19" s="50">
        <v>0</v>
      </c>
      <c r="W19" s="51">
        <v>0</v>
      </c>
      <c r="X19" s="50">
        <v>0</v>
      </c>
      <c r="Y19" s="51">
        <v>0</v>
      </c>
      <c r="Z19" s="50">
        <v>0</v>
      </c>
      <c r="AA19" s="51">
        <v>0</v>
      </c>
      <c r="AB19" s="50">
        <f t="shared" si="0"/>
        <v>1086666.9090909089</v>
      </c>
      <c r="AC19" s="51">
        <v>7172.0015999999996</v>
      </c>
      <c r="AD19" s="50">
        <f t="shared" si="0"/>
        <v>1573793.4545454546</v>
      </c>
      <c r="AE19" s="51">
        <v>5193.5183999999999</v>
      </c>
      <c r="AF19" s="50">
        <f t="shared" ref="AF19" si="11">IF(AF$15=$N$1,AG19/$C$7,AG19/$C$8)</f>
        <v>1090055.5151515151</v>
      </c>
      <c r="AG19" s="51">
        <v>7194.3663999999999</v>
      </c>
      <c r="AH19" s="50">
        <f t="shared" ref="AH19" si="12">IF(AH$15=$N$1,AI19/$C$7,AI19/$C$8)</f>
        <v>1578701.0909090908</v>
      </c>
      <c r="AI19" s="51">
        <v>5209.7136</v>
      </c>
      <c r="AJ19" s="50">
        <f t="shared" ref="AJ19" si="13">IF(AJ$15=$N$1,AK19/$C$7,AK19/$C$8)</f>
        <v>1534904.9696969695</v>
      </c>
      <c r="AK19" s="51">
        <v>10130.372799999999</v>
      </c>
      <c r="AL19" s="50">
        <f t="shared" ref="AL19" si="14">IF(AL$15=$N$1,AM19/$C$7,AM19/$C$8)</f>
        <v>2222965.8181818184</v>
      </c>
      <c r="AM19" s="51">
        <v>7335.7871999999998</v>
      </c>
      <c r="AN19" s="50">
        <f t="shared" ref="AN19" si="15">IF(AN$15=$N$1,AO19/$C$7,AO19/$C$8)</f>
        <v>1170633.3333333333</v>
      </c>
      <c r="AO19" s="51">
        <v>7726.1799999999994</v>
      </c>
      <c r="AP19" s="50">
        <f t="shared" ref="AP19" si="16">IF(AP$15=$N$1,AQ19/$C$7,AQ19/$C$8)</f>
        <v>1695400</v>
      </c>
      <c r="AQ19" s="51">
        <v>5594.82</v>
      </c>
      <c r="AR19" s="50">
        <f t="shared" ref="AR19" si="17">IF(AR$15=$N$1,AS19/$C$7,AS19/$C$8)</f>
        <v>1006711.2727272727</v>
      </c>
      <c r="AS19" s="51">
        <v>6644.2943999999998</v>
      </c>
      <c r="AT19" s="50">
        <f t="shared" ref="AT19" si="18">IF(AT$15=$N$1,AU19/$C$7,AU19/$C$8)</f>
        <v>1457995.6363636362</v>
      </c>
      <c r="AU19" s="53">
        <v>4811.3855999999996</v>
      </c>
      <c r="AV19" s="50">
        <f t="shared" ref="AV19" si="19">IF(AV$15=$N$1,AW19/$C$7,AW19/$C$8)</f>
        <v>988588.90909090906</v>
      </c>
      <c r="AW19" s="51">
        <v>6524.6867999999995</v>
      </c>
      <c r="AX19" s="50">
        <f t="shared" ref="AX19" si="20">IF(AX$15=$N$1,AY19/$C$7,AY19/$C$8)</f>
        <v>1431749.4545454544</v>
      </c>
      <c r="AY19" s="55">
        <v>4724.7731999999996</v>
      </c>
      <c r="AZ19" s="53"/>
    </row>
    <row r="20" spans="1:52" x14ac:dyDescent="0.25">
      <c r="A20" s="48" t="s">
        <v>44</v>
      </c>
      <c r="B20" s="49"/>
      <c r="C20" s="49"/>
      <c r="D20" s="50">
        <v>0</v>
      </c>
      <c r="E20" s="51">
        <v>0</v>
      </c>
      <c r="F20" s="50">
        <v>0</v>
      </c>
      <c r="G20" s="51">
        <v>0</v>
      </c>
      <c r="H20" s="50">
        <v>0</v>
      </c>
      <c r="I20" s="51">
        <v>0</v>
      </c>
      <c r="J20" s="50">
        <v>0</v>
      </c>
      <c r="K20" s="51">
        <v>0</v>
      </c>
      <c r="L20" s="50">
        <v>0</v>
      </c>
      <c r="M20" s="51">
        <v>0</v>
      </c>
      <c r="N20" s="50">
        <v>0</v>
      </c>
      <c r="O20" s="51">
        <v>0</v>
      </c>
      <c r="P20" s="50">
        <v>0</v>
      </c>
      <c r="Q20" s="51">
        <v>0</v>
      </c>
      <c r="R20" s="50">
        <v>0</v>
      </c>
      <c r="S20" s="51">
        <v>0</v>
      </c>
      <c r="T20" s="50">
        <v>0</v>
      </c>
      <c r="U20" s="51">
        <v>0</v>
      </c>
      <c r="V20" s="50">
        <v>0</v>
      </c>
      <c r="W20" s="51">
        <v>0</v>
      </c>
      <c r="X20" s="50">
        <v>0</v>
      </c>
      <c r="Y20" s="51">
        <v>0</v>
      </c>
      <c r="Z20" s="50">
        <v>0</v>
      </c>
      <c r="AA20" s="51">
        <v>0</v>
      </c>
      <c r="AB20" s="50">
        <f t="shared" si="0"/>
        <v>2338179.4848484844</v>
      </c>
      <c r="AC20" s="51">
        <v>15431.984599999998</v>
      </c>
      <c r="AD20" s="50">
        <f t="shared" si="0"/>
        <v>3386328.9090909087</v>
      </c>
      <c r="AE20" s="51">
        <v>11174.885399999999</v>
      </c>
      <c r="AF20" s="50">
        <f t="shared" ref="AF20" si="21">IF(AF$15=$N$1,AG20/$C$7,AG20/$C$8)</f>
        <v>2254306.2121212124</v>
      </c>
      <c r="AG20" s="51">
        <v>14878.421</v>
      </c>
      <c r="AH20" s="50">
        <f t="shared" ref="AH20" si="22">IF(AH$15=$N$1,AI20/$C$7,AI20/$C$8)</f>
        <v>3264857.2727272729</v>
      </c>
      <c r="AI20" s="51">
        <v>10774.029</v>
      </c>
      <c r="AJ20" s="50">
        <f t="shared" ref="AJ20" si="23">IF(AJ$15=$N$1,AK20/$C$7,AK20/$C$8)</f>
        <v>2367673.3636363638</v>
      </c>
      <c r="AK20" s="51">
        <v>15626.644200000001</v>
      </c>
      <c r="AL20" s="50">
        <f t="shared" ref="AL20" si="24">IF(AL$15=$N$1,AM20/$C$7,AM20/$C$8)</f>
        <v>3429044.1818181821</v>
      </c>
      <c r="AM20" s="51">
        <v>11315.845800000001</v>
      </c>
      <c r="AN20" s="50">
        <f t="shared" ref="AN20" si="25">IF(AN$15=$N$1,AO20/$C$7,AO20/$C$8)</f>
        <v>2204622.1818181816</v>
      </c>
      <c r="AO20" s="51">
        <v>14550.5064</v>
      </c>
      <c r="AP20" s="50">
        <f t="shared" ref="AP20" si="26">IF(AP$15=$N$1,AQ20/$C$7,AQ20/$C$8)</f>
        <v>3192901.0909090908</v>
      </c>
      <c r="AQ20" s="51">
        <v>10536.5736</v>
      </c>
      <c r="AR20" s="50">
        <f t="shared" ref="AR20" si="27">IF(AR$15=$N$1,AS20/$C$7,AS20/$C$8)</f>
        <v>2203565</v>
      </c>
      <c r="AS20" s="51">
        <v>14543.528999999999</v>
      </c>
      <c r="AT20" s="50">
        <f t="shared" ref="AT20" si="28">IF(AT$15=$N$1,AU20/$C$7,AU20/$C$8)</f>
        <v>3191369.9999999995</v>
      </c>
      <c r="AU20" s="53">
        <v>10531.520999999999</v>
      </c>
      <c r="AV20" s="50">
        <f t="shared" ref="AV20" si="29">IF(AV$15=$N$1,AW20/$C$7,AW20/$C$8)</f>
        <v>2041958.5454545454</v>
      </c>
      <c r="AW20" s="51">
        <v>13476.9264</v>
      </c>
      <c r="AX20" s="50">
        <f t="shared" ref="AX20" si="30">IF(AX$15=$N$1,AY20/$C$7,AY20/$C$8)</f>
        <v>2957319.2727272725</v>
      </c>
      <c r="AY20" s="55">
        <v>9759.1535999999996</v>
      </c>
      <c r="AZ20" s="53"/>
    </row>
    <row r="21" spans="1:52" x14ac:dyDescent="0.25">
      <c r="A21" s="48" t="s">
        <v>45</v>
      </c>
      <c r="B21" s="49"/>
      <c r="C21" s="49"/>
      <c r="D21" s="50">
        <v>0</v>
      </c>
      <c r="E21" s="51">
        <v>0</v>
      </c>
      <c r="F21" s="50">
        <v>0</v>
      </c>
      <c r="G21" s="51">
        <v>0</v>
      </c>
      <c r="H21" s="50">
        <v>0</v>
      </c>
      <c r="I21" s="51">
        <v>0</v>
      </c>
      <c r="J21" s="50">
        <v>0</v>
      </c>
      <c r="K21" s="51">
        <v>0</v>
      </c>
      <c r="L21" s="50">
        <v>0</v>
      </c>
      <c r="M21" s="51">
        <v>0</v>
      </c>
      <c r="N21" s="50">
        <v>0</v>
      </c>
      <c r="O21" s="51">
        <v>0</v>
      </c>
      <c r="P21" s="50">
        <v>0</v>
      </c>
      <c r="Q21" s="51">
        <v>0</v>
      </c>
      <c r="R21" s="50">
        <v>0</v>
      </c>
      <c r="S21" s="51">
        <v>0</v>
      </c>
      <c r="T21" s="50">
        <v>0</v>
      </c>
      <c r="U21" s="51">
        <v>0</v>
      </c>
      <c r="V21" s="50">
        <v>0</v>
      </c>
      <c r="W21" s="51">
        <v>0</v>
      </c>
      <c r="X21" s="50">
        <v>0</v>
      </c>
      <c r="Y21" s="51">
        <v>0</v>
      </c>
      <c r="Z21" s="50">
        <v>0</v>
      </c>
      <c r="AA21" s="51">
        <v>0</v>
      </c>
      <c r="AB21" s="50">
        <f t="shared" si="0"/>
        <v>1265056.4545454544</v>
      </c>
      <c r="AC21" s="51">
        <v>8349.3725999999988</v>
      </c>
      <c r="AD21" s="50">
        <f t="shared" si="0"/>
        <v>1832150.7272727271</v>
      </c>
      <c r="AE21" s="51">
        <v>6046.0973999999997</v>
      </c>
      <c r="AF21" s="50">
        <f t="shared" ref="AF21" si="31">IF(AF$15=$N$1,AG21/$C$7,AG21/$C$8)</f>
        <v>1220303.303030303</v>
      </c>
      <c r="AG21" s="51">
        <v>8054.0017999999991</v>
      </c>
      <c r="AH21" s="50">
        <f t="shared" ref="AH21" si="32">IF(AH$15=$N$1,AI21/$C$7,AI21/$C$8)</f>
        <v>1767335.8181818179</v>
      </c>
      <c r="AI21" s="51">
        <v>5832.2081999999991</v>
      </c>
      <c r="AJ21" s="50">
        <f t="shared" ref="AJ21" si="33">IF(AJ$15=$N$1,AK21/$C$7,AK21/$C$8)</f>
        <v>1282227.0909090908</v>
      </c>
      <c r="AK21" s="51">
        <v>8462.6988000000001</v>
      </c>
      <c r="AL21" s="50">
        <f t="shared" ref="AL21" si="34">IF(AL$15=$N$1,AM21/$C$7,AM21/$C$8)</f>
        <v>1857018.5454545456</v>
      </c>
      <c r="AM21" s="51">
        <v>6128.1612000000005</v>
      </c>
      <c r="AN21" s="50">
        <f t="shared" ref="AN21" si="35">IF(AN$15=$N$1,AO21/$C$7,AO21/$C$8)</f>
        <v>1139854.6666666667</v>
      </c>
      <c r="AO21" s="51">
        <v>7523.0407999999998</v>
      </c>
      <c r="AP21" s="50">
        <f t="shared" ref="AP21" si="36">IF(AP$15=$N$1,AQ21/$C$7,AQ21/$C$8)</f>
        <v>1650823.9999999998</v>
      </c>
      <c r="AQ21" s="51">
        <v>5447.7191999999995</v>
      </c>
      <c r="AR21" s="50">
        <f t="shared" ref="AR21" si="37">IF(AR$15=$N$1,AS21/$C$7,AS21/$C$8)</f>
        <v>1084218.606060606</v>
      </c>
      <c r="AS21" s="51">
        <v>7155.8427999999994</v>
      </c>
      <c r="AT21" s="50">
        <f t="shared" ref="AT21" si="38">IF(AT$15=$N$1,AU21/$C$7,AU21/$C$8)</f>
        <v>1570247.6363636362</v>
      </c>
      <c r="AU21" s="53">
        <v>5181.8171999999995</v>
      </c>
      <c r="AV21" s="50">
        <f t="shared" ref="AV21" si="39">IF(AV$15=$N$1,AW21/$C$7,AW21/$C$8)</f>
        <v>1081907.3939393938</v>
      </c>
      <c r="AW21" s="51">
        <v>7140.5887999999995</v>
      </c>
      <c r="AX21" s="50">
        <f t="shared" ref="AX21" si="40">IF(AX$15=$N$1,AY21/$C$7,AY21/$C$8)</f>
        <v>1566900.3636363638</v>
      </c>
      <c r="AY21" s="55">
        <v>5170.7712000000001</v>
      </c>
      <c r="AZ21" s="53"/>
    </row>
    <row r="22" spans="1:52" x14ac:dyDescent="0.25">
      <c r="A22" s="48" t="s">
        <v>46</v>
      </c>
      <c r="B22" s="49"/>
      <c r="C22" s="49"/>
      <c r="D22" s="50">
        <v>0</v>
      </c>
      <c r="E22" s="51">
        <v>0</v>
      </c>
      <c r="F22" s="50">
        <v>0</v>
      </c>
      <c r="G22" s="51">
        <v>0</v>
      </c>
      <c r="H22" s="50">
        <v>0</v>
      </c>
      <c r="I22" s="51">
        <v>0</v>
      </c>
      <c r="J22" s="50">
        <v>0</v>
      </c>
      <c r="K22" s="51">
        <v>0</v>
      </c>
      <c r="L22" s="50">
        <v>0</v>
      </c>
      <c r="M22" s="51">
        <v>0</v>
      </c>
      <c r="N22" s="50">
        <v>0</v>
      </c>
      <c r="O22" s="51">
        <v>0</v>
      </c>
      <c r="P22" s="50">
        <v>0</v>
      </c>
      <c r="Q22" s="51">
        <v>0</v>
      </c>
      <c r="R22" s="50">
        <v>0</v>
      </c>
      <c r="S22" s="51">
        <v>0</v>
      </c>
      <c r="T22" s="50">
        <v>0</v>
      </c>
      <c r="U22" s="51">
        <v>0</v>
      </c>
      <c r="V22" s="50">
        <v>0</v>
      </c>
      <c r="W22" s="51">
        <v>0</v>
      </c>
      <c r="X22" s="50">
        <v>0</v>
      </c>
      <c r="Y22" s="51">
        <v>0</v>
      </c>
      <c r="Z22" s="50">
        <v>0</v>
      </c>
      <c r="AA22" s="51">
        <v>0</v>
      </c>
      <c r="AB22" s="50">
        <f t="shared" si="0"/>
        <v>258577.18181818179</v>
      </c>
      <c r="AC22" s="51">
        <v>1706.6093999999998</v>
      </c>
      <c r="AD22" s="50">
        <f t="shared" si="0"/>
        <v>374491.09090909082</v>
      </c>
      <c r="AE22" s="51">
        <v>1235.8205999999998</v>
      </c>
      <c r="AF22" s="50">
        <f t="shared" ref="AF22" si="41">IF(AF$15=$N$1,AG22/$C$7,AG22/$C$8)</f>
        <v>315948.84848484851</v>
      </c>
      <c r="AG22" s="51">
        <v>2085.2624000000001</v>
      </c>
      <c r="AH22" s="50">
        <f t="shared" ref="AH22" si="42">IF(AH$15=$N$1,AI22/$C$7,AI22/$C$8)</f>
        <v>457581.09090909094</v>
      </c>
      <c r="AI22" s="51">
        <v>1510.0176000000001</v>
      </c>
      <c r="AJ22" s="50">
        <f t="shared" ref="AJ22" si="43">IF(AJ$15=$N$1,AK22/$C$7,AK22/$C$8)</f>
        <v>352969.54545454547</v>
      </c>
      <c r="AK22" s="51">
        <v>2329.5990000000002</v>
      </c>
      <c r="AL22" s="50">
        <f t="shared" ref="AL22" si="44">IF(AL$15=$N$1,AM22/$C$7,AM22/$C$8)</f>
        <v>511197.27272727276</v>
      </c>
      <c r="AM22" s="51">
        <v>1686.951</v>
      </c>
      <c r="AN22" s="50">
        <f t="shared" ref="AN22" si="45">IF(AN$15=$N$1,AO22/$C$7,AO22/$C$8)</f>
        <v>297349.30303030304</v>
      </c>
      <c r="AO22" s="51">
        <v>1962.5054</v>
      </c>
      <c r="AP22" s="50">
        <f t="shared" ref="AP22" si="46">IF(AP$15=$N$1,AQ22/$C$7,AQ22/$C$8)</f>
        <v>430643.81818181823</v>
      </c>
      <c r="AQ22" s="51">
        <v>1421.1246000000001</v>
      </c>
      <c r="AR22" s="50">
        <f t="shared" ref="AR22" si="47">IF(AR$15=$N$1,AS22/$C$7,AS22/$C$8)</f>
        <v>311026.75757575751</v>
      </c>
      <c r="AS22" s="51">
        <v>2052.7765999999997</v>
      </c>
      <c r="AT22" s="50">
        <f t="shared" ref="AT22" si="48">IF(AT$15=$N$1,AU22/$C$7,AU22/$C$8)</f>
        <v>450452.54545454541</v>
      </c>
      <c r="AU22" s="53">
        <v>1486.4933999999998</v>
      </c>
      <c r="AV22" s="50">
        <f t="shared" ref="AV22" si="49">IF(AV$15=$N$1,AW22/$C$7,AW22/$C$8)</f>
        <v>315920.72727272724</v>
      </c>
      <c r="AW22" s="51">
        <v>2085.0767999999998</v>
      </c>
      <c r="AX22" s="50">
        <f t="shared" ref="AX22" si="50">IF(AX$15=$N$1,AY22/$C$7,AY22/$C$8)</f>
        <v>457540.36363636365</v>
      </c>
      <c r="AY22" s="55">
        <v>1509.8832</v>
      </c>
      <c r="AZ22" s="53"/>
    </row>
    <row r="23" spans="1:52" x14ac:dyDescent="0.25">
      <c r="A23" s="48" t="s">
        <v>47</v>
      </c>
      <c r="B23" s="49"/>
      <c r="C23" s="49"/>
      <c r="D23" s="50">
        <v>0</v>
      </c>
      <c r="E23" s="51">
        <v>0</v>
      </c>
      <c r="F23" s="50">
        <v>0</v>
      </c>
      <c r="G23" s="51">
        <v>0</v>
      </c>
      <c r="H23" s="50">
        <v>0</v>
      </c>
      <c r="I23" s="51">
        <v>0</v>
      </c>
      <c r="J23" s="50">
        <v>0</v>
      </c>
      <c r="K23" s="51">
        <v>0</v>
      </c>
      <c r="L23" s="50">
        <v>0</v>
      </c>
      <c r="M23" s="51">
        <v>0</v>
      </c>
      <c r="N23" s="50">
        <v>0</v>
      </c>
      <c r="O23" s="51">
        <v>0</v>
      </c>
      <c r="P23" s="50">
        <v>0</v>
      </c>
      <c r="Q23" s="51">
        <v>0</v>
      </c>
      <c r="R23" s="50">
        <v>0</v>
      </c>
      <c r="S23" s="51">
        <v>0</v>
      </c>
      <c r="T23" s="50">
        <v>0</v>
      </c>
      <c r="U23" s="51">
        <v>0</v>
      </c>
      <c r="V23" s="50">
        <v>0</v>
      </c>
      <c r="W23" s="51">
        <v>0</v>
      </c>
      <c r="X23" s="50">
        <v>0</v>
      </c>
      <c r="Y23" s="51">
        <v>0</v>
      </c>
      <c r="Z23" s="50">
        <v>0</v>
      </c>
      <c r="AA23" s="51">
        <v>0</v>
      </c>
      <c r="AB23" s="50">
        <f t="shared" si="0"/>
        <v>575981.30303030298</v>
      </c>
      <c r="AC23" s="51">
        <v>3801.4766</v>
      </c>
      <c r="AD23" s="50">
        <f t="shared" si="0"/>
        <v>834179.81818181823</v>
      </c>
      <c r="AE23" s="51">
        <v>2752.7934</v>
      </c>
      <c r="AF23" s="50">
        <f t="shared" ref="AF23" si="51">IF(AF$15=$N$1,AG23/$C$7,AG23/$C$8)</f>
        <v>576748.48484848486</v>
      </c>
      <c r="AG23" s="51">
        <v>3806.54</v>
      </c>
      <c r="AH23" s="50">
        <f t="shared" ref="AH23" si="52">IF(AH$15=$N$1,AI23/$C$7,AI23/$C$8)</f>
        <v>835290.90909090906</v>
      </c>
      <c r="AI23" s="51">
        <v>2756.46</v>
      </c>
      <c r="AJ23" s="50">
        <f t="shared" ref="AJ23" si="53">IF(AJ$15=$N$1,AK23/$C$7,AK23/$C$8)</f>
        <v>599135.60606060596</v>
      </c>
      <c r="AK23" s="51">
        <v>3954.2949999999996</v>
      </c>
      <c r="AL23" s="50">
        <f t="shared" ref="AL23" si="54">IF(AL$15=$N$1,AM23/$C$7,AM23/$C$8)</f>
        <v>867713.63636363635</v>
      </c>
      <c r="AM23" s="51">
        <v>2863.4549999999999</v>
      </c>
      <c r="AN23" s="50">
        <f t="shared" ref="AN23" si="55">IF(AN$15=$N$1,AO23/$C$7,AO23/$C$8)</f>
        <v>425082.87878787873</v>
      </c>
      <c r="AO23" s="51">
        <v>2805.5469999999996</v>
      </c>
      <c r="AP23" s="50">
        <f t="shared" ref="AP23" si="56">IF(AP$15=$N$1,AQ23/$C$7,AQ23/$C$8)</f>
        <v>615637.27272727271</v>
      </c>
      <c r="AQ23" s="51">
        <v>2031.6029999999998</v>
      </c>
      <c r="AR23" s="50">
        <f t="shared" ref="AR23" si="57">IF(AR$15=$N$1,AS23/$C$7,AS23/$C$8)</f>
        <v>410377.24242424237</v>
      </c>
      <c r="AS23" s="51">
        <v>2708.4897999999998</v>
      </c>
      <c r="AT23" s="50">
        <f t="shared" ref="AT23" si="58">IF(AT$15=$N$1,AU23/$C$7,AU23/$C$8)</f>
        <v>594339.45454545459</v>
      </c>
      <c r="AU23" s="53">
        <v>1961.3202000000001</v>
      </c>
      <c r="AV23" s="50">
        <f t="shared" ref="AV23" si="59">IF(AV$15=$N$1,AW23/$C$7,AW23/$C$8)</f>
        <v>408169.72727272724</v>
      </c>
      <c r="AW23" s="51">
        <v>2693.9201999999996</v>
      </c>
      <c r="AX23" s="50">
        <f t="shared" ref="AX23" si="60">IF(AX$15=$N$1,AY23/$C$7,AY23/$C$8)</f>
        <v>591142.36363636353</v>
      </c>
      <c r="AY23" s="55">
        <v>1950.7697999999998</v>
      </c>
      <c r="AZ23" s="53"/>
    </row>
    <row r="24" spans="1:52" x14ac:dyDescent="0.25">
      <c r="A24" s="48" t="s">
        <v>48</v>
      </c>
      <c r="B24" s="49"/>
      <c r="C24" s="49"/>
      <c r="D24" s="50">
        <v>0</v>
      </c>
      <c r="E24" s="51">
        <v>0</v>
      </c>
      <c r="F24" s="50">
        <v>0</v>
      </c>
      <c r="G24" s="51">
        <v>0</v>
      </c>
      <c r="H24" s="50">
        <v>0</v>
      </c>
      <c r="I24" s="51">
        <v>0</v>
      </c>
      <c r="J24" s="50">
        <v>0</v>
      </c>
      <c r="K24" s="51">
        <v>0</v>
      </c>
      <c r="L24" s="50">
        <v>0</v>
      </c>
      <c r="M24" s="51">
        <v>0</v>
      </c>
      <c r="N24" s="50">
        <v>0</v>
      </c>
      <c r="O24" s="51">
        <v>0</v>
      </c>
      <c r="P24" s="50">
        <v>0</v>
      </c>
      <c r="Q24" s="51">
        <v>0</v>
      </c>
      <c r="R24" s="50">
        <v>0</v>
      </c>
      <c r="S24" s="51">
        <v>0</v>
      </c>
      <c r="T24" s="50">
        <v>0</v>
      </c>
      <c r="U24" s="51">
        <v>0</v>
      </c>
      <c r="V24" s="50">
        <v>0</v>
      </c>
      <c r="W24" s="51">
        <v>0</v>
      </c>
      <c r="X24" s="50">
        <v>0</v>
      </c>
      <c r="Y24" s="51">
        <v>0</v>
      </c>
      <c r="Z24" s="50">
        <v>0</v>
      </c>
      <c r="AA24" s="51">
        <v>0</v>
      </c>
      <c r="AB24" s="50">
        <f t="shared" si="0"/>
        <v>360356.63636363635</v>
      </c>
      <c r="AC24" s="51">
        <v>2378.3537999999999</v>
      </c>
      <c r="AD24" s="50">
        <f t="shared" si="0"/>
        <v>521895.81818181812</v>
      </c>
      <c r="AE24" s="51">
        <v>1722.2561999999998</v>
      </c>
      <c r="AF24" s="50">
        <f t="shared" ref="AF24" si="61">IF(AF$15=$N$1,AG24/$C$7,AG24/$C$8)</f>
        <v>333067.63636363635</v>
      </c>
      <c r="AG24" s="51">
        <v>2198.2464</v>
      </c>
      <c r="AH24" s="50">
        <f t="shared" ref="AH24" si="62">IF(AH$15=$N$1,AI24/$C$7,AI24/$C$8)</f>
        <v>482373.81818181818</v>
      </c>
      <c r="AI24" s="51">
        <v>1591.8335999999999</v>
      </c>
      <c r="AJ24" s="50">
        <f t="shared" ref="AJ24" si="63">IF(AJ$15=$N$1,AK24/$C$7,AK24/$C$8)</f>
        <v>412411.63636363635</v>
      </c>
      <c r="AK24" s="51">
        <v>2721.9168</v>
      </c>
      <c r="AL24" s="50">
        <f t="shared" ref="AL24" si="64">IF(AL$15=$N$1,AM24/$C$7,AM24/$C$8)</f>
        <v>597285.81818181812</v>
      </c>
      <c r="AM24" s="51">
        <v>1971.0431999999998</v>
      </c>
      <c r="AN24" s="50">
        <f t="shared" ref="AN24" si="65">IF(AN$15=$N$1,AO24/$C$7,AO24/$C$8)</f>
        <v>340494.27272727276</v>
      </c>
      <c r="AO24" s="51">
        <v>2247.2622000000001</v>
      </c>
      <c r="AP24" s="50">
        <f t="shared" ref="AP24" si="66">IF(AP$15=$N$1,AQ24/$C$7,AQ24/$C$8)</f>
        <v>493129.63636363635</v>
      </c>
      <c r="AQ24" s="51">
        <v>1627.3278</v>
      </c>
      <c r="AR24" s="50">
        <f t="shared" ref="AR24" si="67">IF(AR$15=$N$1,AS24/$C$7,AS24/$C$8)</f>
        <v>314807.30303030304</v>
      </c>
      <c r="AS24" s="51">
        <v>2077.7282</v>
      </c>
      <c r="AT24" s="50">
        <f t="shared" ref="AT24" si="68">IF(AT$15=$N$1,AU24/$C$7,AU24/$C$8)</f>
        <v>455927.81818181818</v>
      </c>
      <c r="AU24" s="53">
        <v>1504.5617999999999</v>
      </c>
      <c r="AV24" s="50">
        <f t="shared" ref="AV24" si="69">IF(AV$15=$N$1,AW24/$C$7,AW24/$C$8)</f>
        <v>326918.75757575757</v>
      </c>
      <c r="AW24" s="51">
        <v>2157.6637999999998</v>
      </c>
      <c r="AX24" s="50">
        <f t="shared" ref="AX24" si="70">IF(AX$15=$N$1,AY24/$C$7,AY24/$C$8)</f>
        <v>473468.54545454547</v>
      </c>
      <c r="AY24" s="55">
        <v>1562.4462000000001</v>
      </c>
      <c r="AZ24" s="53"/>
    </row>
    <row r="25" spans="1:52" x14ac:dyDescent="0.25">
      <c r="A25" s="48" t="s">
        <v>49</v>
      </c>
      <c r="B25" s="49"/>
      <c r="C25" s="49"/>
      <c r="D25" s="50">
        <v>0</v>
      </c>
      <c r="E25" s="51">
        <v>0</v>
      </c>
      <c r="F25" s="50">
        <v>0</v>
      </c>
      <c r="G25" s="51">
        <v>0</v>
      </c>
      <c r="H25" s="50">
        <v>0</v>
      </c>
      <c r="I25" s="51">
        <v>0</v>
      </c>
      <c r="J25" s="50">
        <v>0</v>
      </c>
      <c r="K25" s="51">
        <v>0</v>
      </c>
      <c r="L25" s="50">
        <v>0</v>
      </c>
      <c r="M25" s="51">
        <v>0</v>
      </c>
      <c r="N25" s="50">
        <v>0</v>
      </c>
      <c r="O25" s="51">
        <v>0</v>
      </c>
      <c r="P25" s="50">
        <v>0</v>
      </c>
      <c r="Q25" s="51">
        <v>0</v>
      </c>
      <c r="R25" s="50">
        <v>0</v>
      </c>
      <c r="S25" s="51">
        <v>0</v>
      </c>
      <c r="T25" s="50">
        <v>0</v>
      </c>
      <c r="U25" s="51">
        <v>0</v>
      </c>
      <c r="V25" s="50">
        <v>0</v>
      </c>
      <c r="W25" s="51">
        <v>0</v>
      </c>
      <c r="X25" s="50">
        <v>0</v>
      </c>
      <c r="Y25" s="51">
        <v>0</v>
      </c>
      <c r="Z25" s="50">
        <v>0</v>
      </c>
      <c r="AA25" s="51">
        <v>0</v>
      </c>
      <c r="AB25" s="50">
        <f t="shared" si="0"/>
        <v>19259.515151515152</v>
      </c>
      <c r="AC25" s="51">
        <v>127.11279999999999</v>
      </c>
      <c r="AD25" s="50">
        <f t="shared" si="0"/>
        <v>27893.090909090904</v>
      </c>
      <c r="AE25" s="51">
        <v>92.047199999999989</v>
      </c>
      <c r="AF25" s="50">
        <f t="shared" ref="AF25" si="71">IF(AF$15=$N$1,AG25/$C$7,AG25/$C$8)</f>
        <v>2899.9999999999995</v>
      </c>
      <c r="AG25" s="51">
        <v>19.139999999999997</v>
      </c>
      <c r="AH25" s="50">
        <f t="shared" ref="AH25" si="72">IF(AH$15=$N$1,AI25/$C$7,AI25/$C$8)</f>
        <v>4200</v>
      </c>
      <c r="AI25" s="51">
        <v>13.86</v>
      </c>
      <c r="AJ25" s="50">
        <f t="shared" ref="AJ25" si="73">IF(AJ$15=$N$1,AK25/$C$7,AK25/$C$8)</f>
        <v>0</v>
      </c>
      <c r="AK25" s="51">
        <v>0</v>
      </c>
      <c r="AL25" s="50">
        <f t="shared" ref="AL25" si="74">IF(AL$15=$N$1,AM25/$C$7,AM25/$C$8)</f>
        <v>0</v>
      </c>
      <c r="AM25" s="51">
        <v>0</v>
      </c>
      <c r="AN25" s="50">
        <f t="shared" ref="AN25" si="75">IF(AN$15=$N$1,AO25/$C$7,AO25/$C$8)</f>
        <v>0</v>
      </c>
      <c r="AO25" s="51">
        <v>0</v>
      </c>
      <c r="AP25" s="50">
        <f t="shared" ref="AP25" si="76">IF(AP$15=$N$1,AQ25/$C$7,AQ25/$C$8)</f>
        <v>0</v>
      </c>
      <c r="AQ25" s="51">
        <v>0</v>
      </c>
      <c r="AR25" s="50">
        <f t="shared" ref="AR25" si="77">IF(AR$15=$N$1,AS25/$C$7,AS25/$C$8)</f>
        <v>0</v>
      </c>
      <c r="AS25" s="51">
        <v>0</v>
      </c>
      <c r="AT25" s="50">
        <f t="shared" ref="AT25" si="78">IF(AT$15=$N$1,AU25/$C$7,AU25/$C$8)</f>
        <v>0</v>
      </c>
      <c r="AU25" s="53">
        <v>0</v>
      </c>
      <c r="AV25" s="50">
        <f t="shared" ref="AV25" si="79">IF(AV$15=$N$1,AW25/$C$7,AW25/$C$8)</f>
        <v>0</v>
      </c>
      <c r="AW25" s="51">
        <v>0</v>
      </c>
      <c r="AX25" s="50">
        <f t="shared" ref="AX25" si="80">IF(AX$15=$N$1,AY25/$C$7,AY25/$C$8)</f>
        <v>0</v>
      </c>
      <c r="AY25" s="55">
        <v>0</v>
      </c>
      <c r="AZ25" s="53"/>
    </row>
    <row r="26" spans="1:52" x14ac:dyDescent="0.25">
      <c r="A26" s="48" t="s">
        <v>50</v>
      </c>
      <c r="B26" s="49"/>
      <c r="C26" s="49"/>
      <c r="D26" s="50">
        <v>0</v>
      </c>
      <c r="E26" s="51">
        <v>0</v>
      </c>
      <c r="F26" s="50">
        <v>0</v>
      </c>
      <c r="G26" s="51">
        <v>0</v>
      </c>
      <c r="H26" s="50">
        <v>0</v>
      </c>
      <c r="I26" s="51">
        <v>0</v>
      </c>
      <c r="J26" s="50">
        <v>0</v>
      </c>
      <c r="K26" s="51">
        <v>0</v>
      </c>
      <c r="L26" s="50">
        <v>0</v>
      </c>
      <c r="M26" s="51">
        <v>0</v>
      </c>
      <c r="N26" s="50">
        <v>0</v>
      </c>
      <c r="O26" s="51">
        <v>0</v>
      </c>
      <c r="P26" s="50">
        <v>0</v>
      </c>
      <c r="Q26" s="51">
        <v>0</v>
      </c>
      <c r="R26" s="50">
        <v>0</v>
      </c>
      <c r="S26" s="51">
        <v>0</v>
      </c>
      <c r="T26" s="50">
        <v>0</v>
      </c>
      <c r="U26" s="51">
        <v>0</v>
      </c>
      <c r="V26" s="50">
        <v>0</v>
      </c>
      <c r="W26" s="51">
        <v>0</v>
      </c>
      <c r="X26" s="50">
        <v>0</v>
      </c>
      <c r="Y26" s="51">
        <v>0</v>
      </c>
      <c r="Z26" s="50">
        <v>0</v>
      </c>
      <c r="AA26" s="51">
        <v>0</v>
      </c>
      <c r="AB26" s="50">
        <f t="shared" si="0"/>
        <v>41968.272727272721</v>
      </c>
      <c r="AC26" s="51">
        <v>276.99059999999997</v>
      </c>
      <c r="AD26" s="50">
        <f t="shared" si="0"/>
        <v>60781.63636363636</v>
      </c>
      <c r="AE26" s="51">
        <v>200.57939999999999</v>
      </c>
      <c r="AF26" s="50">
        <f t="shared" ref="AF26" si="81">IF(AF$15=$N$1,AG26/$C$7,AG26/$C$8)</f>
        <v>48836.878787878784</v>
      </c>
      <c r="AG26" s="51">
        <v>322.32339999999999</v>
      </c>
      <c r="AH26" s="50">
        <f t="shared" ref="AH26" si="82">IF(AH$15=$N$1,AI26/$C$7,AI26/$C$8)</f>
        <v>70729.272727272721</v>
      </c>
      <c r="AI26" s="51">
        <v>233.4066</v>
      </c>
      <c r="AJ26" s="50">
        <f t="shared" ref="AJ26" si="83">IF(AJ$15=$N$1,AK26/$C$7,AK26/$C$8)</f>
        <v>54981.363636363632</v>
      </c>
      <c r="AK26" s="51">
        <v>362.87699999999995</v>
      </c>
      <c r="AL26" s="50">
        <f t="shared" ref="AL26" si="84">IF(AL$15=$N$1,AM26/$C$7,AM26/$C$8)</f>
        <v>79628.181818181809</v>
      </c>
      <c r="AM26" s="51">
        <v>262.77299999999997</v>
      </c>
      <c r="AN26" s="50">
        <f t="shared" ref="AN26" si="85">IF(AN$15=$N$1,AO26/$C$7,AO26/$C$8)</f>
        <v>73681.090909090912</v>
      </c>
      <c r="AO26" s="51">
        <v>486.29520000000002</v>
      </c>
      <c r="AP26" s="50">
        <f t="shared" ref="AP26" si="86">IF(AP$15=$N$1,AQ26/$C$7,AQ26/$C$8)</f>
        <v>106710.54545454547</v>
      </c>
      <c r="AQ26" s="51">
        <v>352.14480000000003</v>
      </c>
      <c r="AR26" s="50">
        <f t="shared" ref="AR26" si="87">IF(AR$15=$N$1,AS26/$C$7,AS26/$C$8)</f>
        <v>52489.121212121201</v>
      </c>
      <c r="AS26" s="51">
        <v>346.42819999999995</v>
      </c>
      <c r="AT26" s="50">
        <f t="shared" ref="AT26" si="88">IF(AT$15=$N$1,AU26/$C$7,AU26/$C$8)</f>
        <v>76018.727272727265</v>
      </c>
      <c r="AU26" s="53">
        <v>250.86179999999999</v>
      </c>
      <c r="AV26" s="50">
        <f t="shared" ref="AV26" si="89">IF(AV$15=$N$1,AW26/$C$7,AW26/$C$8)</f>
        <v>92089.939393939392</v>
      </c>
      <c r="AW26" s="51">
        <v>607.79359999999997</v>
      </c>
      <c r="AX26" s="50">
        <f t="shared" ref="AX26" si="90">IF(AX$15=$N$1,AY26/$C$7,AY26/$C$8)</f>
        <v>133371.63636363635</v>
      </c>
      <c r="AY26" s="55">
        <v>440.12639999999999</v>
      </c>
      <c r="AZ26" s="53"/>
    </row>
    <row r="27" spans="1:52" ht="15.75" thickBot="1" x14ac:dyDescent="0.3">
      <c r="A27" s="56" t="s">
        <v>51</v>
      </c>
      <c r="B27" s="57"/>
      <c r="C27" s="57"/>
      <c r="D27" s="58">
        <v>7968529.3888739226</v>
      </c>
      <c r="E27" s="59">
        <f>IF(D15=$D$15,D$27*$C$7,D$27*$C$8)</f>
        <v>52592.293966567886</v>
      </c>
      <c r="F27" s="58">
        <v>10345287.309664095</v>
      </c>
      <c r="G27" s="59">
        <f>IF(F15=$D$15,F$27*$C$7,F$27*$C$8)</f>
        <v>34139.44812189151</v>
      </c>
      <c r="H27" s="58">
        <v>8096491.420165618</v>
      </c>
      <c r="I27" s="59">
        <f>IF(H15=$D$15,H$27*$C$7,H$27*$C$8)</f>
        <v>53436.843373093077</v>
      </c>
      <c r="J27" s="58">
        <v>10377095.340853767</v>
      </c>
      <c r="K27" s="59">
        <f>IF(J15=$D$15,J$27*$C$7,J$27*$C$8)</f>
        <v>34244.414624817429</v>
      </c>
      <c r="L27" s="58">
        <v>6926870.9977492942</v>
      </c>
      <c r="M27" s="59">
        <f>IF(L15=$D$15,L$27*$C$7,L$27*$C$8)</f>
        <v>45717.348585145344</v>
      </c>
      <c r="N27" s="58">
        <v>10755331.471114248</v>
      </c>
      <c r="O27" s="59">
        <f>IF(N15=$D$15,N$27*$C$7,N$27*$C$8)</f>
        <v>35492.593854677019</v>
      </c>
      <c r="P27" s="58">
        <v>8838554.0076038036</v>
      </c>
      <c r="Q27" s="59">
        <f>IF(P15=$D$15,P$27*$C$7,P$27*$C$8)</f>
        <v>58334.456450185105</v>
      </c>
      <c r="R27" s="58">
        <v>12198353.788309764</v>
      </c>
      <c r="S27" s="59">
        <f>IF(R15=$D$15,R$27*$C$7,R$27*$C$8)</f>
        <v>40254.567501422222</v>
      </c>
      <c r="T27" s="58">
        <v>8537984.0283828676</v>
      </c>
      <c r="U27" s="59">
        <f>IF(T15=$D$15,T$27*$C$7,T$27*$C$8)</f>
        <v>56350.694587326929</v>
      </c>
      <c r="V27" s="58">
        <v>11912082.997297313</v>
      </c>
      <c r="W27" s="59">
        <f>IF(V15=$D$15,V$27*$C$7,V$27*$C$8)</f>
        <v>39309.87389108113</v>
      </c>
      <c r="X27" s="58">
        <v>9466217.9158760104</v>
      </c>
      <c r="Y27" s="59">
        <f>IF(X15=$D$15,X$27*$C$7,X$27*$C$8)</f>
        <v>62477.038244781666</v>
      </c>
      <c r="Z27" s="58">
        <v>11455805.155111147</v>
      </c>
      <c r="AA27" s="59">
        <f>IF(Z15=$D$15,Z$27*$C$7,Z$27*$C$8)</f>
        <v>37804.157011866788</v>
      </c>
      <c r="AB27" s="58">
        <f t="shared" ref="AB27:AY27" si="91">SUM(AB17:AB26)</f>
        <v>8515124.1212121211</v>
      </c>
      <c r="AC27" s="59">
        <f t="shared" si="91"/>
        <v>56199.819199999998</v>
      </c>
      <c r="AD27" s="58">
        <f t="shared" si="91"/>
        <v>12332248.727272728</v>
      </c>
      <c r="AE27" s="59">
        <f t="shared" si="91"/>
        <v>40696.420800000007</v>
      </c>
      <c r="AF27" s="58">
        <f t="shared" si="91"/>
        <v>8480078.9393939395</v>
      </c>
      <c r="AG27" s="59">
        <f t="shared" si="91"/>
        <v>55968.521000000001</v>
      </c>
      <c r="AH27" s="58">
        <f t="shared" si="91"/>
        <v>12281493.636363637</v>
      </c>
      <c r="AI27" s="59">
        <f t="shared" si="91"/>
        <v>40528.929000000004</v>
      </c>
      <c r="AJ27" s="58">
        <f t="shared" si="91"/>
        <v>9417340.4848484844</v>
      </c>
      <c r="AK27" s="59">
        <f t="shared" si="91"/>
        <v>62154.447200000002</v>
      </c>
      <c r="AL27" s="58">
        <f t="shared" si="91"/>
        <v>13638906.90909091</v>
      </c>
      <c r="AM27" s="59">
        <f t="shared" si="91"/>
        <v>45008.392800000009</v>
      </c>
      <c r="AN27" s="58">
        <f t="shared" si="91"/>
        <v>8453470.1212121211</v>
      </c>
      <c r="AO27" s="59">
        <f t="shared" si="91"/>
        <v>55792.902799999996</v>
      </c>
      <c r="AP27" s="60">
        <f t="shared" si="91"/>
        <v>12242956.727272727</v>
      </c>
      <c r="AQ27" s="59">
        <f t="shared" si="91"/>
        <v>40401.757200000007</v>
      </c>
      <c r="AR27" s="60">
        <f t="shared" si="91"/>
        <v>8044107.8787878789</v>
      </c>
      <c r="AS27" s="59">
        <f t="shared" si="91"/>
        <v>53091.111999999994</v>
      </c>
      <c r="AT27" s="60">
        <f t="shared" si="91"/>
        <v>11650087.272727273</v>
      </c>
      <c r="AU27" s="60">
        <f t="shared" si="91"/>
        <v>38445.288</v>
      </c>
      <c r="AV27" s="61">
        <f t="shared" si="91"/>
        <v>7773574.7878787881</v>
      </c>
      <c r="AW27" s="59">
        <f t="shared" si="91"/>
        <v>51305.5936</v>
      </c>
      <c r="AX27" s="60">
        <f t="shared" si="91"/>
        <v>11258280.727272727</v>
      </c>
      <c r="AY27" s="62">
        <f t="shared" si="91"/>
        <v>37152.326399999998</v>
      </c>
    </row>
    <row r="28" spans="1:52" x14ac:dyDescent="0.25">
      <c r="D28" s="136"/>
      <c r="E28" s="137"/>
    </row>
    <row r="29" spans="1:52" ht="15.75" thickBot="1" x14ac:dyDescent="0.3">
      <c r="D29" s="63"/>
      <c r="E29" s="64"/>
      <c r="F29" s="65"/>
      <c r="G29" s="65"/>
      <c r="H29" s="65"/>
      <c r="I29" s="65"/>
      <c r="J29" s="65"/>
    </row>
    <row r="30" spans="1:52" ht="15.75" thickBot="1" x14ac:dyDescent="0.3">
      <c r="A30" s="37" t="s">
        <v>52</v>
      </c>
      <c r="B30" s="38"/>
      <c r="C30" s="38"/>
      <c r="D30" s="67" t="s">
        <v>5</v>
      </c>
      <c r="E30" s="67" t="s">
        <v>26</v>
      </c>
      <c r="F30" s="67" t="s">
        <v>27</v>
      </c>
      <c r="G30" s="67" t="s">
        <v>28</v>
      </c>
      <c r="H30" s="67" t="s">
        <v>29</v>
      </c>
      <c r="I30" s="67" t="s">
        <v>30</v>
      </c>
      <c r="J30" s="67" t="s">
        <v>31</v>
      </c>
      <c r="K30" s="67" t="s">
        <v>32</v>
      </c>
      <c r="L30" s="67" t="s">
        <v>33</v>
      </c>
      <c r="M30" s="67" t="s">
        <v>34</v>
      </c>
      <c r="N30" s="67" t="s">
        <v>35</v>
      </c>
      <c r="O30" s="67" t="s">
        <v>36</v>
      </c>
      <c r="P30" s="68" t="s">
        <v>51</v>
      </c>
      <c r="T30" s="69" t="s">
        <v>53</v>
      </c>
      <c r="U30" s="70"/>
      <c r="V30" s="70"/>
      <c r="W30" s="217" t="s">
        <v>51</v>
      </c>
      <c r="X30" s="218"/>
      <c r="Y30" s="218"/>
      <c r="Z30" s="218"/>
      <c r="AA30" s="218"/>
      <c r="AB30" s="219"/>
    </row>
    <row r="31" spans="1:52" x14ac:dyDescent="0.25">
      <c r="A31" s="48" t="s">
        <v>41</v>
      </c>
      <c r="B31" s="49"/>
      <c r="C31" s="49"/>
      <c r="D31" s="71"/>
      <c r="E31" s="72"/>
      <c r="F31" s="73"/>
      <c r="G31" s="73"/>
      <c r="H31" s="73"/>
      <c r="J31" s="73">
        <v>22571.54</v>
      </c>
      <c r="K31" s="73">
        <v>23397.85</v>
      </c>
      <c r="L31" s="73">
        <v>24520.65</v>
      </c>
      <c r="M31" s="73">
        <v>24006.75</v>
      </c>
      <c r="N31" s="73">
        <v>23532.63</v>
      </c>
      <c r="O31" s="73">
        <v>22017.59</v>
      </c>
      <c r="P31" s="75">
        <f t="shared" ref="P31:P41" si="92">SUM(D31:O31)</f>
        <v>140047.01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52" x14ac:dyDescent="0.25">
      <c r="A32" s="48" t="s">
        <v>42</v>
      </c>
      <c r="B32" s="49"/>
      <c r="C32" s="49"/>
      <c r="D32" s="71"/>
      <c r="E32" s="72"/>
      <c r="F32" s="73"/>
      <c r="G32" s="73"/>
      <c r="H32" s="73"/>
      <c r="J32" s="73">
        <v>6662.8</v>
      </c>
      <c r="K32" s="73">
        <v>6619.77</v>
      </c>
      <c r="L32" s="73">
        <v>7489.77</v>
      </c>
      <c r="M32" s="73">
        <v>7875.26</v>
      </c>
      <c r="N32" s="73">
        <v>6746.72</v>
      </c>
      <c r="O32" s="73">
        <v>6635.75</v>
      </c>
      <c r="P32" s="75">
        <f t="shared" si="92"/>
        <v>42030.07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/>
      <c r="E33" s="72"/>
      <c r="F33" s="73"/>
      <c r="G33" s="73"/>
      <c r="H33" s="73"/>
      <c r="J33" s="73">
        <v>12365.52</v>
      </c>
      <c r="K33" s="73">
        <v>12404.08</v>
      </c>
      <c r="L33" s="73">
        <v>17466.16</v>
      </c>
      <c r="M33" s="73">
        <v>13321</v>
      </c>
      <c r="N33" s="73">
        <v>11455.68</v>
      </c>
      <c r="O33" s="73">
        <v>11249.46</v>
      </c>
      <c r="P33" s="75">
        <f t="shared" si="92"/>
        <v>78261.899999999994</v>
      </c>
      <c r="T33" s="85" t="s">
        <v>41</v>
      </c>
      <c r="U33" s="86"/>
      <c r="V33" s="86"/>
      <c r="W33" s="87">
        <f t="shared" ref="W33:Z40" si="93">D17+H17+L17+P17+T17+X17+AB17+AF17+AJ17+AN17+AR17+AV17</f>
        <v>12307161.484848484</v>
      </c>
      <c r="X33" s="88">
        <f t="shared" si="93"/>
        <v>81227.265799999994</v>
      </c>
      <c r="Y33" s="89">
        <f t="shared" si="93"/>
        <v>17824164.90909091</v>
      </c>
      <c r="Z33" s="88">
        <f t="shared" si="93"/>
        <v>58819.744200000001</v>
      </c>
      <c r="AA33" s="90">
        <f>W33+Y33</f>
        <v>30131326.393939395</v>
      </c>
      <c r="AB33" s="91">
        <f>X33+Z33</f>
        <v>140047.01</v>
      </c>
    </row>
    <row r="34" spans="1:28" x14ac:dyDescent="0.25">
      <c r="A34" s="48" t="s">
        <v>44</v>
      </c>
      <c r="B34" s="49"/>
      <c r="C34" s="49"/>
      <c r="D34" s="71"/>
      <c r="E34" s="72"/>
      <c r="F34" s="73"/>
      <c r="G34" s="73"/>
      <c r="H34" s="73"/>
      <c r="J34" s="73">
        <v>26606.87</v>
      </c>
      <c r="K34" s="73">
        <v>25652.45</v>
      </c>
      <c r="L34" s="73">
        <v>26942.49</v>
      </c>
      <c r="M34" s="73">
        <v>25087.08</v>
      </c>
      <c r="N34" s="73">
        <v>25075.05</v>
      </c>
      <c r="O34" s="73">
        <v>23236.080000000002</v>
      </c>
      <c r="P34" s="75">
        <f t="shared" si="92"/>
        <v>152600.02000000002</v>
      </c>
      <c r="T34" s="85" t="s">
        <v>42</v>
      </c>
      <c r="U34" s="86"/>
      <c r="V34" s="86"/>
      <c r="W34" s="87">
        <f t="shared" si="93"/>
        <v>3693551.6060606055</v>
      </c>
      <c r="X34" s="92">
        <f t="shared" si="93"/>
        <v>24377.440600000002</v>
      </c>
      <c r="Y34" s="90">
        <f t="shared" si="93"/>
        <v>5349281.6363636367</v>
      </c>
      <c r="Z34" s="92">
        <f t="shared" si="93"/>
        <v>17652.629399999998</v>
      </c>
      <c r="AA34" s="90">
        <f t="shared" ref="AA34:AB42" si="94">W34+Y34</f>
        <v>9042833.2424242422</v>
      </c>
      <c r="AB34" s="91">
        <f t="shared" si="94"/>
        <v>42030.07</v>
      </c>
    </row>
    <row r="35" spans="1:28" x14ac:dyDescent="0.25">
      <c r="A35" s="48" t="s">
        <v>45</v>
      </c>
      <c r="B35" s="49"/>
      <c r="C35" s="49"/>
      <c r="D35" s="71"/>
      <c r="E35" s="72"/>
      <c r="F35" s="73"/>
      <c r="G35" s="73"/>
      <c r="H35" s="73"/>
      <c r="J35" s="73">
        <v>14395.47</v>
      </c>
      <c r="K35" s="73">
        <v>13886.21</v>
      </c>
      <c r="L35" s="73">
        <v>14590.86</v>
      </c>
      <c r="M35" s="73">
        <v>12970.76</v>
      </c>
      <c r="N35" s="73">
        <v>12337.66</v>
      </c>
      <c r="O35" s="73">
        <v>12311.36</v>
      </c>
      <c r="P35" s="75">
        <f t="shared" si="92"/>
        <v>80492.320000000007</v>
      </c>
      <c r="T35" s="85" t="s">
        <v>43</v>
      </c>
      <c r="U35" s="86"/>
      <c r="V35" s="86"/>
      <c r="W35" s="87">
        <f t="shared" si="93"/>
        <v>6877560.9090909082</v>
      </c>
      <c r="X35" s="93">
        <f t="shared" si="93"/>
        <v>45391.902000000002</v>
      </c>
      <c r="Y35" s="92">
        <f t="shared" si="93"/>
        <v>9960605.4545454551</v>
      </c>
      <c r="Z35" s="92">
        <f t="shared" si="93"/>
        <v>32869.997999999992</v>
      </c>
      <c r="AA35" s="90">
        <f t="shared" si="94"/>
        <v>16838166.363636363</v>
      </c>
      <c r="AB35" s="91">
        <f t="shared" si="94"/>
        <v>78261.899999999994</v>
      </c>
    </row>
    <row r="36" spans="1:28" x14ac:dyDescent="0.25">
      <c r="A36" s="48" t="s">
        <v>46</v>
      </c>
      <c r="B36" s="49"/>
      <c r="C36" s="49"/>
      <c r="D36" s="71"/>
      <c r="E36" s="72"/>
      <c r="F36" s="73"/>
      <c r="G36" s="73"/>
      <c r="H36" s="73"/>
      <c r="J36" s="73">
        <v>2942.43</v>
      </c>
      <c r="K36" s="73">
        <v>3595.28</v>
      </c>
      <c r="L36" s="73">
        <v>4016.55</v>
      </c>
      <c r="M36" s="73">
        <v>3383.63</v>
      </c>
      <c r="N36" s="73">
        <v>3539.27</v>
      </c>
      <c r="O36" s="73">
        <v>3594.96</v>
      </c>
      <c r="P36" s="75">
        <f t="shared" si="92"/>
        <v>21072.12</v>
      </c>
      <c r="T36" s="85" t="s">
        <v>44</v>
      </c>
      <c r="U36" s="86"/>
      <c r="V36" s="86"/>
      <c r="W36" s="87">
        <f t="shared" si="93"/>
        <v>13410304.787878787</v>
      </c>
      <c r="X36" s="93">
        <f t="shared" si="93"/>
        <v>88508.011599999998</v>
      </c>
      <c r="Y36" s="92">
        <f t="shared" si="93"/>
        <v>19421820.727272727</v>
      </c>
      <c r="Z36" s="92">
        <f t="shared" si="93"/>
        <v>64092.008400000006</v>
      </c>
      <c r="AA36" s="90">
        <f t="shared" si="94"/>
        <v>32832125.515151516</v>
      </c>
      <c r="AB36" s="91">
        <f t="shared" si="94"/>
        <v>152600.02000000002</v>
      </c>
    </row>
    <row r="37" spans="1:28" x14ac:dyDescent="0.25">
      <c r="A37" s="48" t="s">
        <v>47</v>
      </c>
      <c r="B37" s="49"/>
      <c r="C37" s="49"/>
      <c r="D37" s="71"/>
      <c r="E37" s="72"/>
      <c r="F37" s="73"/>
      <c r="G37" s="73"/>
      <c r="H37" s="73"/>
      <c r="J37" s="73">
        <v>6554.27</v>
      </c>
      <c r="K37" s="73">
        <v>6563</v>
      </c>
      <c r="L37" s="73">
        <v>6817.75</v>
      </c>
      <c r="M37" s="73">
        <v>4837.1499999999996</v>
      </c>
      <c r="N37" s="73">
        <v>4669.8100000000004</v>
      </c>
      <c r="O37" s="73">
        <v>4644.6899999999996</v>
      </c>
      <c r="P37" s="75">
        <f t="shared" si="92"/>
        <v>34086.67</v>
      </c>
      <c r="T37" s="85" t="s">
        <v>45</v>
      </c>
      <c r="U37" s="86"/>
      <c r="V37" s="86"/>
      <c r="W37" s="87">
        <f t="shared" si="93"/>
        <v>7073567.5151515147</v>
      </c>
      <c r="X37" s="93">
        <f t="shared" si="93"/>
        <v>46685.545599999998</v>
      </c>
      <c r="Y37" s="92">
        <f t="shared" si="93"/>
        <v>10244477.09090909</v>
      </c>
      <c r="Z37" s="92">
        <f t="shared" si="93"/>
        <v>33806.774400000002</v>
      </c>
      <c r="AA37" s="90">
        <f t="shared" si="94"/>
        <v>17318044.606060605</v>
      </c>
      <c r="AB37" s="91">
        <f t="shared" si="94"/>
        <v>80492.320000000007</v>
      </c>
    </row>
    <row r="38" spans="1:28" x14ac:dyDescent="0.25">
      <c r="A38" s="48" t="s">
        <v>48</v>
      </c>
      <c r="B38" s="49"/>
      <c r="C38" s="49"/>
      <c r="D38" s="71"/>
      <c r="E38" s="72"/>
      <c r="F38" s="73"/>
      <c r="G38" s="73"/>
      <c r="H38" s="73"/>
      <c r="J38" s="73">
        <v>4100.6099999999997</v>
      </c>
      <c r="K38" s="73">
        <v>3790.08</v>
      </c>
      <c r="L38" s="73">
        <v>4692.96</v>
      </c>
      <c r="M38" s="73">
        <v>3874.59</v>
      </c>
      <c r="N38" s="73">
        <v>3582.29</v>
      </c>
      <c r="O38" s="73">
        <v>3720.11</v>
      </c>
      <c r="P38" s="75">
        <f t="shared" si="92"/>
        <v>23760.639999999999</v>
      </c>
      <c r="T38" s="85" t="s">
        <v>46</v>
      </c>
      <c r="U38" s="86"/>
      <c r="V38" s="86"/>
      <c r="W38" s="87">
        <f t="shared" si="93"/>
        <v>1851792.3636363635</v>
      </c>
      <c r="X38" s="93">
        <f t="shared" si="93"/>
        <v>12221.829600000001</v>
      </c>
      <c r="Y38" s="92">
        <f t="shared" si="93"/>
        <v>2681906.1818181821</v>
      </c>
      <c r="Z38" s="92">
        <f t="shared" si="93"/>
        <v>8850.2903999999999</v>
      </c>
      <c r="AA38" s="90">
        <f t="shared" si="94"/>
        <v>4533698.5454545459</v>
      </c>
      <c r="AB38" s="91">
        <f t="shared" si="94"/>
        <v>21072.120000000003</v>
      </c>
    </row>
    <row r="39" spans="1:28" x14ac:dyDescent="0.25">
      <c r="A39" s="48" t="s">
        <v>49</v>
      </c>
      <c r="B39" s="49"/>
      <c r="C39" s="49"/>
      <c r="D39" s="71"/>
      <c r="E39" s="72"/>
      <c r="F39" s="73"/>
      <c r="G39" s="73"/>
      <c r="H39" s="73"/>
      <c r="J39" s="73">
        <v>219.16</v>
      </c>
      <c r="K39" s="73">
        <v>33</v>
      </c>
      <c r="L39" s="73">
        <v>0</v>
      </c>
      <c r="M39" s="73">
        <v>0</v>
      </c>
      <c r="N39" s="73">
        <v>0</v>
      </c>
      <c r="O39" s="73">
        <v>0</v>
      </c>
      <c r="P39" s="75">
        <f t="shared" si="92"/>
        <v>252.16</v>
      </c>
      <c r="T39" s="85" t="s">
        <v>47</v>
      </c>
      <c r="U39" s="86"/>
      <c r="V39" s="86"/>
      <c r="W39" s="87">
        <f t="shared" si="93"/>
        <v>2995495.2424242417</v>
      </c>
      <c r="X39" s="93">
        <f t="shared" si="93"/>
        <v>19770.268599999999</v>
      </c>
      <c r="Y39" s="92">
        <f t="shared" si="93"/>
        <v>4338303.4545454551</v>
      </c>
      <c r="Z39" s="92">
        <f t="shared" si="93"/>
        <v>14316.401399999999</v>
      </c>
      <c r="AA39" s="90">
        <f t="shared" si="94"/>
        <v>7333798.6969696973</v>
      </c>
      <c r="AB39" s="91">
        <f t="shared" si="94"/>
        <v>34086.67</v>
      </c>
    </row>
    <row r="40" spans="1:28" x14ac:dyDescent="0.25">
      <c r="A40" s="48" t="s">
        <v>50</v>
      </c>
      <c r="B40" s="49"/>
      <c r="C40" s="49"/>
      <c r="D40" s="71"/>
      <c r="E40" s="72"/>
      <c r="F40" s="73"/>
      <c r="G40" s="73"/>
      <c r="H40" s="73"/>
      <c r="J40" s="73">
        <v>477.57</v>
      </c>
      <c r="K40" s="73">
        <v>555.73</v>
      </c>
      <c r="L40" s="73">
        <v>625.65</v>
      </c>
      <c r="M40" s="73">
        <v>838.44</v>
      </c>
      <c r="N40" s="73">
        <v>597.29</v>
      </c>
      <c r="O40" s="73">
        <v>1047.92</v>
      </c>
      <c r="P40" s="75">
        <f t="shared" si="92"/>
        <v>4142.6000000000004</v>
      </c>
      <c r="T40" s="85" t="s">
        <v>48</v>
      </c>
      <c r="U40" s="86"/>
      <c r="V40" s="86"/>
      <c r="W40" s="87">
        <f t="shared" si="93"/>
        <v>2088056.2424242424</v>
      </c>
      <c r="X40" s="93">
        <f t="shared" si="93"/>
        <v>13781.171200000001</v>
      </c>
      <c r="Y40" s="92">
        <f t="shared" si="93"/>
        <v>3024081.4545454546</v>
      </c>
      <c r="Z40" s="92">
        <f t="shared" si="93"/>
        <v>9979.4688000000006</v>
      </c>
      <c r="AA40" s="90">
        <f t="shared" si="94"/>
        <v>5112137.6969696973</v>
      </c>
      <c r="AB40" s="91">
        <f t="shared" si="94"/>
        <v>23760.639999999999</v>
      </c>
    </row>
    <row r="41" spans="1:28" x14ac:dyDescent="0.25">
      <c r="A41" s="48" t="s">
        <v>61</v>
      </c>
      <c r="B41" s="49"/>
      <c r="C41" s="49"/>
      <c r="D41" s="71">
        <f>E27+G27</f>
        <v>86731.742088459403</v>
      </c>
      <c r="E41" s="72">
        <f>K27+I27</f>
        <v>87681.257997910507</v>
      </c>
      <c r="F41" s="73">
        <f>M27+O27</f>
        <v>81209.942439822364</v>
      </c>
      <c r="G41" s="73">
        <f>Q27+S27</f>
        <v>98589.02395160732</v>
      </c>
      <c r="H41" s="73">
        <f>U27+W27</f>
        <v>95660.568478408066</v>
      </c>
      <c r="I41" s="73">
        <f>AA27+Y27</f>
        <v>100281.19525664845</v>
      </c>
      <c r="J41" s="73"/>
      <c r="K41" s="73"/>
      <c r="L41" s="73"/>
      <c r="M41" s="73"/>
      <c r="N41" s="73"/>
      <c r="O41" s="73"/>
      <c r="P41" s="75">
        <f t="shared" si="92"/>
        <v>550153.73021285608</v>
      </c>
      <c r="T41" s="85" t="s">
        <v>49</v>
      </c>
      <c r="U41" s="86"/>
      <c r="V41" s="86"/>
      <c r="W41" s="87">
        <f t="shared" ref="W41:Z43" si="95">D25+H25+L25+P25+T25+X25+AB25+AF25+AJ25+AN25+AR25+AV25</f>
        <v>22159.515151515152</v>
      </c>
      <c r="X41" s="93">
        <f t="shared" si="95"/>
        <v>146.25279999999998</v>
      </c>
      <c r="Y41" s="92">
        <f t="shared" si="95"/>
        <v>32093.090909090904</v>
      </c>
      <c r="Z41" s="92">
        <f t="shared" si="95"/>
        <v>105.90719999999999</v>
      </c>
      <c r="AA41" s="90">
        <f t="shared" si="94"/>
        <v>54252.606060606056</v>
      </c>
      <c r="AB41" s="91">
        <f t="shared" si="94"/>
        <v>252.15999999999997</v>
      </c>
    </row>
    <row r="42" spans="1:28" x14ac:dyDescent="0.25">
      <c r="A42" s="48" t="s">
        <v>24</v>
      </c>
      <c r="B42" s="49"/>
      <c r="C42" s="49"/>
      <c r="D42" s="71">
        <f>-C12</f>
        <v>-2000</v>
      </c>
      <c r="E42" s="72">
        <v>0</v>
      </c>
      <c r="F42" s="73">
        <v>0</v>
      </c>
      <c r="G42" s="73">
        <v>0</v>
      </c>
      <c r="H42" s="73">
        <v>0</v>
      </c>
      <c r="I42" s="73">
        <v>0</v>
      </c>
      <c r="J42" s="73">
        <v>0</v>
      </c>
      <c r="K42" s="73">
        <v>0</v>
      </c>
      <c r="L42" s="73">
        <v>0</v>
      </c>
      <c r="M42" s="73">
        <v>0</v>
      </c>
      <c r="N42" s="73">
        <v>0</v>
      </c>
      <c r="O42" s="74">
        <v>0</v>
      </c>
      <c r="P42" s="75">
        <f t="shared" ref="P42" si="96">SUM(D42:O42)</f>
        <v>-2000</v>
      </c>
      <c r="T42" s="85" t="s">
        <v>50</v>
      </c>
      <c r="U42" s="86"/>
      <c r="V42" s="86"/>
      <c r="W42" s="87">
        <f t="shared" si="95"/>
        <v>364046.66666666663</v>
      </c>
      <c r="X42" s="93">
        <f t="shared" si="95"/>
        <v>2402.7079999999996</v>
      </c>
      <c r="Y42" s="92">
        <f t="shared" si="95"/>
        <v>527240</v>
      </c>
      <c r="Z42" s="92">
        <f t="shared" si="95"/>
        <v>1739.8919999999998</v>
      </c>
      <c r="AA42" s="90">
        <f t="shared" si="94"/>
        <v>891286.66666666663</v>
      </c>
      <c r="AB42" s="91">
        <f t="shared" si="94"/>
        <v>4142.5999999999995</v>
      </c>
    </row>
    <row r="43" spans="1:28" ht="15.75" thickBot="1" x14ac:dyDescent="0.3">
      <c r="A43" s="56" t="s">
        <v>51</v>
      </c>
      <c r="B43" s="57"/>
      <c r="C43" s="57"/>
      <c r="D43" s="94">
        <f>SUM(D31:D42)</f>
        <v>84731.742088459403</v>
      </c>
      <c r="E43" s="95">
        <f>SUM(E31:E42)</f>
        <v>87681.257997910507</v>
      </c>
      <c r="F43" s="95">
        <f t="shared" ref="F43:N43" si="97">SUM(F31:F42)</f>
        <v>81209.942439822364</v>
      </c>
      <c r="G43" s="95">
        <f t="shared" si="97"/>
        <v>98589.02395160732</v>
      </c>
      <c r="H43" s="95">
        <f t="shared" si="97"/>
        <v>95660.568478408066</v>
      </c>
      <c r="I43" s="95">
        <f t="shared" si="97"/>
        <v>100281.19525664845</v>
      </c>
      <c r="J43" s="95">
        <f t="shared" si="97"/>
        <v>96896.24</v>
      </c>
      <c r="K43" s="95">
        <f t="shared" si="97"/>
        <v>96497.449999999983</v>
      </c>
      <c r="L43" s="95">
        <f t="shared" si="97"/>
        <v>107162.84000000001</v>
      </c>
      <c r="M43" s="95">
        <f t="shared" si="97"/>
        <v>96194.659999999989</v>
      </c>
      <c r="N43" s="95">
        <f t="shared" si="97"/>
        <v>91536.4</v>
      </c>
      <c r="O43" s="95">
        <f>SUM(O31:O42)</f>
        <v>88457.920000000013</v>
      </c>
      <c r="P43" s="96">
        <f>SUM(P31:P42)</f>
        <v>1124899.2402128561</v>
      </c>
      <c r="T43" s="98" t="s">
        <v>51</v>
      </c>
      <c r="U43" s="99"/>
      <c r="V43" s="99"/>
      <c r="W43" s="100">
        <f t="shared" si="95"/>
        <v>100518344.09198484</v>
      </c>
      <c r="X43" s="101">
        <f t="shared" si="95"/>
        <v>663421.07100710005</v>
      </c>
      <c r="Y43" s="102">
        <f t="shared" si="95"/>
        <v>140447930.06235033</v>
      </c>
      <c r="Z43" s="102">
        <f t="shared" si="95"/>
        <v>463478.16920575616</v>
      </c>
      <c r="AA43" s="103">
        <f t="shared" ref="AA43" si="98">W43+Y43</f>
        <v>240966274.15433517</v>
      </c>
      <c r="AB43" s="104">
        <f t="shared" ref="AB43" si="99">X43+Z43</f>
        <v>1126899.2402128563</v>
      </c>
    </row>
    <row r="44" spans="1:28" ht="15.75" thickBot="1" x14ac:dyDescent="0.3">
      <c r="A44" s="97"/>
      <c r="B44" s="97"/>
      <c r="C44" s="97"/>
    </row>
    <row r="45" spans="1:28" ht="15.75" thickBot="1" x14ac:dyDescent="0.3">
      <c r="A45" s="97"/>
      <c r="B45" s="97"/>
      <c r="C45" s="97"/>
      <c r="T45" s="129" t="s">
        <v>59</v>
      </c>
      <c r="U45" s="130"/>
      <c r="V45" s="130"/>
      <c r="W45" s="132">
        <f>W43*35.08*$C$9/1000000000</f>
        <v>2.4827858105097533</v>
      </c>
      <c r="X45" s="135"/>
      <c r="Y45" s="134">
        <f>Y43*38.45*$C$9/1000000000</f>
        <v>3.8022969524708614</v>
      </c>
      <c r="Z45" s="134"/>
      <c r="AA45" s="133">
        <f>SUM(W45,Y45)</f>
        <v>6.2850827629806147</v>
      </c>
      <c r="AB45" s="131"/>
    </row>
  </sheetData>
  <mergeCells count="40">
    <mergeCell ref="AR14:AU14"/>
    <mergeCell ref="AV14:AY14"/>
    <mergeCell ref="D14:G14"/>
    <mergeCell ref="H14:K14"/>
    <mergeCell ref="L14:O14"/>
    <mergeCell ref="P14:S14"/>
    <mergeCell ref="T14:W14"/>
    <mergeCell ref="X14:AA14"/>
    <mergeCell ref="N15:O15"/>
    <mergeCell ref="AB14:AE14"/>
    <mergeCell ref="AF14:AI14"/>
    <mergeCell ref="AJ14:AM14"/>
    <mergeCell ref="AN14:AQ14"/>
    <mergeCell ref="P15:Q15"/>
    <mergeCell ref="R15:S15"/>
    <mergeCell ref="T15:U15"/>
    <mergeCell ref="V15:W15"/>
    <mergeCell ref="X15:Y15"/>
    <mergeCell ref="AP15:AQ15"/>
    <mergeCell ref="D15:E15"/>
    <mergeCell ref="F15:G15"/>
    <mergeCell ref="H15:I15"/>
    <mergeCell ref="J15:K15"/>
    <mergeCell ref="L15:M15"/>
    <mergeCell ref="AR15:AS15"/>
    <mergeCell ref="AT15:AU15"/>
    <mergeCell ref="AV15:AW15"/>
    <mergeCell ref="AX15:AY15"/>
    <mergeCell ref="W30:AB30"/>
    <mergeCell ref="W31:X31"/>
    <mergeCell ref="Y31:Z31"/>
    <mergeCell ref="AA31:AB31"/>
    <mergeCell ref="AN15:AO15"/>
    <mergeCell ref="AB15:AC15"/>
    <mergeCell ref="AD15:AE15"/>
    <mergeCell ref="AF15:AG15"/>
    <mergeCell ref="AH15:AI15"/>
    <mergeCell ref="AJ15:AK15"/>
    <mergeCell ref="AL15:AM15"/>
    <mergeCell ref="Z15:AA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56"/>
  <sheetViews>
    <sheetView workbookViewId="0">
      <selection activeCell="O64" sqref="O64"/>
    </sheetView>
  </sheetViews>
  <sheetFormatPr defaultColWidth="9.140625" defaultRowHeight="15" x14ac:dyDescent="0.25"/>
  <cols>
    <col min="1" max="1" width="12.28515625" style="183" bestFit="1" customWidth="1"/>
    <col min="2" max="2" width="4.42578125" style="183" bestFit="1" customWidth="1"/>
    <col min="3" max="7" width="9" style="183" bestFit="1" customWidth="1"/>
    <col min="8" max="8" width="9" style="183" customWidth="1"/>
    <col min="9" max="9" width="9.85546875" style="183" customWidth="1"/>
    <col min="10" max="16384" width="9.140625" style="183"/>
  </cols>
  <sheetData>
    <row r="1" spans="1:8" ht="23.25" x14ac:dyDescent="0.25">
      <c r="A1" s="182" t="s">
        <v>37</v>
      </c>
      <c r="B1" s="182"/>
      <c r="C1" s="244" t="s">
        <v>64</v>
      </c>
      <c r="D1" s="244"/>
      <c r="E1" s="244"/>
      <c r="F1" s="244"/>
      <c r="G1" s="244"/>
      <c r="H1" s="199"/>
    </row>
    <row r="2" spans="1:8" s="184" customFormat="1" x14ac:dyDescent="0.25">
      <c r="C2" s="184">
        <v>2015</v>
      </c>
      <c r="D2" s="184">
        <v>2016</v>
      </c>
      <c r="E2" s="184">
        <v>2017</v>
      </c>
      <c r="F2" s="184">
        <v>2018</v>
      </c>
      <c r="G2" s="184">
        <v>2019</v>
      </c>
      <c r="H2" s="184">
        <v>2020</v>
      </c>
    </row>
    <row r="3" spans="1:8" x14ac:dyDescent="0.25">
      <c r="A3" s="183" t="s">
        <v>5</v>
      </c>
      <c r="B3" s="183">
        <v>7</v>
      </c>
      <c r="C3" s="183">
        <f ca="1">Litres!C3*0.73/1000</f>
        <v>4095.7683261754737</v>
      </c>
      <c r="D3" s="183">
        <f ca="1">Litres!D3*0.73/1000</f>
        <v>4047.482856002609</v>
      </c>
      <c r="E3" s="183">
        <f ca="1">Litres!E3*0.73/1000</f>
        <v>4514.3768753219993</v>
      </c>
      <c r="F3" s="183">
        <f ca="1">Litres!F3*0.73/1000</f>
        <v>4233.8373063118197</v>
      </c>
      <c r="G3" s="183">
        <f ca="1">Litres!G3*0.73/1000</f>
        <v>4438.1652571375498</v>
      </c>
      <c r="H3" s="183">
        <f ca="1">Litres!H3*0.73/1000</f>
        <v>4299.3235559235891</v>
      </c>
    </row>
    <row r="4" spans="1:8" x14ac:dyDescent="0.25">
      <c r="A4" s="183" t="s">
        <v>26</v>
      </c>
      <c r="B4" s="183">
        <v>8</v>
      </c>
      <c r="C4" s="183">
        <f ca="1">Litres!C4*0.73/1000</f>
        <v>4161.5399145251858</v>
      </c>
      <c r="D4" s="183">
        <f ca="1">Litres!D4*0.73/1000</f>
        <v>4013.0610964884249</v>
      </c>
      <c r="E4" s="183">
        <f ca="1">Litres!E4*0.73/1000</f>
        <v>4343.7471331049992</v>
      </c>
      <c r="F4" s="183">
        <f ca="1">Litres!F4*0.73/1000</f>
        <v>5166.3325354274994</v>
      </c>
      <c r="G4" s="183">
        <f ca="1">Litres!G4*0.73/1000</f>
        <v>4589.3785077250786</v>
      </c>
      <c r="H4" s="183">
        <f ca="1">Litres!H4*0.73/1000</f>
        <v>4423.7232257415899</v>
      </c>
    </row>
    <row r="5" spans="1:8" x14ac:dyDescent="0.25">
      <c r="A5" s="183" t="s">
        <v>27</v>
      </c>
      <c r="B5" s="183">
        <v>9</v>
      </c>
      <c r="C5" s="183">
        <f ca="1">Litres!C5*0.73/1000</f>
        <v>3560.3632047461524</v>
      </c>
      <c r="D5" s="183">
        <f ca="1">Litres!D5*0.73/1000</f>
        <v>4203.3356438449182</v>
      </c>
      <c r="E5" s="183">
        <f ca="1">Litres!E5*0.73/1000</f>
        <v>4747.4844250023298</v>
      </c>
      <c r="F5" s="183">
        <f ca="1">Litres!F5*0.73/1000</f>
        <v>4454.6455123552196</v>
      </c>
      <c r="G5" s="183">
        <f ca="1">Litres!G5*0.73/1000</f>
        <v>4549.1545154900987</v>
      </c>
      <c r="H5" s="183">
        <f ca="1">Litres!H5*0.73/1000</f>
        <v>4522.169836730729</v>
      </c>
    </row>
    <row r="6" spans="1:8" x14ac:dyDescent="0.25">
      <c r="A6" s="183" t="s">
        <v>28</v>
      </c>
      <c r="B6" s="183">
        <v>10</v>
      </c>
      <c r="C6" s="183">
        <f ca="1">Litres!C6*0.73/1000</f>
        <v>4542.9548900303016</v>
      </c>
      <c r="D6" s="183">
        <f ca="1">Litres!D6*0.73/1000</f>
        <v>4721.3684430086614</v>
      </c>
      <c r="E6" s="183">
        <f ca="1">Litres!E6*0.73/1000</f>
        <v>4153.7131682714398</v>
      </c>
      <c r="F6" s="183">
        <f ca="1">Litres!F6*0.73/1000</f>
        <v>4940.9397996601801</v>
      </c>
      <c r="G6" s="183">
        <f ca="1">Litres!G6*0.73/1000</f>
        <v>4784.8774774314888</v>
      </c>
      <c r="H6" s="183">
        <f ca="1">Litres!H6*0.73/1000</f>
        <v>4608.4053669609002</v>
      </c>
    </row>
    <row r="7" spans="1:8" x14ac:dyDescent="0.25">
      <c r="A7" s="183" t="s">
        <v>29</v>
      </c>
      <c r="B7" s="183">
        <v>11</v>
      </c>
      <c r="C7" s="183">
        <f ca="1">Litres!C7*0.73/1000</f>
        <v>4388.4640247005955</v>
      </c>
      <c r="D7" s="183">
        <f ca="1">Litres!D7*0.73/1000</f>
        <v>4733.5397178133799</v>
      </c>
      <c r="E7" s="183">
        <f ca="1">Litres!E7*0.73/1000</f>
        <v>4281.945221296739</v>
      </c>
      <c r="F7" s="183">
        <f ca="1">Litres!F7*0.73/1000</f>
        <v>4845.2499952664693</v>
      </c>
      <c r="G7" s="183">
        <f ca="1">Litres!G7*0.73/1000</f>
        <v>4728.0170377859995</v>
      </c>
      <c r="H7" s="183">
        <f ca="1">Litres!H7*0.73/1000</f>
        <v>4764.7067833133997</v>
      </c>
    </row>
    <row r="8" spans="1:8" x14ac:dyDescent="0.25">
      <c r="A8" s="183" t="s">
        <v>30</v>
      </c>
      <c r="B8" s="183">
        <v>12</v>
      </c>
      <c r="C8" s="183">
        <f ca="1">Litres!C8*0.73/1000</f>
        <v>4865.5697452348586</v>
      </c>
      <c r="D8" s="183">
        <f ca="1">Litres!D8*0.73/1000</f>
        <v>4883.4749860183028</v>
      </c>
      <c r="E8" s="183">
        <f ca="1">Litres!E8*0.73/1000</f>
        <v>5346.8891426718892</v>
      </c>
      <c r="F8" s="183">
        <f ca="1">Litres!F8*0.73/1000</f>
        <v>5324.7205269232199</v>
      </c>
      <c r="G8" s="183">
        <f ca="1">Litres!G8*0.73/1000</f>
        <v>5152.9818242489991</v>
      </c>
      <c r="H8" s="183">
        <f ca="1">Litres!H8*0.73/1000</f>
        <v>5086.0318767711296</v>
      </c>
    </row>
    <row r="9" spans="1:8" x14ac:dyDescent="0.25">
      <c r="A9" s="183" t="s">
        <v>31</v>
      </c>
      <c r="B9" s="183">
        <v>1</v>
      </c>
      <c r="C9" s="183">
        <f ca="1">Litres!C9*0.73/1000</f>
        <v>4376.7141924341813</v>
      </c>
      <c r="D9" s="183">
        <f ca="1">Litres!D9*0.73/1000</f>
        <v>3927.4519118978374</v>
      </c>
      <c r="E9" s="183">
        <f ca="1">Litres!E9*0.73/1000</f>
        <v>4440.6587348392204</v>
      </c>
      <c r="F9" s="183">
        <f ca="1">Litres!F9*0.73/1000</f>
        <v>4978.5025879977293</v>
      </c>
      <c r="G9" s="183">
        <f ca="1">Litres!G9*0.73/1000</f>
        <v>4822.5172208009999</v>
      </c>
      <c r="H9" s="183">
        <f ca="1">Litres!H9*0.73/1000</f>
        <v>4851.1885316103599</v>
      </c>
    </row>
    <row r="10" spans="1:8" x14ac:dyDescent="0.25">
      <c r="A10" s="183" t="s">
        <v>32</v>
      </c>
      <c r="B10" s="183">
        <v>2</v>
      </c>
      <c r="C10" s="183">
        <f ca="1">Litres!C10*0.73/1000</f>
        <v>4358.7012142959084</v>
      </c>
      <c r="D10" s="183">
        <f ca="1">Litres!D10*0.73/1000</f>
        <v>5014.3737791129097</v>
      </c>
      <c r="E10" s="183">
        <f ca="1">Litres!E10*0.73/1000</f>
        <v>4812.0916746250805</v>
      </c>
      <c r="F10" s="183">
        <f ca="1">Litres!F10*0.73/1000</f>
        <v>4825.513609813589</v>
      </c>
      <c r="G10" s="183">
        <f ca="1">Litres!G10*0.73/1000</f>
        <v>4748.2452323009993</v>
      </c>
      <c r="H10" s="183">
        <f ca="1">Litres!H10*0.73/1000</f>
        <v>4546.7190932977801</v>
      </c>
    </row>
    <row r="11" spans="1:8" x14ac:dyDescent="0.25">
      <c r="A11" s="183" t="s">
        <v>33</v>
      </c>
      <c r="B11" s="183">
        <v>3</v>
      </c>
      <c r="C11" s="183">
        <f ca="1">Litres!C11*0.73/1000</f>
        <v>4840.4470878287266</v>
      </c>
      <c r="D11" s="183">
        <f ca="1">Litres!D11*0.73/1000</f>
        <v>5146.7162495789989</v>
      </c>
      <c r="E11" s="183">
        <f ca="1">Litres!E11*0.73/1000</f>
        <v>4691.4911686467894</v>
      </c>
      <c r="F11" s="183">
        <f ca="1">Litres!F11*0.73/1000</f>
        <v>5343.8018385774594</v>
      </c>
      <c r="G11" s="183">
        <f ca="1">Litres!G11*0.73/1000</f>
        <v>4780.35591699</v>
      </c>
      <c r="H11" s="183">
        <f ca="1">Litres!H11*0.73/1000</f>
        <v>4293.9067944337194</v>
      </c>
    </row>
    <row r="12" spans="1:8" x14ac:dyDescent="0.25">
      <c r="A12" s="183" t="s">
        <v>34</v>
      </c>
      <c r="B12" s="183">
        <v>4</v>
      </c>
      <c r="C12" s="183">
        <f ca="1">Litres!C12*0.73/1000</f>
        <v>4345.0244680121823</v>
      </c>
      <c r="D12" s="183">
        <f ca="1">Litres!D12*0.73/1000</f>
        <v>4111.3203679319467</v>
      </c>
      <c r="E12" s="183">
        <f ca="1">Litres!E12*0.73/1000</f>
        <v>4677.251367796679</v>
      </c>
      <c r="F12" s="183">
        <f ca="1">Litres!F12*0.73/1000</f>
        <v>4325.39225289759</v>
      </c>
      <c r="G12" s="183">
        <f ca="1">Litres!G12*0.73/1000</f>
        <v>4742.5589277419995</v>
      </c>
      <c r="H12" s="183">
        <f ca="1">Litres!H12*0.73/1000</f>
        <v>1104.6446276166901</v>
      </c>
    </row>
    <row r="13" spans="1:8" x14ac:dyDescent="0.25">
      <c r="A13" s="183" t="s">
        <v>35</v>
      </c>
      <c r="B13" s="183">
        <v>5</v>
      </c>
      <c r="C13" s="183">
        <f ca="1">Litres!C13*0.73/1000</f>
        <v>4134.615140941818</v>
      </c>
      <c r="D13" s="183">
        <f ca="1">Litres!D13*0.73/1000</f>
        <v>4595.162183118</v>
      </c>
      <c r="E13" s="183">
        <f ca="1">Litres!E13*0.73/1000</f>
        <v>4703.2010805311093</v>
      </c>
      <c r="F13" s="183">
        <f ca="1">Litres!F13*0.73/1000</f>
        <v>4656.4001161070091</v>
      </c>
      <c r="G13" s="183">
        <f ca="1">Litres!G13*0.73/1000</f>
        <v>4643.2652460089994</v>
      </c>
      <c r="H13" s="183">
        <f ca="1">Litres!H13*0.73/1000</f>
        <v>3416.1780437408993</v>
      </c>
    </row>
    <row r="14" spans="1:8" x14ac:dyDescent="0.25">
      <c r="A14" s="183" t="s">
        <v>36</v>
      </c>
      <c r="B14" s="183">
        <v>6</v>
      </c>
      <c r="C14" s="183">
        <f ca="1">Litres!C14*0.73/1000</f>
        <v>3995.5630259461818</v>
      </c>
      <c r="D14" s="183">
        <f ca="1">Litres!D14*0.73/1000</f>
        <v>4446.6716511101395</v>
      </c>
      <c r="E14" s="183">
        <f ca="1">Litres!E14*0.73/1000</f>
        <v>4486.6225588642192</v>
      </c>
      <c r="F14" s="183">
        <f ca="1">Litres!F14*0.73/1000</f>
        <v>4286.8357516132792</v>
      </c>
      <c r="G14" s="183">
        <f ca="1">Litres!G14*0.73/1000</f>
        <v>4090.0710278849992</v>
      </c>
      <c r="H14" s="183">
        <f ca="1">Litres!H14*0.73/1000</f>
        <v>4196.69030233176</v>
      </c>
    </row>
    <row r="15" spans="1:8" x14ac:dyDescent="0.25">
      <c r="H15" s="183">
        <f>Litres!H15*0.73/1000</f>
        <v>0</v>
      </c>
    </row>
    <row r="16" spans="1:8" x14ac:dyDescent="0.25">
      <c r="A16" s="183" t="s">
        <v>51</v>
      </c>
      <c r="C16" s="183">
        <f ca="1">SUM(C3:C14)</f>
        <v>51665.725234871563</v>
      </c>
      <c r="D16" s="183">
        <f t="shared" ref="D16:E16" ca="1" si="0">SUM(D3:D14)</f>
        <v>53843.958885926128</v>
      </c>
      <c r="E16" s="183">
        <f t="shared" ca="1" si="0"/>
        <v>55199.472550972496</v>
      </c>
      <c r="F16" s="183">
        <f t="shared" ref="F16:G16" ca="1" si="1">SUM(F3:F14)</f>
        <v>57382.171832951062</v>
      </c>
      <c r="G16" s="183">
        <f t="shared" ca="1" si="1"/>
        <v>56069.588191547213</v>
      </c>
      <c r="H16" s="183">
        <f ca="1">Litres!H16*0.73/1000</f>
        <v>50113.688038472537</v>
      </c>
    </row>
    <row r="17" spans="1:8" x14ac:dyDescent="0.25">
      <c r="A17" s="183" t="s">
        <v>63</v>
      </c>
      <c r="C17" s="183">
        <f ca="1">MAX(C3:C14)</f>
        <v>4865.5697452348586</v>
      </c>
      <c r="D17" s="183">
        <f t="shared" ref="D17:E17" ca="1" si="2">MAX(D3:D14)</f>
        <v>5146.7162495789989</v>
      </c>
      <c r="E17" s="183">
        <f t="shared" ca="1" si="2"/>
        <v>5346.8891426718892</v>
      </c>
      <c r="F17" s="183">
        <f t="shared" ref="F17:G17" ca="1" si="3">MAX(F3:F14)</f>
        <v>5343.8018385774594</v>
      </c>
      <c r="G17" s="183">
        <f t="shared" ca="1" si="3"/>
        <v>5152.9818242489991</v>
      </c>
      <c r="H17" s="183">
        <f ca="1">Litres!H17*0.73/1000</f>
        <v>5086.0318767711296</v>
      </c>
    </row>
    <row r="18" spans="1:8" x14ac:dyDescent="0.25">
      <c r="A18" s="183" t="s">
        <v>62</v>
      </c>
      <c r="C18" s="183">
        <f ca="1">MIN(C3:C14)</f>
        <v>3560.3632047461524</v>
      </c>
      <c r="D18" s="183">
        <f t="shared" ref="D18:E18" ca="1" si="4">MIN(D3:D14)</f>
        <v>3927.4519118978374</v>
      </c>
      <c r="E18" s="183">
        <f t="shared" ca="1" si="4"/>
        <v>4153.7131682714398</v>
      </c>
      <c r="F18" s="183">
        <f t="shared" ref="F18:G18" ca="1" si="5">MIN(F3:F14)</f>
        <v>4233.8373063118197</v>
      </c>
      <c r="G18" s="183">
        <f t="shared" ca="1" si="5"/>
        <v>4090.0710278849992</v>
      </c>
      <c r="H18" s="183">
        <f ca="1">Litres!H18*0.73/1000</f>
        <v>1104.6446276166901</v>
      </c>
    </row>
    <row r="20" spans="1:8" ht="23.25" x14ac:dyDescent="0.25">
      <c r="A20" s="182" t="s">
        <v>38</v>
      </c>
      <c r="B20" s="182"/>
      <c r="C20" s="244" t="s">
        <v>64</v>
      </c>
      <c r="D20" s="244"/>
      <c r="E20" s="244"/>
      <c r="F20" s="244"/>
      <c r="G20" s="244"/>
      <c r="H20" s="199"/>
    </row>
    <row r="21" spans="1:8" s="184" customFormat="1" x14ac:dyDescent="0.25">
      <c r="C21" s="184">
        <v>2015</v>
      </c>
      <c r="D21" s="184">
        <v>2016</v>
      </c>
      <c r="E21" s="184">
        <v>2017</v>
      </c>
      <c r="F21" s="184">
        <v>2018</v>
      </c>
      <c r="G21" s="184">
        <v>2019</v>
      </c>
      <c r="H21" s="184">
        <v>2020</v>
      </c>
    </row>
    <row r="22" spans="1:8" x14ac:dyDescent="0.25">
      <c r="A22" s="183" t="s">
        <v>5</v>
      </c>
      <c r="B22" s="183">
        <v>7</v>
      </c>
      <c r="C22" s="183">
        <f ca="1">Litres!C22*0.83/1000</f>
        <v>6045.8169396296244</v>
      </c>
      <c r="D22" s="183">
        <f ca="1">Litres!D22*0.83/1000</f>
        <v>6812.772461521171</v>
      </c>
      <c r="E22" s="183">
        <f ca="1">Litres!E22*0.83/1000</f>
        <v>6394.5488890050574</v>
      </c>
      <c r="F22" s="183">
        <f ca="1">Litres!F22*0.83/1000</f>
        <v>6465.8731898757187</v>
      </c>
      <c r="G22" s="183">
        <f ca="1">Litres!G22*0.83/1000</f>
        <v>7927.8278455558357</v>
      </c>
      <c r="H22" s="183">
        <f ca="1">Litres!H22*0.83/1000</f>
        <v>8024.0441969917674</v>
      </c>
    </row>
    <row r="23" spans="1:8" x14ac:dyDescent="0.25">
      <c r="A23" s="183" t="s">
        <v>26</v>
      </c>
      <c r="B23" s="183">
        <v>8</v>
      </c>
      <c r="C23" s="183">
        <f ca="1">Litres!C23*0.83/1000</f>
        <v>6064.4056484809635</v>
      </c>
      <c r="D23" s="183">
        <f ca="1">Litres!D23*0.83/1000</f>
        <v>6805.3216730868944</v>
      </c>
      <c r="E23" s="183">
        <f ca="1">Litres!E23*0.83/1000</f>
        <v>7817.9243172896522</v>
      </c>
      <c r="F23" s="183">
        <f ca="1">Litres!F23*0.83/1000</f>
        <v>8045.9429654604764</v>
      </c>
      <c r="G23" s="183">
        <f ca="1">Litres!G23*0.83/1000</f>
        <v>8041.5576095140377</v>
      </c>
      <c r="H23" s="183">
        <f ca="1">Litres!H23*0.83/1000</f>
        <v>7830.2998057556752</v>
      </c>
    </row>
    <row r="24" spans="1:8" x14ac:dyDescent="0.25">
      <c r="A24" s="183" t="s">
        <v>27</v>
      </c>
      <c r="B24" s="183">
        <v>9</v>
      </c>
      <c r="C24" s="183">
        <f ca="1">Litres!C24*0.83/1000</f>
        <v>6285.4479777135793</v>
      </c>
      <c r="D24" s="183">
        <f ca="1">Litres!D24*0.83/1000</f>
        <v>7155.4334323439698</v>
      </c>
      <c r="E24" s="183">
        <f ca="1">Litres!E24*0.83/1000</f>
        <v>7586.4522796560123</v>
      </c>
      <c r="F24" s="183">
        <f ca="1">Litres!F24*0.83/1000</f>
        <v>7294.2656150023731</v>
      </c>
      <c r="G24" s="183">
        <f ca="1">Litres!G24*0.83/1000</f>
        <v>8653.55599650572</v>
      </c>
      <c r="H24" s="183">
        <f ca="1">Litres!H24*0.83/1000</f>
        <v>8545.7535644070103</v>
      </c>
    </row>
    <row r="25" spans="1:8" x14ac:dyDescent="0.25">
      <c r="A25" s="183" t="s">
        <v>28</v>
      </c>
      <c r="B25" s="183">
        <v>10</v>
      </c>
      <c r="C25" s="183">
        <f ca="1">Litres!C25*0.83/1000</f>
        <v>7128.7545489495897</v>
      </c>
      <c r="D25" s="183">
        <f ca="1">Litres!D25*0.83/1000</f>
        <v>7245.0664871574972</v>
      </c>
      <c r="E25" s="183">
        <f ca="1">Litres!E25*0.83/1000</f>
        <v>5603.457504170352</v>
      </c>
      <c r="F25" s="183">
        <f ca="1">Litres!F25*0.83/1000</f>
        <v>8322.2958117724957</v>
      </c>
      <c r="G25" s="183">
        <f ca="1">Litres!G25*0.83/1000</f>
        <v>9675.7713625084198</v>
      </c>
      <c r="H25" s="183">
        <f ca="1">Litres!H25*0.83/1000</f>
        <v>9353.9715303662852</v>
      </c>
    </row>
    <row r="26" spans="1:8" x14ac:dyDescent="0.25">
      <c r="A26" s="183" t="s">
        <v>29</v>
      </c>
      <c r="B26" s="183">
        <v>11</v>
      </c>
      <c r="C26" s="183">
        <f ca="1">Litres!C26*0.83/1000</f>
        <v>6961.4570398695405</v>
      </c>
      <c r="D26" s="183">
        <f ca="1">Litres!D26*0.83/1000</f>
        <v>7642.4576033632802</v>
      </c>
      <c r="E26" s="183">
        <f ca="1">Litres!E26*0.83/1000</f>
        <v>5837.3751806050586</v>
      </c>
      <c r="F26" s="183">
        <f ca="1">Litres!F26*0.83/1000</f>
        <v>8728.46529475846</v>
      </c>
      <c r="G26" s="183">
        <f ca="1">Litres!G26*0.83/1000</f>
        <v>9531.1624459007326</v>
      </c>
      <c r="H26" s="183">
        <f ca="1">Litres!H26*0.83/1000</f>
        <v>9569.3238956206023</v>
      </c>
    </row>
    <row r="27" spans="1:8" x14ac:dyDescent="0.25">
      <c r="A27" s="183" t="s">
        <v>30</v>
      </c>
      <c r="B27" s="183">
        <v>12</v>
      </c>
      <c r="C27" s="183">
        <f ca="1">Litres!C27*0.83/1000</f>
        <v>6694.8069000624182</v>
      </c>
      <c r="D27" s="183">
        <f ca="1">Litres!D27*0.83/1000</f>
        <v>7959.1573875425556</v>
      </c>
      <c r="E27" s="183">
        <f ca="1">Litres!E27*0.83/1000</f>
        <v>7446.9561874689671</v>
      </c>
      <c r="F27" s="183">
        <f ca="1">Litres!F27*0.83/1000</f>
        <v>7648.9339315463394</v>
      </c>
      <c r="G27" s="183">
        <f ca="1">Litres!G27*0.83/1000</f>
        <v>9022.2619259290186</v>
      </c>
      <c r="H27" s="183">
        <f ca="1">Litres!H27*0.83/1000</f>
        <v>9072.2419363513727</v>
      </c>
    </row>
    <row r="28" spans="1:8" x14ac:dyDescent="0.25">
      <c r="A28" s="183" t="s">
        <v>31</v>
      </c>
      <c r="B28" s="183">
        <v>1</v>
      </c>
      <c r="C28" s="183">
        <f ca="1">Litres!C28*0.83/1000</f>
        <v>7207.0031529643629</v>
      </c>
      <c r="D28" s="183">
        <f ca="1">Litres!D28*0.83/1000</f>
        <v>8129.8332838187134</v>
      </c>
      <c r="E28" s="183">
        <f ca="1">Litres!E28*0.83/1000</f>
        <v>7212.1942675724322</v>
      </c>
      <c r="F28" s="183">
        <f ca="1">Litres!F28*0.83/1000</f>
        <v>7561.3322801988606</v>
      </c>
      <c r="G28" s="183">
        <f ca="1">Litres!G28*0.83/1000</f>
        <v>8933.1643585169131</v>
      </c>
      <c r="H28" s="183">
        <f ca="1">Litres!H28*0.83/1000</f>
        <v>8721.6259393123946</v>
      </c>
    </row>
    <row r="29" spans="1:8" x14ac:dyDescent="0.25">
      <c r="A29" s="183" t="s">
        <v>32</v>
      </c>
      <c r="B29" s="183">
        <v>2</v>
      </c>
      <c r="C29" s="183">
        <f ca="1">Litres!C29*0.83/1000</f>
        <v>7177.3417255718177</v>
      </c>
      <c r="D29" s="183">
        <f ca="1">Litres!D29*0.83/1000</f>
        <v>7194.7039622174389</v>
      </c>
      <c r="E29" s="183">
        <f ca="1">Litres!E29*0.83/1000</f>
        <v>6809.7819948189172</v>
      </c>
      <c r="F29" s="183">
        <f ca="1">Litres!F29*0.83/1000</f>
        <v>7307.2803694961303</v>
      </c>
      <c r="G29" s="183">
        <f ca="1">Litres!G29*0.83/1000</f>
        <v>8417.998576604612</v>
      </c>
      <c r="H29" s="183">
        <f ca="1">Litres!H29*0.83/1000</f>
        <v>9009.0916390555085</v>
      </c>
    </row>
    <row r="30" spans="1:8" x14ac:dyDescent="0.25">
      <c r="A30" s="183" t="s">
        <v>33</v>
      </c>
      <c r="B30" s="183">
        <v>3</v>
      </c>
      <c r="C30" s="183">
        <f ca="1">Litres!C30*0.83/1000</f>
        <v>7970.6181143934537</v>
      </c>
      <c r="D30" s="183">
        <f ca="1">Litres!D30*0.83/1000</f>
        <v>7371.580742980319</v>
      </c>
      <c r="E30" s="183">
        <f ca="1">Litres!E30*0.83/1000</f>
        <v>8930.1981405277802</v>
      </c>
      <c r="F30" s="183">
        <f ca="1">Litres!F30*0.83/1000</f>
        <v>8258.6164050373827</v>
      </c>
      <c r="G30" s="183">
        <f ca="1">Litres!G30*0.83/1000</f>
        <v>9815.0941075964784</v>
      </c>
      <c r="H30" s="183">
        <f ca="1">Litres!H30*0.83/1000</f>
        <v>8464.4547747570632</v>
      </c>
    </row>
    <row r="31" spans="1:8" x14ac:dyDescent="0.25">
      <c r="A31" s="183" t="s">
        <v>34</v>
      </c>
      <c r="B31" s="183">
        <v>4</v>
      </c>
      <c r="C31" s="183">
        <f ca="1">Litres!C31*0.83/1000</f>
        <v>7154.8206402883625</v>
      </c>
      <c r="D31" s="183">
        <f ca="1">Litres!D31*0.83/1000</f>
        <v>8154.610938867233</v>
      </c>
      <c r="E31" s="183">
        <f ca="1">Litres!E31*0.83/1000</f>
        <v>6472.9336477954766</v>
      </c>
      <c r="F31" s="183">
        <f ca="1">Litres!F31*0.83/1000</f>
        <v>8450.5466416191794</v>
      </c>
      <c r="G31" s="183">
        <f ca="1">Litres!G31*0.83/1000</f>
        <v>8310.0543575823103</v>
      </c>
      <c r="H31" s="183">
        <f ca="1">Litres!H31*0.83/1000</f>
        <v>4177.3577919570052</v>
      </c>
    </row>
    <row r="32" spans="1:8" x14ac:dyDescent="0.25">
      <c r="A32" s="183" t="s">
        <v>35</v>
      </c>
      <c r="B32" s="183">
        <v>5</v>
      </c>
      <c r="C32" s="183">
        <f ca="1">Litres!C32*0.83/1000</f>
        <v>6808.3459524436357</v>
      </c>
      <c r="D32" s="183">
        <f ca="1">Litres!D32*0.83/1000</f>
        <v>7432.4984645760005</v>
      </c>
      <c r="E32" s="183">
        <f ca="1">Litres!E32*0.83/1000</f>
        <v>7388.4463585117746</v>
      </c>
      <c r="F32" s="183">
        <f ca="1">Litres!F32*0.83/1000</f>
        <v>8252.5543139184028</v>
      </c>
      <c r="G32" s="183">
        <f ca="1">Litres!G32*0.83/1000</f>
        <v>9309.150234660372</v>
      </c>
      <c r="H32" s="183">
        <f ca="1">Litres!H32*0.83/1000</f>
        <v>8237.2993131692783</v>
      </c>
    </row>
    <row r="33" spans="1:8" x14ac:dyDescent="0.25">
      <c r="A33" s="183" t="s">
        <v>36</v>
      </c>
      <c r="B33" s="183">
        <v>6</v>
      </c>
      <c r="C33" s="183">
        <f ca="1">Litres!C33*0.83/1000</f>
        <v>6579.373031860363</v>
      </c>
      <c r="D33" s="183">
        <f ca="1">Litres!D33*0.83/1000</f>
        <v>6189.1825844623199</v>
      </c>
      <c r="E33" s="183">
        <f ca="1">Litres!E33*0.83/1000</f>
        <v>6489.2567599419544</v>
      </c>
      <c r="F33" s="183">
        <f ca="1">Litres!F33*0.83/1000</f>
        <v>7468.1659583701257</v>
      </c>
      <c r="G33" s="183">
        <f ca="1">Litres!G33*0.83/1000</f>
        <v>7662.0528615134617</v>
      </c>
      <c r="H33" s="183">
        <f ca="1">Litres!H33*0.83/1000</f>
        <v>8259.9765737599664</v>
      </c>
    </row>
    <row r="34" spans="1:8" x14ac:dyDescent="0.25">
      <c r="H34" s="183">
        <f>Litres!H34*0.83/1000</f>
        <v>0</v>
      </c>
    </row>
    <row r="35" spans="1:8" x14ac:dyDescent="0.25">
      <c r="A35" s="183" t="s">
        <v>51</v>
      </c>
      <c r="C35" s="183">
        <f ca="1">SUM(C22:C33)</f>
        <v>82078.191672227695</v>
      </c>
      <c r="D35" s="183">
        <f t="shared" ref="D35:E35" ca="1" si="6">SUM(D22:D33)</f>
        <v>88092.619021937397</v>
      </c>
      <c r="E35" s="183">
        <f t="shared" ca="1" si="6"/>
        <v>83989.525527363439</v>
      </c>
      <c r="F35" s="183">
        <f t="shared" ref="F35:G35" ca="1" si="7">SUM(F22:F33)</f>
        <v>93804.272777055943</v>
      </c>
      <c r="G35" s="183">
        <f t="shared" ca="1" si="7"/>
        <v>105299.65168238792</v>
      </c>
      <c r="H35" s="183">
        <f ca="1">Litres!H35*0.83/1000</f>
        <v>99265.440961503904</v>
      </c>
    </row>
    <row r="36" spans="1:8" x14ac:dyDescent="0.25">
      <c r="A36" s="183" t="s">
        <v>63</v>
      </c>
      <c r="C36" s="183">
        <f ca="1">MAX(C22:C33)</f>
        <v>7970.6181143934537</v>
      </c>
      <c r="D36" s="183">
        <f t="shared" ref="D36:E36" ca="1" si="8">MAX(D22:D33)</f>
        <v>8154.610938867233</v>
      </c>
      <c r="E36" s="183">
        <f t="shared" ca="1" si="8"/>
        <v>8930.1981405277802</v>
      </c>
      <c r="F36" s="183">
        <f t="shared" ref="F36:G36" ca="1" si="9">MAX(F22:F33)</f>
        <v>8728.46529475846</v>
      </c>
      <c r="G36" s="183">
        <f t="shared" ca="1" si="9"/>
        <v>9815.0941075964784</v>
      </c>
      <c r="H36" s="183">
        <f ca="1">Litres!H36*0.83/1000</f>
        <v>9569.3238956206023</v>
      </c>
    </row>
    <row r="37" spans="1:8" x14ac:dyDescent="0.25">
      <c r="A37" s="183" t="s">
        <v>62</v>
      </c>
      <c r="C37" s="183">
        <f ca="1">MIN(C22:C33)</f>
        <v>6045.8169396296244</v>
      </c>
      <c r="D37" s="183">
        <f t="shared" ref="D37:E37" ca="1" si="10">MIN(D22:D33)</f>
        <v>6189.1825844623199</v>
      </c>
      <c r="E37" s="183">
        <f t="shared" ca="1" si="10"/>
        <v>5603.457504170352</v>
      </c>
      <c r="F37" s="183">
        <f t="shared" ref="F37:G37" ca="1" si="11">MIN(F22:F33)</f>
        <v>6465.8731898757187</v>
      </c>
      <c r="G37" s="183">
        <f t="shared" ca="1" si="11"/>
        <v>7662.0528615134617</v>
      </c>
      <c r="H37" s="183">
        <f ca="1">Litres!H37*0.83/1000</f>
        <v>4177.3577919570052</v>
      </c>
    </row>
    <row r="39" spans="1:8" ht="23.25" x14ac:dyDescent="0.25">
      <c r="A39" s="182" t="s">
        <v>51</v>
      </c>
      <c r="B39" s="182"/>
      <c r="C39" s="244" t="s">
        <v>64</v>
      </c>
      <c r="D39" s="244"/>
      <c r="E39" s="244"/>
      <c r="F39" s="244"/>
      <c r="G39" s="244"/>
      <c r="H39" s="199"/>
    </row>
    <row r="40" spans="1:8" s="184" customFormat="1" x14ac:dyDescent="0.25">
      <c r="C40" s="184">
        <v>2015</v>
      </c>
      <c r="D40" s="184">
        <v>2016</v>
      </c>
      <c r="E40" s="184">
        <v>2017</v>
      </c>
      <c r="F40" s="184">
        <v>2018</v>
      </c>
      <c r="G40" s="184">
        <v>2019</v>
      </c>
      <c r="H40" s="184">
        <v>2020</v>
      </c>
    </row>
    <row r="41" spans="1:8" x14ac:dyDescent="0.25">
      <c r="A41" s="183" t="s">
        <v>5</v>
      </c>
      <c r="B41" s="183">
        <v>7</v>
      </c>
      <c r="C41" s="183">
        <f ca="1">SUM(C22,C3)</f>
        <v>10141.585265805097</v>
      </c>
      <c r="D41" s="183">
        <f ca="1">SUM(D22,C3)</f>
        <v>10908.540787696646</v>
      </c>
      <c r="E41" s="183">
        <f t="shared" ref="E41:H41" ca="1" si="12">SUM(E22,E3)</f>
        <v>10908.925764327058</v>
      </c>
      <c r="F41" s="183">
        <f t="shared" ca="1" si="12"/>
        <v>10699.710496187538</v>
      </c>
      <c r="G41" s="183">
        <f t="shared" ca="1" si="12"/>
        <v>12365.993102693385</v>
      </c>
      <c r="H41" s="183">
        <f t="shared" ca="1" si="12"/>
        <v>12323.367752915357</v>
      </c>
    </row>
    <row r="42" spans="1:8" x14ac:dyDescent="0.25">
      <c r="A42" s="183" t="s">
        <v>26</v>
      </c>
      <c r="B42" s="183">
        <v>8</v>
      </c>
      <c r="C42" s="183">
        <f ca="1">SUM(C23,C4)</f>
        <v>10225.945563006149</v>
      </c>
      <c r="D42" s="183">
        <f ca="1">SUM(D23,D4)</f>
        <v>10818.382769575319</v>
      </c>
      <c r="E42" s="183">
        <f ca="1">SUM(E23,E4)</f>
        <v>12161.671450394651</v>
      </c>
      <c r="F42" s="183">
        <f t="shared" ref="F42:H42" ca="1" si="13">SUM(F23,F4)</f>
        <v>13212.275500887976</v>
      </c>
      <c r="G42" s="183">
        <f t="shared" ca="1" si="13"/>
        <v>12630.936117239116</v>
      </c>
      <c r="H42" s="183">
        <f t="shared" ca="1" si="13"/>
        <v>12254.023031497265</v>
      </c>
    </row>
    <row r="43" spans="1:8" x14ac:dyDescent="0.25">
      <c r="A43" s="183" t="s">
        <v>27</v>
      </c>
      <c r="B43" s="183">
        <v>9</v>
      </c>
      <c r="C43" s="183">
        <f t="shared" ref="C43:E52" ca="1" si="14">SUM(C24,C5)</f>
        <v>9845.8111824597327</v>
      </c>
      <c r="D43" s="183">
        <f t="shared" ca="1" si="14"/>
        <v>11358.769076188888</v>
      </c>
      <c r="E43" s="183">
        <f t="shared" ca="1" si="14"/>
        <v>12333.936704658343</v>
      </c>
      <c r="F43" s="183">
        <f t="shared" ref="F43:H43" ca="1" si="15">SUM(F24,F5)</f>
        <v>11748.911127357593</v>
      </c>
      <c r="G43" s="183">
        <f t="shared" ca="1" si="15"/>
        <v>13202.710511995818</v>
      </c>
      <c r="H43" s="183">
        <f t="shared" ca="1" si="15"/>
        <v>13067.923401137739</v>
      </c>
    </row>
    <row r="44" spans="1:8" x14ac:dyDescent="0.25">
      <c r="A44" s="183" t="s">
        <v>28</v>
      </c>
      <c r="B44" s="183">
        <v>10</v>
      </c>
      <c r="C44" s="183">
        <f t="shared" ca="1" si="14"/>
        <v>11671.709438979891</v>
      </c>
      <c r="D44" s="183">
        <f t="shared" ca="1" si="14"/>
        <v>11966.434930166159</v>
      </c>
      <c r="E44" s="183">
        <f t="shared" ca="1" si="14"/>
        <v>9757.1706724417927</v>
      </c>
      <c r="F44" s="183">
        <f t="shared" ref="F44:H44" ca="1" si="16">SUM(F25,F6)</f>
        <v>13263.235611432676</v>
      </c>
      <c r="G44" s="183">
        <f t="shared" ca="1" si="16"/>
        <v>14460.64883993991</v>
      </c>
      <c r="H44" s="183">
        <f t="shared" ca="1" si="16"/>
        <v>13962.376897327185</v>
      </c>
    </row>
    <row r="45" spans="1:8" x14ac:dyDescent="0.25">
      <c r="A45" s="183" t="s">
        <v>29</v>
      </c>
      <c r="B45" s="183">
        <v>11</v>
      </c>
      <c r="C45" s="183">
        <f t="shared" ca="1" si="14"/>
        <v>11349.921064570135</v>
      </c>
      <c r="D45" s="183">
        <f t="shared" ca="1" si="14"/>
        <v>12375.997321176659</v>
      </c>
      <c r="E45" s="183">
        <f t="shared" ca="1" si="14"/>
        <v>10119.320401901798</v>
      </c>
      <c r="F45" s="183">
        <f t="shared" ref="F45:H45" ca="1" si="17">SUM(F26,F7)</f>
        <v>13573.715290024929</v>
      </c>
      <c r="G45" s="183">
        <f t="shared" ca="1" si="17"/>
        <v>14259.179483686732</v>
      </c>
      <c r="H45" s="183">
        <f t="shared" ca="1" si="17"/>
        <v>14334.030678934003</v>
      </c>
    </row>
    <row r="46" spans="1:8" x14ac:dyDescent="0.25">
      <c r="A46" s="183" t="s">
        <v>30</v>
      </c>
      <c r="B46" s="183">
        <v>12</v>
      </c>
      <c r="C46" s="183">
        <f t="shared" ca="1" si="14"/>
        <v>11560.376645297278</v>
      </c>
      <c r="D46" s="183">
        <f t="shared" ca="1" si="14"/>
        <v>12842.632373560858</v>
      </c>
      <c r="E46" s="183">
        <f t="shared" ca="1" si="14"/>
        <v>12793.845330140855</v>
      </c>
      <c r="F46" s="183">
        <f t="shared" ref="F46:H46" ca="1" si="18">SUM(F27,F8)</f>
        <v>12973.654458469558</v>
      </c>
      <c r="G46" s="183">
        <f t="shared" ca="1" si="18"/>
        <v>14175.243750178019</v>
      </c>
      <c r="H46" s="183">
        <f t="shared" ca="1" si="18"/>
        <v>14158.273813122501</v>
      </c>
    </row>
    <row r="47" spans="1:8" x14ac:dyDescent="0.25">
      <c r="A47" s="183" t="s">
        <v>31</v>
      </c>
      <c r="B47" s="183">
        <v>1</v>
      </c>
      <c r="C47" s="183">
        <f t="shared" ca="1" si="14"/>
        <v>11583.717345398545</v>
      </c>
      <c r="D47" s="183">
        <f t="shared" ca="1" si="14"/>
        <v>12057.285195716551</v>
      </c>
      <c r="E47" s="183">
        <f t="shared" ca="1" si="14"/>
        <v>11652.853002411652</v>
      </c>
      <c r="F47" s="183">
        <f t="shared" ref="F47:H47" ca="1" si="19">SUM(F28,F9)</f>
        <v>12539.834868196591</v>
      </c>
      <c r="G47" s="183">
        <f t="shared" ca="1" si="19"/>
        <v>13755.681579317912</v>
      </c>
      <c r="H47" s="183">
        <f t="shared" ca="1" si="19"/>
        <v>13572.814470922754</v>
      </c>
    </row>
    <row r="48" spans="1:8" x14ac:dyDescent="0.25">
      <c r="A48" s="183" t="s">
        <v>32</v>
      </c>
      <c r="B48" s="183">
        <v>2</v>
      </c>
      <c r="C48" s="183">
        <f t="shared" ca="1" si="14"/>
        <v>11536.042939867726</v>
      </c>
      <c r="D48" s="183">
        <f t="shared" ca="1" si="14"/>
        <v>12209.077741330348</v>
      </c>
      <c r="E48" s="183">
        <f t="shared" ca="1" si="14"/>
        <v>11621.873669443998</v>
      </c>
      <c r="F48" s="183">
        <f t="shared" ref="F48:H48" ca="1" si="20">SUM(F29,F10)</f>
        <v>12132.793979309719</v>
      </c>
      <c r="G48" s="183">
        <f t="shared" ca="1" si="20"/>
        <v>13166.243808905612</v>
      </c>
      <c r="H48" s="183">
        <f t="shared" ca="1" si="20"/>
        <v>13555.810732353289</v>
      </c>
    </row>
    <row r="49" spans="1:8" x14ac:dyDescent="0.25">
      <c r="A49" s="183" t="s">
        <v>33</v>
      </c>
      <c r="B49" s="183">
        <v>3</v>
      </c>
      <c r="C49" s="183">
        <f t="shared" ca="1" si="14"/>
        <v>12811.06520222218</v>
      </c>
      <c r="D49" s="183">
        <f t="shared" ca="1" si="14"/>
        <v>12518.296992559317</v>
      </c>
      <c r="E49" s="183">
        <f t="shared" ca="1" si="14"/>
        <v>13621.68930917457</v>
      </c>
      <c r="F49" s="183">
        <f t="shared" ref="F49:H49" ca="1" si="21">SUM(F30,F11)</f>
        <v>13602.418243614842</v>
      </c>
      <c r="G49" s="183">
        <f t="shared" ca="1" si="21"/>
        <v>14595.450024586478</v>
      </c>
      <c r="H49" s="183">
        <f t="shared" ca="1" si="21"/>
        <v>12758.361569190783</v>
      </c>
    </row>
    <row r="50" spans="1:8" x14ac:dyDescent="0.25">
      <c r="A50" s="183" t="s">
        <v>34</v>
      </c>
      <c r="B50" s="183">
        <v>4</v>
      </c>
      <c r="C50" s="183">
        <f t="shared" ca="1" si="14"/>
        <v>11499.845108300546</v>
      </c>
      <c r="D50" s="183">
        <f t="shared" ca="1" si="14"/>
        <v>12265.931306799179</v>
      </c>
      <c r="E50" s="183">
        <f t="shared" ca="1" si="14"/>
        <v>11150.185015592157</v>
      </c>
      <c r="F50" s="183">
        <f t="shared" ref="F50:H50" ca="1" si="22">SUM(F31,F12)</f>
        <v>12775.93889451677</v>
      </c>
      <c r="G50" s="183">
        <f t="shared" ca="1" si="22"/>
        <v>13052.613285324311</v>
      </c>
      <c r="H50" s="183">
        <f t="shared" ca="1" si="22"/>
        <v>5282.0024195736951</v>
      </c>
    </row>
    <row r="51" spans="1:8" x14ac:dyDescent="0.25">
      <c r="A51" s="183" t="s">
        <v>35</v>
      </c>
      <c r="B51" s="183">
        <v>5</v>
      </c>
      <c r="C51" s="183">
        <f t="shared" ca="1" si="14"/>
        <v>10942.961093385453</v>
      </c>
      <c r="D51" s="183">
        <f t="shared" ca="1" si="14"/>
        <v>12027.660647694</v>
      </c>
      <c r="E51" s="183">
        <f t="shared" ca="1" si="14"/>
        <v>12091.647439042885</v>
      </c>
      <c r="F51" s="183">
        <f t="shared" ref="F51:H51" ca="1" si="23">SUM(F32,F13)</f>
        <v>12908.954430025413</v>
      </c>
      <c r="G51" s="183">
        <f t="shared" ca="1" si="23"/>
        <v>13952.415480669371</v>
      </c>
      <c r="H51" s="183">
        <f t="shared" ca="1" si="23"/>
        <v>11653.477356910178</v>
      </c>
    </row>
    <row r="52" spans="1:8" x14ac:dyDescent="0.25">
      <c r="A52" s="183" t="s">
        <v>36</v>
      </c>
      <c r="B52" s="183">
        <v>6</v>
      </c>
      <c r="C52" s="183">
        <f t="shared" ca="1" si="14"/>
        <v>10574.936057806544</v>
      </c>
      <c r="D52" s="183">
        <f t="shared" ca="1" si="14"/>
        <v>10635.85423557246</v>
      </c>
      <c r="E52" s="183">
        <f t="shared" ca="1" si="14"/>
        <v>10975.879318806174</v>
      </c>
      <c r="F52" s="183">
        <f t="shared" ref="F52:H52" ca="1" si="24">SUM(F33,F14)</f>
        <v>11755.001709983404</v>
      </c>
      <c r="G52" s="183">
        <f t="shared" ca="1" si="24"/>
        <v>11752.123889398461</v>
      </c>
      <c r="H52" s="183">
        <f t="shared" ca="1" si="24"/>
        <v>12456.666876091727</v>
      </c>
    </row>
    <row r="53" spans="1:8" x14ac:dyDescent="0.25">
      <c r="H53" s="183">
        <f t="shared" ref="H53" si="25">SUM(H34,H15)</f>
        <v>0</v>
      </c>
    </row>
    <row r="54" spans="1:8" x14ac:dyDescent="0.25">
      <c r="A54" s="183" t="s">
        <v>51</v>
      </c>
      <c r="C54" s="183">
        <f ca="1">SUM(C41:C52)</f>
        <v>133743.91690709928</v>
      </c>
      <c r="D54" s="183">
        <f t="shared" ref="D54:E54" ca="1" si="26">SUM(D41:D52)</f>
        <v>141984.86337803636</v>
      </c>
      <c r="E54" s="183">
        <f t="shared" ca="1" si="26"/>
        <v>139188.99807833595</v>
      </c>
      <c r="F54" s="183">
        <f t="shared" ref="F54:G54" ca="1" si="27">SUM(F41:F52)</f>
        <v>151186.44461000699</v>
      </c>
      <c r="G54" s="183">
        <f t="shared" ca="1" si="27"/>
        <v>161369.23987393515</v>
      </c>
      <c r="H54" s="183">
        <f t="shared" ref="H54" ca="1" si="28">SUM(H35,H16)</f>
        <v>149379.12899997644</v>
      </c>
    </row>
    <row r="55" spans="1:8" x14ac:dyDescent="0.25">
      <c r="A55" s="183" t="s">
        <v>63</v>
      </c>
      <c r="C55" s="183">
        <f ca="1">MAX(C41:C52)</f>
        <v>12811.06520222218</v>
      </c>
      <c r="D55" s="183">
        <f t="shared" ref="D55:E55" ca="1" si="29">MAX(D41:D52)</f>
        <v>12842.632373560858</v>
      </c>
      <c r="E55" s="183">
        <f t="shared" ca="1" si="29"/>
        <v>13621.68930917457</v>
      </c>
      <c r="F55" s="183">
        <f t="shared" ref="F55:G55" ca="1" si="30">MAX(F41:F52)</f>
        <v>13602.418243614842</v>
      </c>
      <c r="G55" s="183">
        <f t="shared" ca="1" si="30"/>
        <v>14595.450024586478</v>
      </c>
      <c r="H55" s="183">
        <f t="shared" ref="H55" ca="1" si="31">SUM(H36,H17)</f>
        <v>14655.355772391733</v>
      </c>
    </row>
    <row r="56" spans="1:8" x14ac:dyDescent="0.25">
      <c r="A56" s="183" t="s">
        <v>62</v>
      </c>
      <c r="C56" s="183">
        <f ca="1">MIN(C41:C52)</f>
        <v>9845.8111824597327</v>
      </c>
      <c r="D56" s="183">
        <f t="shared" ref="D56:E56" ca="1" si="32">MIN(D41:D52)</f>
        <v>10635.85423557246</v>
      </c>
      <c r="E56" s="183">
        <f t="shared" ca="1" si="32"/>
        <v>9757.1706724417927</v>
      </c>
      <c r="F56" s="183">
        <f t="shared" ref="F56:G56" ca="1" si="33">MIN(F41:F52)</f>
        <v>10699.710496187538</v>
      </c>
      <c r="G56" s="183">
        <f t="shared" ca="1" si="33"/>
        <v>11752.123889398461</v>
      </c>
      <c r="H56" s="183">
        <f t="shared" ref="H56" ca="1" si="34">SUM(H37,H18)</f>
        <v>5282.0024195736951</v>
      </c>
    </row>
  </sheetData>
  <mergeCells count="3">
    <mergeCell ref="C1:G1"/>
    <mergeCell ref="C39:G39"/>
    <mergeCell ref="C20:G2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3"/>
  <sheetViews>
    <sheetView topLeftCell="A22" zoomScale="150" workbookViewId="0">
      <selection activeCell="H24" sqref="H24"/>
    </sheetView>
  </sheetViews>
  <sheetFormatPr defaultColWidth="9.140625" defaultRowHeight="15" x14ac:dyDescent="0.25"/>
  <cols>
    <col min="1" max="1" width="12.28515625" style="183" bestFit="1" customWidth="1"/>
    <col min="2" max="2" width="4.42578125" style="183" bestFit="1" customWidth="1"/>
    <col min="3" max="5" width="8" style="183" bestFit="1" customWidth="1"/>
    <col min="6" max="6" width="8" style="183" customWidth="1"/>
    <col min="7" max="7" width="9.140625" style="183"/>
    <col min="8" max="8" width="11.140625" style="183" bestFit="1" customWidth="1"/>
    <col min="9" max="9" width="9.140625" style="183"/>
    <col min="10" max="10" width="9.85546875" style="183" customWidth="1"/>
    <col min="11" max="16384" width="9.140625" style="183"/>
  </cols>
  <sheetData>
    <row r="1" spans="1:9" ht="23.25" x14ac:dyDescent="0.25">
      <c r="A1" s="182" t="s">
        <v>37</v>
      </c>
      <c r="B1" s="182"/>
      <c r="C1" s="244" t="s">
        <v>65</v>
      </c>
      <c r="D1" s="244"/>
      <c r="E1" s="244"/>
      <c r="F1" s="244"/>
      <c r="G1" s="244"/>
      <c r="H1" s="199"/>
      <c r="I1" s="199"/>
    </row>
    <row r="2" spans="1:9" s="184" customFormat="1" x14ac:dyDescent="0.25">
      <c r="C2" s="184">
        <v>2015</v>
      </c>
      <c r="D2" s="184">
        <v>2016</v>
      </c>
      <c r="E2" s="184">
        <v>2017</v>
      </c>
      <c r="F2" s="184">
        <v>2018</v>
      </c>
      <c r="G2" s="184">
        <v>2019</v>
      </c>
      <c r="H2" s="184">
        <v>2020</v>
      </c>
    </row>
    <row r="3" spans="1:9" x14ac:dyDescent="0.25">
      <c r="A3" s="183" t="s">
        <v>5</v>
      </c>
      <c r="B3" s="183">
        <v>7</v>
      </c>
      <c r="C3" s="185">
        <f ca="1">VLOOKUP(DATE(IF($B3&gt;6,C$2-1,C$2),$B3,1),Summary!$A:$H,7,FALSE)</f>
        <v>0.19682130531813097</v>
      </c>
      <c r="D3" s="185">
        <f ca="1">VLOOKUP(DATE(IF($B3&gt;6,D$2-1,D$2),$B3,1),Summary!$A:$H,7,FALSE)</f>
        <v>0.1945009569706459</v>
      </c>
      <c r="E3" s="185">
        <f ca="1">VLOOKUP(DATE(IF($B3&gt;6,E$2-1,E$2),$B3,1),Summary!$A:$H,7,FALSE)</f>
        <v>0.21693745313191196</v>
      </c>
      <c r="F3" s="185">
        <f ca="1">VLOOKUP(DATE(IF($B3&gt;6,F$2-1,F$2),$B3,1),Summary!$A:$H,7,FALSE)</f>
        <v>0.20345618178824473</v>
      </c>
      <c r="G3" s="185">
        <f ca="1">VLOOKUP(DATE(IF($B3&gt;6,G$2-1,G$2),$B3,1),Summary!$A:$H,7,FALSE)</f>
        <v>0.21327511947997982</v>
      </c>
      <c r="H3" s="185">
        <f ca="1">VLOOKUP(DATE(IF($B3&gt;6,H$2-1,H$2),$B3,1),Summary!$A:$H,7,FALSE)</f>
        <v>0.20660311005725962</v>
      </c>
      <c r="I3" s="185"/>
    </row>
    <row r="4" spans="1:9" x14ac:dyDescent="0.25">
      <c r="A4" s="183" t="s">
        <v>26</v>
      </c>
      <c r="B4" s="183">
        <v>8</v>
      </c>
      <c r="C4" s="185">
        <f ca="1">VLOOKUP(DATE(IF($B4&gt;6,C$2-1,C$2),$B4,1),Summary!$A:$H,7,FALSE)</f>
        <v>0.19998194548156645</v>
      </c>
      <c r="D4" s="185">
        <f ca="1">VLOOKUP(DATE(IF($B4&gt;6,D$2-1,D$2),$B4,1),Summary!$A:$H,7,FALSE)</f>
        <v>0.1928468263901561</v>
      </c>
      <c r="E4" s="185">
        <f ca="1">VLOOKUP(DATE(IF($B4&gt;6,E$2-1,E$2),$B4,1),Summary!$A:$H,7,FALSE)</f>
        <v>0.20873787593057999</v>
      </c>
      <c r="F4" s="185">
        <f ca="1">VLOOKUP(DATE(IF($B4&gt;6,F$2-1,F$2),$B4,1),Summary!$A:$H,7,FALSE)</f>
        <v>0.24826704841478997</v>
      </c>
      <c r="G4" s="185">
        <f ca="1">VLOOKUP(DATE(IF($B4&gt;6,G$2-1,G$2),$B4,1),Summary!$A:$H,7,FALSE)</f>
        <v>0.22054164116574762</v>
      </c>
      <c r="H4" s="185">
        <f ca="1">VLOOKUP(DATE(IF($B4&gt;6,H$2-1,H$2),$B4,1),Summary!$A:$H,7,FALSE)</f>
        <v>0.2125811106287876</v>
      </c>
      <c r="I4" s="185"/>
    </row>
    <row r="5" spans="1:9" x14ac:dyDescent="0.25">
      <c r="A5" s="183" t="s">
        <v>27</v>
      </c>
      <c r="B5" s="183">
        <v>9</v>
      </c>
      <c r="C5" s="185">
        <f ca="1">VLOOKUP(DATE(IF($B5&gt;6,C$2-1,C$2),$B5,1),Summary!$A:$H,7,FALSE)</f>
        <v>0.17109252222259594</v>
      </c>
      <c r="D5" s="185">
        <f ca="1">VLOOKUP(DATE(IF($B5&gt;6,D$2-1,D$2),$B5,1),Summary!$A:$H,7,FALSE)</f>
        <v>0.20199043066586264</v>
      </c>
      <c r="E5" s="185">
        <f ca="1">VLOOKUP(DATE(IF($B5&gt;6,E$2-1,E$2),$B5,1),Summary!$A:$H,7,FALSE)</f>
        <v>0.22813938853298868</v>
      </c>
      <c r="F5" s="185">
        <f ca="1">VLOOKUP(DATE(IF($B5&gt;6,F$2-1,F$2),$B5,1),Summary!$A:$H,7,FALSE)</f>
        <v>0.21406707475811107</v>
      </c>
      <c r="G5" s="185">
        <f ca="1">VLOOKUP(DATE(IF($B5&gt;6,G$2-1,G$2),$B5,1),Summary!$A:$H,7,FALSE)</f>
        <v>0.21860868548409956</v>
      </c>
      <c r="H5" s="185">
        <f ca="1">VLOOKUP(DATE(IF($B5&gt;6,H$2-1,H$2),$B5,1),Summary!$A:$H,7,FALSE)</f>
        <v>0.21731194229111503</v>
      </c>
      <c r="I5" s="185"/>
    </row>
    <row r="6" spans="1:9" x14ac:dyDescent="0.25">
      <c r="A6" s="183" t="s">
        <v>28</v>
      </c>
      <c r="B6" s="183">
        <v>10</v>
      </c>
      <c r="C6" s="185">
        <f ca="1">VLOOKUP(DATE(IF($B6&gt;6,C$2-1,C$2),$B6,1),Summary!$A:$H,7,FALSE)</f>
        <v>0.21831076375652461</v>
      </c>
      <c r="D6" s="185">
        <f ca="1">VLOOKUP(DATE(IF($B6&gt;6,D$2-1,D$2),$B6,1),Summary!$A:$H,7,FALSE)</f>
        <v>0.22688439038458061</v>
      </c>
      <c r="E6" s="185">
        <f ca="1">VLOOKUP(DATE(IF($B6&gt;6,E$2-1,E$2),$B6,1),Summary!$A:$H,7,FALSE)</f>
        <v>0.19960583279857824</v>
      </c>
      <c r="F6" s="185">
        <f ca="1">VLOOKUP(DATE(IF($B6&gt;6,F$2-1,F$2),$B6,1),Summary!$A:$H,7,FALSE)</f>
        <v>0.23743584681106725</v>
      </c>
      <c r="G6" s="185">
        <f ca="1">VLOOKUP(DATE(IF($B6&gt;6,G$2-1,G$2),$B6,1),Summary!$A:$H,7,FALSE)</f>
        <v>0.22993630398396803</v>
      </c>
      <c r="H6" s="185">
        <f ca="1">VLOOKUP(DATE(IF($B6&gt;6,H$2-1,H$2),$B6,1),Summary!$A:$H,7,FALSE)</f>
        <v>0.22145597297669639</v>
      </c>
      <c r="I6" s="185"/>
    </row>
    <row r="7" spans="1:9" x14ac:dyDescent="0.25">
      <c r="A7" s="183" t="s">
        <v>29</v>
      </c>
      <c r="B7" s="183">
        <v>11</v>
      </c>
      <c r="C7" s="185">
        <f ca="1">VLOOKUP(DATE(IF($B7&gt;6,C$2-1,C$2),$B7,1),Summary!$A:$H,7,FALSE)</f>
        <v>0.21088673696780391</v>
      </c>
      <c r="D7" s="185">
        <f ca="1">VLOOKUP(DATE(IF($B7&gt;6,D$2-1,D$2),$B7,1),Summary!$A:$H,7,FALSE)</f>
        <v>0.22746927849437448</v>
      </c>
      <c r="E7" s="185">
        <f ca="1">VLOOKUP(DATE(IF($B7&gt;6,E$2-1,E$2),$B7,1),Summary!$A:$H,7,FALSE)</f>
        <v>0.205767997757657</v>
      </c>
      <c r="F7" s="185">
        <f ca="1">VLOOKUP(DATE(IF($B7&gt;6,F$2-1,F$2),$B7,1),Summary!$A:$H,7,FALSE)</f>
        <v>0.23283749292321607</v>
      </c>
      <c r="G7" s="185">
        <f ca="1">VLOOKUP(DATE(IF($B7&gt;6,G$2-1,G$2),$B7,1),Summary!$A:$H,7,FALSE)</f>
        <v>0.22720388724045595</v>
      </c>
      <c r="H7" s="185">
        <f ca="1">VLOOKUP(DATE(IF($B7&gt;6,H$2-1,H$2),$B7,1),Summary!$A:$H,7,FALSE)</f>
        <v>0.22896700542278639</v>
      </c>
      <c r="I7" s="185"/>
    </row>
    <row r="8" spans="1:9" x14ac:dyDescent="0.25">
      <c r="A8" s="183" t="s">
        <v>30</v>
      </c>
      <c r="B8" s="183">
        <v>12</v>
      </c>
      <c r="C8" s="185">
        <f ca="1">VLOOKUP(DATE(IF($B8&gt;6,C$2-1,C$2),$B8,1),Summary!$A:$H,7,FALSE)</f>
        <v>0.23381395433265589</v>
      </c>
      <c r="D8" s="185">
        <f ca="1">VLOOKUP(DATE(IF($B8&gt;6,D$2-1,D$2),$B8,1),Summary!$A:$H,7,FALSE)</f>
        <v>0.23467438699934531</v>
      </c>
      <c r="E8" s="185">
        <f ca="1">VLOOKUP(DATE(IF($B8&gt;6,E$2-1,E$2),$B8,1),Summary!$A:$H,7,FALSE)</f>
        <v>0.25694365907524641</v>
      </c>
      <c r="F8" s="185">
        <f ca="1">VLOOKUP(DATE(IF($B8&gt;6,F$2-1,F$2),$B8,1),Summary!$A:$H,7,FALSE)</f>
        <v>0.25587835080063914</v>
      </c>
      <c r="G8" s="185">
        <f ca="1">VLOOKUP(DATE(IF($B8&gt;6,G$2-1,G$2),$B8,1),Summary!$A:$H,7,FALSE)</f>
        <v>0.24762548273240395</v>
      </c>
      <c r="H8" s="185">
        <f ca="1">VLOOKUP(DATE(IF($B8&gt;6,H$2-1,H$2),$B8,1),Summary!$A:$H,7,FALSE)</f>
        <v>0.24440821676319344</v>
      </c>
      <c r="I8" s="185"/>
    </row>
    <row r="9" spans="1:9" x14ac:dyDescent="0.25">
      <c r="A9" s="183" t="s">
        <v>31</v>
      </c>
      <c r="B9" s="183">
        <v>1</v>
      </c>
      <c r="C9" s="185">
        <f ca="1">VLOOKUP(DATE(IF($B9&gt;6,C$2-1,C$2),$B9,1),Summary!$A:$H,7,FALSE)</f>
        <v>0.21032210119259051</v>
      </c>
      <c r="D9" s="185">
        <f ca="1">VLOOKUP(DATE(IF($B9&gt;6,D$2-1,D$2),$B9,1),Summary!$A:$H,7,FALSE)</f>
        <v>0.18873289461558371</v>
      </c>
      <c r="E9" s="185">
        <f ca="1">VLOOKUP(DATE(IF($B9&gt;6,E$2-1,E$2),$B9,1),Summary!$A:$H,7,FALSE)</f>
        <v>0.21339494303857515</v>
      </c>
      <c r="F9" s="185">
        <f ca="1">VLOOKUP(DATE(IF($B9&gt;6,F$2-1,F$2),$B9,1),Summary!$A:$H,7,FALSE)</f>
        <v>0.23924091888624704</v>
      </c>
      <c r="G9" s="185">
        <f ca="1">VLOOKUP(DATE(IF($B9&gt;6,G$2-1,G$2),$B9,1),Summary!$A:$H,7,FALSE)</f>
        <v>0.231745074117396</v>
      </c>
      <c r="H9" s="185">
        <f ca="1">VLOOKUP(DATE(IF($B9&gt;6,H$2-1,H$2),$B9,1),Summary!$A:$H,7,FALSE)</f>
        <v>0.23312286806697452</v>
      </c>
      <c r="I9" s="185"/>
    </row>
    <row r="10" spans="1:9" x14ac:dyDescent="0.25">
      <c r="A10" s="183" t="s">
        <v>32</v>
      </c>
      <c r="B10" s="183">
        <v>2</v>
      </c>
      <c r="C10" s="185">
        <f ca="1">VLOOKUP(DATE(IF($B10&gt;6,C$2-1,C$2),$B10,1),Summary!$A:$H,7,FALSE)</f>
        <v>0.20945649122945273</v>
      </c>
      <c r="D10" s="185">
        <f ca="1">VLOOKUP(DATE(IF($B10&gt;6,D$2-1,D$2),$B10,1),Summary!$A:$H,7,FALSE)</f>
        <v>0.24096470160449435</v>
      </c>
      <c r="E10" s="185">
        <f ca="1">VLOOKUP(DATE(IF($B10&gt;6,E$2-1,E$2),$B10,1),Summary!$A:$H,7,FALSE)</f>
        <v>0.23124407663814764</v>
      </c>
      <c r="F10" s="185">
        <f ca="1">VLOOKUP(DATE(IF($B10&gt;6,F$2-1,F$2),$B10,1),Summary!$A:$H,7,FALSE)</f>
        <v>0.23188906497569958</v>
      </c>
      <c r="G10" s="185">
        <f ca="1">VLOOKUP(DATE(IF($B10&gt;6,G$2-1,G$2),$B10,1),Summary!$A:$H,7,FALSE)</f>
        <v>0.22817594897139598</v>
      </c>
      <c r="H10" s="185">
        <f ca="1">VLOOKUP(DATE(IF($B10&gt;6,H$2-1,H$2),$B10,1),Summary!$A:$H,7,FALSE)</f>
        <v>0.21849165177107688</v>
      </c>
      <c r="I10" s="185"/>
    </row>
    <row r="11" spans="1:9" x14ac:dyDescent="0.25">
      <c r="A11" s="183" t="s">
        <v>33</v>
      </c>
      <c r="B11" s="183">
        <v>3</v>
      </c>
      <c r="C11" s="185">
        <f ca="1">VLOOKUP(DATE(IF($B11&gt;6,C$2-1,C$2),$B11,1),Summary!$A:$H,7,FALSE)</f>
        <v>0.23260669019319416</v>
      </c>
      <c r="D11" s="185">
        <f ca="1">VLOOKUP(DATE(IF($B11&gt;6,D$2-1,D$2),$B11,1),Summary!$A:$H,7,FALSE)</f>
        <v>0.24732439182908397</v>
      </c>
      <c r="E11" s="185">
        <f ca="1">VLOOKUP(DATE(IF($B11&gt;6,E$2-1,E$2),$B11,1),Summary!$A:$H,7,FALSE)</f>
        <v>0.22544864410428678</v>
      </c>
      <c r="F11" s="185">
        <f ca="1">VLOOKUP(DATE(IF($B11&gt;6,F$2-1,F$2),$B11,1),Summary!$A:$H,7,FALSE)</f>
        <v>0.25679529931136613</v>
      </c>
      <c r="G11" s="185">
        <f ca="1">VLOOKUP(DATE(IF($B11&gt;6,G$2-1,G$2),$B11,1),Summary!$A:$H,7,FALSE)</f>
        <v>0.22971902132603997</v>
      </c>
      <c r="H11" s="185">
        <f ca="1">VLOOKUP(DATE(IF($B11&gt;6,H$2-1,H$2),$B11,1),Summary!$A:$H,7,FALSE)</f>
        <v>0.20634280869689708</v>
      </c>
      <c r="I11" s="185"/>
    </row>
    <row r="12" spans="1:9" x14ac:dyDescent="0.25">
      <c r="A12" s="183" t="s">
        <v>34</v>
      </c>
      <c r="B12" s="183">
        <v>4</v>
      </c>
      <c r="C12" s="185">
        <f ca="1">VLOOKUP(DATE(IF($B12&gt;6,C$2-1,C$2),$B12,1),Summary!$A:$H,7,FALSE)</f>
        <v>0.20879925799707855</v>
      </c>
      <c r="D12" s="185">
        <f ca="1">VLOOKUP(DATE(IF($B12&gt;6,D$2-1,D$2),$B12,1),Summary!$A:$H,7,FALSE)</f>
        <v>0.19756865548911326</v>
      </c>
      <c r="E12" s="185">
        <f ca="1">VLOOKUP(DATE(IF($B12&gt;6,E$2-1,E$2),$B12,1),Summary!$A:$H,7,FALSE)</f>
        <v>0.22476435340042125</v>
      </c>
      <c r="F12" s="185">
        <f ca="1">VLOOKUP(DATE(IF($B12&gt;6,F$2-1,F$2),$B12,1),Summary!$A:$H,7,FALSE)</f>
        <v>0.20785583593376361</v>
      </c>
      <c r="G12" s="185">
        <f ca="1">VLOOKUP(DATE(IF($B12&gt;6,G$2-1,G$2),$B12,1),Summary!$A:$H,7,FALSE)</f>
        <v>0.22790269477423197</v>
      </c>
      <c r="H12" s="185">
        <f ca="1">VLOOKUP(DATE(IF($B12&gt;6,H$2-1,H$2),$B12,1),Summary!$A:$H,7,FALSE)</f>
        <v>5.308347059834724E-2</v>
      </c>
      <c r="I12" s="185"/>
    </row>
    <row r="13" spans="1:9" x14ac:dyDescent="0.25">
      <c r="A13" s="183" t="s">
        <v>35</v>
      </c>
      <c r="B13" s="183">
        <v>5</v>
      </c>
      <c r="C13" s="185">
        <f ca="1">VLOOKUP(DATE(IF($B13&gt;6,C$2-1,C$2),$B13,1),Summary!$A:$H,7,FALSE)</f>
        <v>0.19868808101950541</v>
      </c>
      <c r="D13" s="185">
        <f ca="1">VLOOKUP(DATE(IF($B13&gt;6,D$2-1,D$2),$B13,1),Summary!$A:$H,7,FALSE)</f>
        <v>0.22081957449832801</v>
      </c>
      <c r="E13" s="185">
        <f ca="1">VLOOKUP(DATE(IF($B13&gt;6,E$2-1,E$2),$B13,1),Summary!$A:$H,7,FALSE)</f>
        <v>0.22601136151374149</v>
      </c>
      <c r="F13" s="185">
        <f ca="1">VLOOKUP(DATE(IF($B13&gt;6,F$2-1,F$2),$B13,1),Summary!$A:$H,7,FALSE)</f>
        <v>0.22376235078497794</v>
      </c>
      <c r="G13" s="185">
        <f ca="1">VLOOKUP(DATE(IF($B13&gt;6,G$2-1,G$2),$B13,1),Summary!$A:$H,7,FALSE)</f>
        <v>0.22313115730136399</v>
      </c>
      <c r="H13" s="185">
        <f ca="1">VLOOKUP(DATE(IF($B13&gt;6,H$2-1,H$2),$B13,1),Summary!$A:$H,7,FALSE)</f>
        <v>0.16416373393757638</v>
      </c>
      <c r="I13" s="185"/>
    </row>
    <row r="14" spans="1:9" x14ac:dyDescent="0.25">
      <c r="A14" s="183" t="s">
        <v>36</v>
      </c>
      <c r="B14" s="183">
        <v>6</v>
      </c>
      <c r="C14" s="185">
        <f ca="1">VLOOKUP(DATE(IF($B14&gt;6,C$2-1,C$2),$B14,1),Summary!$A:$H,7,FALSE)</f>
        <v>0.19200596020574254</v>
      </c>
      <c r="D14" s="185">
        <f ca="1">VLOOKUP(DATE(IF($B14&gt;6,D$2-1,D$2),$B14,1),Summary!$A:$H,7,FALSE)</f>
        <v>0.21368389249444342</v>
      </c>
      <c r="E14" s="185">
        <f ca="1">VLOOKUP(DATE(IF($B14&gt;6,E$2-1,E$2),$B14,1),Summary!$A:$H,7,FALSE)</f>
        <v>0.21560372515747508</v>
      </c>
      <c r="F14" s="185">
        <f ca="1">VLOOKUP(DATE(IF($B14&gt;6,F$2-1,F$2),$B14,1),Summary!$A:$H,7,FALSE)</f>
        <v>0.20600301118711484</v>
      </c>
      <c r="G14" s="185">
        <f ca="1">VLOOKUP(DATE(IF($B14&gt;6,G$2-1,G$2),$B14,1),Summary!$A:$H,7,FALSE)</f>
        <v>0.19654752281945997</v>
      </c>
      <c r="H14" s="185">
        <f ca="1">VLOOKUP(DATE(IF($B14&gt;6,H$2-1,H$2),$B14,1),Summary!$A:$H,7,FALSE)</f>
        <v>0.20167109014492896</v>
      </c>
      <c r="I14" s="185"/>
    </row>
    <row r="15" spans="1:9" x14ac:dyDescent="0.25">
      <c r="A15" s="183" t="s">
        <v>66</v>
      </c>
      <c r="C15" s="185">
        <v>0</v>
      </c>
      <c r="D15" s="185">
        <v>0</v>
      </c>
      <c r="E15" s="185">
        <v>0</v>
      </c>
      <c r="F15" s="185">
        <v>0</v>
      </c>
      <c r="G15" s="185">
        <v>0</v>
      </c>
      <c r="H15" s="185" t="s">
        <v>96</v>
      </c>
      <c r="I15" s="185"/>
    </row>
    <row r="16" spans="1:9" x14ac:dyDescent="0.25">
      <c r="H16" s="185"/>
    </row>
    <row r="17" spans="1:9" x14ac:dyDescent="0.25">
      <c r="A17" s="183" t="s">
        <v>51</v>
      </c>
      <c r="C17" s="185">
        <f t="shared" ref="C17:D17" ca="1" si="0">SUM(C3:C15)</f>
        <v>2.4827858099168418</v>
      </c>
      <c r="D17" s="185">
        <f t="shared" ca="1" si="0"/>
        <v>2.5874603804360117</v>
      </c>
      <c r="E17" s="185">
        <f ca="1">SUM(E3:E15)</f>
        <v>2.6525993110796096</v>
      </c>
      <c r="F17" s="185">
        <f t="shared" ref="F17:H17" ca="1" si="1">SUM(F3:F15)</f>
        <v>2.757488476575237</v>
      </c>
      <c r="G17" s="185">
        <f t="shared" ca="1" si="1"/>
        <v>2.6944125393965432</v>
      </c>
      <c r="H17" s="185">
        <f t="shared" ca="1" si="1"/>
        <v>2.4082029813556396</v>
      </c>
      <c r="I17" s="185"/>
    </row>
    <row r="18" spans="1:9" x14ac:dyDescent="0.25">
      <c r="A18" s="183" t="s">
        <v>63</v>
      </c>
      <c r="C18" s="185">
        <f ca="1">MAX(C3:C14)</f>
        <v>0.23381395433265589</v>
      </c>
      <c r="D18" s="185">
        <f ca="1">MAX(D3:D14)</f>
        <v>0.24732439182908397</v>
      </c>
      <c r="E18" s="185">
        <f ca="1">MAX(E3:E14)</f>
        <v>0.25694365907524641</v>
      </c>
      <c r="F18" s="185">
        <f t="shared" ref="F18:H18" ca="1" si="2">MAX(F3:F14)</f>
        <v>0.25679529931136613</v>
      </c>
      <c r="G18" s="185">
        <f t="shared" ca="1" si="2"/>
        <v>0.24762548273240395</v>
      </c>
      <c r="H18" s="185">
        <f t="shared" ca="1" si="2"/>
        <v>0.24440821676319344</v>
      </c>
      <c r="I18" s="185"/>
    </row>
    <row r="19" spans="1:9" x14ac:dyDescent="0.25">
      <c r="A19" s="183" t="s">
        <v>62</v>
      </c>
      <c r="C19" s="185">
        <f ca="1">MIN(C3:C14)</f>
        <v>0.17109252222259594</v>
      </c>
      <c r="D19" s="185">
        <f ca="1">MIN(D3:D14)</f>
        <v>0.18873289461558371</v>
      </c>
      <c r="E19" s="185">
        <f ca="1">MIN(E3:E14)</f>
        <v>0.19960583279857824</v>
      </c>
      <c r="F19" s="185">
        <f t="shared" ref="F19:H19" ca="1" si="3">MIN(F3:F14)</f>
        <v>0.20345618178824473</v>
      </c>
      <c r="G19" s="185">
        <f t="shared" ca="1" si="3"/>
        <v>0.19654752281945997</v>
      </c>
      <c r="H19" s="185">
        <f t="shared" ca="1" si="3"/>
        <v>5.308347059834724E-2</v>
      </c>
      <c r="I19" s="185"/>
    </row>
    <row r="20" spans="1:9" x14ac:dyDescent="0.25">
      <c r="A20" s="183" t="s">
        <v>91</v>
      </c>
      <c r="D20" s="191">
        <f ca="1">(D17-C17)/C17</f>
        <v>4.2160129198851752E-2</v>
      </c>
      <c r="E20" s="191">
        <f t="shared" ref="E20" ca="1" si="4">(E17-D17)/D17</f>
        <v>2.5174851424245324E-2</v>
      </c>
      <c r="F20" s="191">
        <f t="shared" ref="F20" ca="1" si="5">(F17-E17)/E17</f>
        <v>3.954203149247501E-2</v>
      </c>
      <c r="G20" s="191">
        <f t="shared" ref="G20:H20" ca="1" si="6">(G17-F17)/F17</f>
        <v>-2.2874415510534863E-2</v>
      </c>
      <c r="H20" s="191">
        <f t="shared" ca="1" si="6"/>
        <v>-0.10622336181118161</v>
      </c>
      <c r="I20" s="191"/>
    </row>
    <row r="21" spans="1:9" x14ac:dyDescent="0.25">
      <c r="H21" s="185"/>
    </row>
    <row r="22" spans="1:9" ht="23.25" x14ac:dyDescent="0.25">
      <c r="A22" s="182" t="s">
        <v>38</v>
      </c>
      <c r="B22" s="182"/>
      <c r="C22" s="244" t="s">
        <v>65</v>
      </c>
      <c r="D22" s="244"/>
      <c r="E22" s="244"/>
      <c r="F22" s="244"/>
      <c r="G22" s="244"/>
      <c r="H22" s="185"/>
      <c r="I22" s="199"/>
    </row>
    <row r="23" spans="1:9" s="184" customFormat="1" x14ac:dyDescent="0.25">
      <c r="C23" s="184">
        <v>2015</v>
      </c>
      <c r="D23" s="184">
        <v>2016</v>
      </c>
      <c r="E23" s="184">
        <v>2017</v>
      </c>
      <c r="F23" s="184">
        <v>2018</v>
      </c>
      <c r="G23" s="184">
        <v>2019</v>
      </c>
      <c r="H23" s="184">
        <v>2020</v>
      </c>
    </row>
    <row r="24" spans="1:9" x14ac:dyDescent="0.25">
      <c r="A24" s="183" t="s">
        <v>5</v>
      </c>
      <c r="B24" s="183">
        <v>7</v>
      </c>
      <c r="C24" s="185">
        <f ca="1">VLOOKUP(DATE(IF($B24&gt;6,C$23-1,C$23),$B24,1),Summary!$A:$H,8,FALSE)</f>
        <v>0.28007429075754114</v>
      </c>
      <c r="D24" s="185">
        <f ca="1">VLOOKUP(DATE(IF($B24&gt;6,D$23-1,D$23),$B24,1),Summary!$A:$H,8,FALSE)</f>
        <v>0.31560373631986632</v>
      </c>
      <c r="E24" s="185">
        <f ca="1">VLOOKUP(DATE(IF($B24&gt;6,E$23-1,E$23),$B24,1),Summary!$A:$H,8,FALSE)</f>
        <v>0.29622940335210179</v>
      </c>
      <c r="F24" s="185">
        <f ca="1">VLOOKUP(DATE(IF($B24&gt;6,F$23-1,F$23),$B24,1),Summary!$A:$H,8,FALSE)</f>
        <v>0.29953352307315834</v>
      </c>
      <c r="G24" s="185">
        <f ca="1">VLOOKUP(DATE(IF($B24&gt;6,G$23-1,G$23),$B24,1),Summary!$A:$H,8,FALSE)</f>
        <v>0.36725901284532764</v>
      </c>
      <c r="H24" s="185">
        <f ca="1">VLOOKUP(DATE(IF($B24&gt;6,H$23-1,H$23),$B24,1),Summary!$A:$H,8,FALSE)</f>
        <v>0.3717162643064259</v>
      </c>
      <c r="I24" s="185"/>
    </row>
    <row r="25" spans="1:9" x14ac:dyDescent="0.25">
      <c r="A25" s="183" t="s">
        <v>26</v>
      </c>
      <c r="B25" s="183">
        <v>8</v>
      </c>
      <c r="C25" s="185">
        <f ca="1">VLOOKUP(DATE(IF($B25&gt;6,C$23-1,C$23),$B25,1),Summary!$A:$H,8,FALSE)</f>
        <v>0.28093541829408808</v>
      </c>
      <c r="D25" s="185">
        <f ca="1">VLOOKUP(DATE(IF($B25&gt;6,D$23-1,D$23),$B25,1),Summary!$A:$H,8,FALSE)</f>
        <v>0.31525857630143511</v>
      </c>
      <c r="E25" s="185">
        <f ca="1">VLOOKUP(DATE(IF($B25&gt;6,E$23-1,E$23),$B25,1),Summary!$A:$H,8,FALSE)</f>
        <v>0.36216769879492433</v>
      </c>
      <c r="F25" s="185">
        <f ca="1">VLOOKUP(DATE(IF($B25&gt;6,F$23-1,F$23),$B25,1),Summary!$A:$H,8,FALSE)</f>
        <v>0.37273073135175339</v>
      </c>
      <c r="G25" s="185">
        <f ca="1">VLOOKUP(DATE(IF($B25&gt;6,G$23-1,G$23),$B25,1),Summary!$A:$H,8,FALSE)</f>
        <v>0.37252757841664436</v>
      </c>
      <c r="H25" s="185">
        <f ca="1">VLOOKUP(DATE(IF($B25&gt;6,H$23-1,H$23),$B25,1),Summary!$A:$H,8,FALSE)</f>
        <v>0.36274099702566953</v>
      </c>
      <c r="I25" s="185"/>
    </row>
    <row r="26" spans="1:9" x14ac:dyDescent="0.25">
      <c r="A26" s="183" t="s">
        <v>27</v>
      </c>
      <c r="B26" s="183">
        <v>9</v>
      </c>
      <c r="C26" s="185">
        <f ca="1">VLOOKUP(DATE(IF($B26&gt;6,C$23-1,C$23),$B26,1),Summary!$A:$H,8,FALSE)</f>
        <v>0.29117527077480382</v>
      </c>
      <c r="D26" s="185">
        <f ca="1">VLOOKUP(DATE(IF($B26&gt;6,D$23-1,D$23),$B26,1),Summary!$A:$H,8,FALSE)</f>
        <v>0.33147760900436829</v>
      </c>
      <c r="E26" s="185">
        <f ca="1">VLOOKUP(DATE(IF($B26&gt;6,E$23-1,E$23),$B26,1),Summary!$A:$H,8,FALSE)</f>
        <v>0.35144468693105269</v>
      </c>
      <c r="F26" s="185">
        <f ca="1">VLOOKUP(DATE(IF($B26&gt;6,F$23-1,F$23),$B26,1),Summary!$A:$H,8,FALSE)</f>
        <v>0.33790905168294133</v>
      </c>
      <c r="G26" s="185">
        <f ca="1">VLOOKUP(DATE(IF($B26&gt;6,G$23-1,G$23),$B26,1),Summary!$A:$H,8,FALSE)</f>
        <v>0.4008785880308976</v>
      </c>
      <c r="H26" s="185">
        <f ca="1">VLOOKUP(DATE(IF($B26&gt;6,H$23-1,H$23),$B26,1),Summary!$A:$H,8,FALSE)</f>
        <v>0.39588460789331276</v>
      </c>
      <c r="I26" s="185"/>
    </row>
    <row r="27" spans="1:9" x14ac:dyDescent="0.25">
      <c r="A27" s="183" t="s">
        <v>28</v>
      </c>
      <c r="B27" s="183">
        <v>10</v>
      </c>
      <c r="C27" s="185">
        <f ca="1">VLOOKUP(DATE(IF($B27&gt;6,C$23-1,C$23),$B27,1),Summary!$A:$H,8,FALSE)</f>
        <v>0.33024170169531536</v>
      </c>
      <c r="D27" s="185">
        <f ca="1">VLOOKUP(DATE(IF($B27&gt;6,D$23-1,D$23),$B27,1),Summary!$A:$H,8,FALSE)</f>
        <v>0.33562988726651305</v>
      </c>
      <c r="E27" s="185">
        <f ca="1">VLOOKUP(DATE(IF($B27&gt;6,E$23-1,E$23),$B27,1),Summary!$A:$H,8,FALSE)</f>
        <v>0.25958185666909644</v>
      </c>
      <c r="F27" s="185">
        <f ca="1">VLOOKUP(DATE(IF($B27&gt;6,F$23-1,F$23),$B27,1),Summary!$A:$H,8,FALSE)</f>
        <v>0.38553286019596683</v>
      </c>
      <c r="G27" s="185">
        <f ca="1">VLOOKUP(DATE(IF($B27&gt;6,G$23-1,G$23),$B27,1),Summary!$A:$H,8,FALSE)</f>
        <v>0.4482330227571672</v>
      </c>
      <c r="H27" s="185">
        <f ca="1">VLOOKUP(DATE(IF($B27&gt;6,H$23-1,H$23),$B27,1),Summary!$A:$H,8,FALSE)</f>
        <v>0.43332554860552258</v>
      </c>
      <c r="I27" s="185"/>
    </row>
    <row r="28" spans="1:9" x14ac:dyDescent="0.25">
      <c r="A28" s="183" t="s">
        <v>29</v>
      </c>
      <c r="B28" s="183">
        <v>11</v>
      </c>
      <c r="C28" s="185">
        <f ca="1">VLOOKUP(DATE(IF($B28&gt;6,C$23-1,C$23),$B28,1),Summary!$A:$H,8,FALSE)</f>
        <v>0.32249159419636608</v>
      </c>
      <c r="D28" s="185">
        <f ca="1">VLOOKUP(DATE(IF($B28&gt;6,D$23-1,D$23),$B28,1),Summary!$A:$H,8,FALSE)</f>
        <v>0.35403915042086531</v>
      </c>
      <c r="E28" s="185">
        <f ca="1">VLOOKUP(DATE(IF($B28&gt;6,E$23-1,E$23),$B28,1),Summary!$A:$H,8,FALSE)</f>
        <v>0.27041816348706565</v>
      </c>
      <c r="F28" s="185">
        <f ca="1">VLOOKUP(DATE(IF($B28&gt;6,F$23-1,F$23),$B28,1),Summary!$A:$H,8,FALSE)</f>
        <v>0.40434878383549738</v>
      </c>
      <c r="G28" s="185">
        <f ca="1">VLOOKUP(DATE(IF($B28&gt;6,G$23-1,G$23),$B28,1),Summary!$A:$H,8,FALSE)</f>
        <v>0.44153397113841347</v>
      </c>
      <c r="H28" s="185">
        <f ca="1">VLOOKUP(DATE(IF($B28&gt;6,H$23-1,H$23),$B28,1),Summary!$A:$H,8,FALSE)</f>
        <v>0.44330181179109912</v>
      </c>
      <c r="I28" s="185"/>
    </row>
    <row r="29" spans="1:9" x14ac:dyDescent="0.25">
      <c r="A29" s="183" t="s">
        <v>30</v>
      </c>
      <c r="B29" s="183">
        <v>12</v>
      </c>
      <c r="C29" s="185">
        <f ca="1">VLOOKUP(DATE(IF($B29&gt;6,C$23-1,C$23),$B29,1),Summary!$A:$H,8,FALSE)</f>
        <v>0.31013894615349402</v>
      </c>
      <c r="D29" s="185">
        <f ca="1">VLOOKUP(DATE(IF($B29&gt;6,D$23-1,D$23),$B29,1),Summary!$A:$H,8,FALSE)</f>
        <v>0.36871036331447149</v>
      </c>
      <c r="E29" s="185">
        <f ca="1">VLOOKUP(DATE(IF($B29&gt;6,E$23-1,E$23),$B29,1),Summary!$A:$H,8,FALSE)</f>
        <v>0.34498248844359258</v>
      </c>
      <c r="F29" s="185">
        <f ca="1">VLOOKUP(DATE(IF($B29&gt;6,F$23-1,F$23),$B29,1),Summary!$A:$H,8,FALSE)</f>
        <v>0.35433916827464673</v>
      </c>
      <c r="G29" s="185">
        <f ca="1">VLOOKUP(DATE(IF($B29&gt;6,G$23-1,G$23),$B29,1),Summary!$A:$H,8,FALSE)</f>
        <v>0.41795900126743479</v>
      </c>
      <c r="H29" s="185">
        <f ca="1">VLOOKUP(DATE(IF($B29&gt;6,H$23-1,H$23),$B29,1),Summary!$A:$H,8,FALSE)</f>
        <v>0.42027434030447025</v>
      </c>
      <c r="I29" s="185"/>
    </row>
    <row r="30" spans="1:9" x14ac:dyDescent="0.25">
      <c r="A30" s="183" t="s">
        <v>31</v>
      </c>
      <c r="B30" s="183">
        <v>1</v>
      </c>
      <c r="C30" s="185">
        <f ca="1">VLOOKUP(DATE(IF($B30&gt;6,C$23-1,C$23),$B30,1),Summary!$A:$H,8,FALSE)</f>
        <v>0.33386659184515638</v>
      </c>
      <c r="D30" s="185">
        <f ca="1">VLOOKUP(DATE(IF($B30&gt;6,D$23-1,D$23),$B30,1),Summary!$A:$H,8,FALSE)</f>
        <v>0.37661697561786694</v>
      </c>
      <c r="E30" s="185">
        <f ca="1">VLOOKUP(DATE(IF($B30&gt;6,E$23-1,E$23),$B30,1),Summary!$A:$H,8,FALSE)</f>
        <v>0.33410707179296384</v>
      </c>
      <c r="F30" s="185">
        <f ca="1">VLOOKUP(DATE(IF($B30&gt;6,F$23-1,F$23),$B30,1),Summary!$A:$H,8,FALSE)</f>
        <v>0.35028099538993523</v>
      </c>
      <c r="G30" s="185">
        <f ca="1">VLOOKUP(DATE(IF($B30&gt;6,G$23-1,G$23),$B30,1),Summary!$A:$H,8,FALSE)</f>
        <v>0.41383152962045222</v>
      </c>
      <c r="H30" s="185">
        <f ca="1">VLOOKUP(DATE(IF($B30&gt;6,H$23-1,H$23),$B30,1),Summary!$A:$H,8,FALSE)</f>
        <v>0.40403194863441155</v>
      </c>
      <c r="I30" s="185"/>
    </row>
    <row r="31" spans="1:9" x14ac:dyDescent="0.25">
      <c r="A31" s="183" t="s">
        <v>32</v>
      </c>
      <c r="B31" s="183">
        <v>2</v>
      </c>
      <c r="C31" s="185">
        <f ca="1">VLOOKUP(DATE(IF($B31&gt;6,C$23-1,C$23),$B31,1),Summary!$A:$H,8,FALSE)</f>
        <v>0.33249251728703183</v>
      </c>
      <c r="D31" s="185">
        <f ca="1">VLOOKUP(DATE(IF($B31&gt;6,D$23-1,D$23),$B31,1),Summary!$A:$H,8,FALSE)</f>
        <v>0.33329682812922962</v>
      </c>
      <c r="E31" s="185">
        <f ca="1">VLOOKUP(DATE(IF($B31&gt;6,E$23-1,E$23),$B31,1),Summary!$A:$H,8,FALSE)</f>
        <v>0.31546520204914147</v>
      </c>
      <c r="F31" s="185">
        <f ca="1">VLOOKUP(DATE(IF($B31&gt;6,F$23-1,F$23),$B31,1),Summary!$A:$H,8,FALSE)</f>
        <v>0.33851196410497136</v>
      </c>
      <c r="G31" s="185">
        <f ca="1">VLOOKUP(DATE(IF($B31&gt;6,G$23-1,G$23),$B31,1),Summary!$A:$H,8,FALSE)</f>
        <v>0.38996631960294864</v>
      </c>
      <c r="H31" s="185">
        <f ca="1">VLOOKUP(DATE(IF($B31&gt;6,H$23-1,H$23),$B31,1),Summary!$A:$H,8,FALSE)</f>
        <v>0.41734888376106555</v>
      </c>
      <c r="I31" s="185"/>
    </row>
    <row r="32" spans="1:9" x14ac:dyDescent="0.25">
      <c r="A32" s="183" t="s">
        <v>33</v>
      </c>
      <c r="B32" s="183">
        <v>3</v>
      </c>
      <c r="C32" s="185">
        <f ca="1">VLOOKUP(DATE(IF($B32&gt;6,C$23-1,C$23),$B32,1),Summary!$A:$H,8,FALSE)</f>
        <v>0.36924128493786551</v>
      </c>
      <c r="D32" s="185">
        <f ca="1">VLOOKUP(DATE(IF($B32&gt;6,D$23-1,D$23),$B32,1),Summary!$A:$H,8,FALSE)</f>
        <v>0.3414906982742088</v>
      </c>
      <c r="E32" s="185">
        <f ca="1">VLOOKUP(DATE(IF($B32&gt;6,E$23-1,E$23),$B32,1),Summary!$A:$H,8,FALSE)</f>
        <v>0.41369411867866657</v>
      </c>
      <c r="F32" s="185">
        <f ca="1">VLOOKUP(DATE(IF($B32&gt;6,F$23-1,F$23),$B32,1),Summary!$A:$H,8,FALSE)</f>
        <v>0.38258289249841859</v>
      </c>
      <c r="G32" s="185">
        <f ca="1">VLOOKUP(DATE(IF($B32&gt;6,G$23-1,G$23),$B32,1),Summary!$A:$H,8,FALSE)</f>
        <v>0.45468719088805376</v>
      </c>
      <c r="H32" s="185">
        <f ca="1">VLOOKUP(DATE(IF($B32&gt;6,H$23-1,H$23),$B32,1),Summary!$A:$H,8,FALSE)</f>
        <v>0.39211841697519179</v>
      </c>
      <c r="I32" s="185"/>
    </row>
    <row r="33" spans="1:10" x14ac:dyDescent="0.25">
      <c r="A33" s="183" t="s">
        <v>34</v>
      </c>
      <c r="B33" s="183">
        <v>4</v>
      </c>
      <c r="C33" s="185">
        <f ca="1">VLOOKUP(DATE(IF($B33&gt;6,C$23-1,C$23),$B33,1),Summary!$A:$H,8,FALSE)</f>
        <v>0.33144922122781634</v>
      </c>
      <c r="D33" s="185">
        <f ca="1">VLOOKUP(DATE(IF($B33&gt;6,D$23-1,D$23),$B33,1),Summary!$A:$H,8,FALSE)</f>
        <v>0.37776480795113876</v>
      </c>
      <c r="E33" s="185">
        <f ca="1">VLOOKUP(DATE(IF($B33&gt;6,E$23-1,E$23),$B33,1),Summary!$A:$H,8,FALSE)</f>
        <v>0.29986060091293509</v>
      </c>
      <c r="F33" s="185">
        <f ca="1">VLOOKUP(DATE(IF($B33&gt;6,F$23-1,F$23),$B33,1),Summary!$A:$H,8,FALSE)</f>
        <v>0.39147411851838254</v>
      </c>
      <c r="G33" s="185">
        <f ca="1">VLOOKUP(DATE(IF($B33&gt;6,G$23-1,G$23),$B33,1),Summary!$A:$H,8,FALSE)</f>
        <v>0.38496577114342151</v>
      </c>
      <c r="H33" s="185">
        <f ca="1">VLOOKUP(DATE(IF($B33&gt;6,H$23-1,H$23),$B33,1),Summary!$A:$H,8,FALSE)</f>
        <v>0.19351735795270708</v>
      </c>
      <c r="I33" s="185"/>
    </row>
    <row r="34" spans="1:10" x14ac:dyDescent="0.25">
      <c r="A34" s="183" t="s">
        <v>35</v>
      </c>
      <c r="B34" s="183">
        <v>5</v>
      </c>
      <c r="C34" s="185">
        <f ca="1">VLOOKUP(DATE(IF($B34&gt;6,C$23-1,C$23),$B34,1),Summary!$A:$H,8,FALSE)</f>
        <v>0.31539867695356361</v>
      </c>
      <c r="D34" s="185">
        <f ca="1">VLOOKUP(DATE(IF($B34&gt;6,D$23-1,D$23),$B34,1),Summary!$A:$H,8,FALSE)</f>
        <v>0.34431273007584007</v>
      </c>
      <c r="E34" s="185">
        <f ca="1">VLOOKUP(DATE(IF($B34&gt;6,E$23-1,E$23),$B34,1),Summary!$A:$H,8,FALSE)</f>
        <v>0.34227200299370819</v>
      </c>
      <c r="F34" s="185">
        <f ca="1">VLOOKUP(DATE(IF($B34&gt;6,F$23-1,F$23),$B34,1),Summary!$A:$H,8,FALSE)</f>
        <v>0.38230206430140079</v>
      </c>
      <c r="G34" s="185">
        <f ca="1">VLOOKUP(DATE(IF($B34&gt;6,G$23-1,G$23),$B34,1),Summary!$A:$H,8,FALSE)</f>
        <v>0.43124918858155586</v>
      </c>
      <c r="H34" s="185">
        <f ca="1">VLOOKUP(DATE(IF($B34&gt;6,H$23-1,H$23),$B34,1),Summary!$A:$H,8,FALSE)</f>
        <v>0.38159537179681779</v>
      </c>
      <c r="I34" s="185"/>
    </row>
    <row r="35" spans="1:10" x14ac:dyDescent="0.25">
      <c r="A35" s="183" t="s">
        <v>36</v>
      </c>
      <c r="B35" s="183">
        <v>6</v>
      </c>
      <c r="C35" s="185">
        <f ca="1">VLOOKUP(DATE(IF($B35&gt;6,C$23-1,C$23),$B35,1),Summary!$A:$H,8,FALSE)</f>
        <v>0.30479143743979631</v>
      </c>
      <c r="D35" s="185">
        <f ca="1">VLOOKUP(DATE(IF($B35&gt;6,D$23-1,D$23),$B35,1),Summary!$A:$H,8,FALSE)</f>
        <v>0.28671574743683881</v>
      </c>
      <c r="E35" s="185">
        <f ca="1">VLOOKUP(DATE(IF($B35&gt;6,E$23-1,E$23),$B35,1),Summary!$A:$H,8,FALSE)</f>
        <v>0.3006167739997207</v>
      </c>
      <c r="F35" s="185">
        <f ca="1">VLOOKUP(DATE(IF($B35&gt;6,F$23-1,F$23),$B35,1),Summary!$A:$H,8,FALSE)</f>
        <v>0.34596503746907398</v>
      </c>
      <c r="G35" s="185">
        <f ca="1">VLOOKUP(DATE(IF($B35&gt;6,G$23-1,G$23),$B35,1),Summary!$A:$H,8,FALSE)</f>
        <v>0.35494690665685863</v>
      </c>
      <c r="H35" s="185">
        <f ca="1">VLOOKUP(DATE(IF($B35&gt;6,H$23-1,H$23),$B35,1),Summary!$A:$H,8,FALSE)</f>
        <v>0.38264590272418159</v>
      </c>
      <c r="I35" s="185"/>
    </row>
    <row r="36" spans="1:10" x14ac:dyDescent="0.25">
      <c r="A36" s="183" t="s">
        <v>66</v>
      </c>
      <c r="C36" s="185">
        <v>0.01</v>
      </c>
      <c r="D36" s="185">
        <v>0.01</v>
      </c>
      <c r="E36" s="185">
        <v>0.01</v>
      </c>
      <c r="F36" s="185">
        <v>1.4999999999999999E-2</v>
      </c>
      <c r="G36" s="185">
        <v>1.01E-2</v>
      </c>
      <c r="H36" s="185">
        <v>8.334468E-4</v>
      </c>
      <c r="I36" s="185"/>
      <c r="J36" s="190">
        <f ca="1">H36/G38</f>
        <v>1.7050393957737005E-4</v>
      </c>
    </row>
    <row r="37" spans="1:10" x14ac:dyDescent="0.25">
      <c r="C37" s="185"/>
      <c r="D37" s="185"/>
      <c r="E37" s="185"/>
      <c r="F37" s="185"/>
      <c r="G37" s="185"/>
      <c r="H37" s="185"/>
      <c r="I37" s="185"/>
    </row>
    <row r="38" spans="1:10" x14ac:dyDescent="0.25">
      <c r="A38" s="183" t="s">
        <v>51</v>
      </c>
      <c r="C38" s="185">
        <f t="shared" ref="C38:D38" ca="1" si="7">SUM(C24:C36)</f>
        <v>3.8122969515628378</v>
      </c>
      <c r="D38" s="185">
        <f t="shared" ca="1" si="7"/>
        <v>4.0909171101126427</v>
      </c>
      <c r="E38" s="185">
        <f ca="1">SUM(E24:E36)</f>
        <v>3.9008400681049689</v>
      </c>
      <c r="F38" s="185">
        <f t="shared" ref="F38:H38" ca="1" si="8">SUM(F24:F36)</f>
        <v>4.3605111906961458</v>
      </c>
      <c r="G38" s="185">
        <f t="shared" ca="1" si="8"/>
        <v>4.8881380809491768</v>
      </c>
      <c r="H38" s="185">
        <f t="shared" ca="1" si="8"/>
        <v>4.5993348985708753</v>
      </c>
      <c r="I38" s="185"/>
      <c r="J38" s="201"/>
    </row>
    <row r="39" spans="1:10" x14ac:dyDescent="0.25">
      <c r="A39" s="183" t="s">
        <v>63</v>
      </c>
      <c r="C39" s="185">
        <f ca="1">MAX(C24:C35)</f>
        <v>0.36924128493786551</v>
      </c>
      <c r="D39" s="185">
        <f t="shared" ref="D39:E39" ca="1" si="9">MAX(D24:D35)</f>
        <v>0.37776480795113876</v>
      </c>
      <c r="E39" s="185">
        <f t="shared" ca="1" si="9"/>
        <v>0.41369411867866657</v>
      </c>
      <c r="F39" s="185">
        <f t="shared" ref="F39:H39" ca="1" si="10">MAX(F24:F35)</f>
        <v>0.40434878383549738</v>
      </c>
      <c r="G39" s="185">
        <f t="shared" ca="1" si="10"/>
        <v>0.45468719088805376</v>
      </c>
      <c r="H39" s="185">
        <f t="shared" ca="1" si="10"/>
        <v>0.44330181179109912</v>
      </c>
      <c r="I39" s="185"/>
    </row>
    <row r="40" spans="1:10" x14ac:dyDescent="0.25">
      <c r="A40" s="183" t="s">
        <v>62</v>
      </c>
      <c r="C40" s="185">
        <f ca="1">MIN(C24:C35)</f>
        <v>0.28007429075754114</v>
      </c>
      <c r="D40" s="185">
        <f t="shared" ref="D40:E40" ca="1" si="11">MIN(D24:D35)</f>
        <v>0.28671574743683881</v>
      </c>
      <c r="E40" s="185">
        <f t="shared" ca="1" si="11"/>
        <v>0.25958185666909644</v>
      </c>
      <c r="F40" s="185">
        <f t="shared" ref="F40:H40" ca="1" si="12">MIN(F24:F35)</f>
        <v>0.29953352307315834</v>
      </c>
      <c r="G40" s="185">
        <f t="shared" ca="1" si="12"/>
        <v>0.35494690665685863</v>
      </c>
      <c r="H40" s="185">
        <f t="shared" ca="1" si="12"/>
        <v>0.19351735795270708</v>
      </c>
      <c r="I40" s="185"/>
    </row>
    <row r="41" spans="1:10" x14ac:dyDescent="0.25">
      <c r="A41" s="183" t="s">
        <v>91</v>
      </c>
      <c r="D41" s="191">
        <f ca="1">(D38-C38)/C38</f>
        <v>7.3084589707941183E-2</v>
      </c>
      <c r="E41" s="191">
        <f t="shared" ref="E41" ca="1" si="13">(E38-D38)/D38</f>
        <v>-4.6463185855760369E-2</v>
      </c>
      <c r="F41" s="191">
        <f t="shared" ref="F41" ca="1" si="14">(F38-E38)/E38</f>
        <v>0.11783900764085556</v>
      </c>
      <c r="G41" s="191">
        <f ca="1">(G38-F38)/F38</f>
        <v>0.12100115495146718</v>
      </c>
      <c r="H41" s="191">
        <f t="shared" ref="H41" ca="1" si="15">(H38-G38)/G38</f>
        <v>-5.9082451762946478E-2</v>
      </c>
      <c r="I41" s="191"/>
    </row>
    <row r="42" spans="1:10" x14ac:dyDescent="0.25">
      <c r="F42" s="190"/>
      <c r="H42" s="185"/>
    </row>
    <row r="43" spans="1:10" ht="23.25" x14ac:dyDescent="0.25">
      <c r="A43" s="182" t="s">
        <v>51</v>
      </c>
      <c r="B43" s="182"/>
      <c r="C43" s="244" t="s">
        <v>65</v>
      </c>
      <c r="D43" s="244"/>
      <c r="E43" s="244"/>
      <c r="F43" s="244"/>
      <c r="G43" s="244"/>
      <c r="H43" s="185"/>
      <c r="I43" s="199"/>
    </row>
    <row r="44" spans="1:10" s="184" customFormat="1" x14ac:dyDescent="0.25">
      <c r="C44" s="184">
        <v>2015</v>
      </c>
      <c r="D44" s="184">
        <v>2016</v>
      </c>
      <c r="E44" s="184">
        <v>2017</v>
      </c>
      <c r="F44" s="184">
        <v>2018</v>
      </c>
      <c r="G44" s="184">
        <v>2019</v>
      </c>
      <c r="H44" s="184">
        <v>2020</v>
      </c>
    </row>
    <row r="45" spans="1:10" x14ac:dyDescent="0.25">
      <c r="A45" s="183" t="s">
        <v>5</v>
      </c>
      <c r="B45" s="183">
        <v>7</v>
      </c>
      <c r="C45" s="185">
        <f t="shared" ref="C45:E57" ca="1" si="16">SUM(C24,C3)</f>
        <v>0.47689559607567211</v>
      </c>
      <c r="D45" s="185">
        <f t="shared" ca="1" si="16"/>
        <v>0.51010469329051222</v>
      </c>
      <c r="E45" s="185">
        <f t="shared" ca="1" si="16"/>
        <v>0.51316685648401372</v>
      </c>
      <c r="F45" s="185">
        <f t="shared" ref="F45:H45" ca="1" si="17">SUM(F24,F3)</f>
        <v>0.50298970486140304</v>
      </c>
      <c r="G45" s="185">
        <f t="shared" ca="1" si="17"/>
        <v>0.58053413232530748</v>
      </c>
      <c r="H45" s="185">
        <f t="shared" ca="1" si="17"/>
        <v>0.57831937436368552</v>
      </c>
      <c r="I45" s="185"/>
    </row>
    <row r="46" spans="1:10" x14ac:dyDescent="0.25">
      <c r="A46" s="183" t="s">
        <v>26</v>
      </c>
      <c r="B46" s="183">
        <v>8</v>
      </c>
      <c r="C46" s="185">
        <f t="shared" ca="1" si="16"/>
        <v>0.48091736377565453</v>
      </c>
      <c r="D46" s="185">
        <f t="shared" ca="1" si="16"/>
        <v>0.50810540269159121</v>
      </c>
      <c r="E46" s="185">
        <f t="shared" ca="1" si="16"/>
        <v>0.57090557472550429</v>
      </c>
      <c r="F46" s="185">
        <f t="shared" ref="F46:H46" ca="1" si="18">SUM(F25,F4)</f>
        <v>0.62099777976654336</v>
      </c>
      <c r="G46" s="185">
        <f t="shared" ca="1" si="18"/>
        <v>0.593069219582392</v>
      </c>
      <c r="H46" s="185">
        <f t="shared" ca="1" si="18"/>
        <v>0.57532210765445713</v>
      </c>
      <c r="I46" s="185"/>
    </row>
    <row r="47" spans="1:10" x14ac:dyDescent="0.25">
      <c r="A47" s="183" t="s">
        <v>27</v>
      </c>
      <c r="B47" s="183">
        <v>9</v>
      </c>
      <c r="C47" s="185">
        <f t="shared" ca="1" si="16"/>
        <v>0.46226779299739973</v>
      </c>
      <c r="D47" s="185">
        <f t="shared" ca="1" si="16"/>
        <v>0.53346803967023093</v>
      </c>
      <c r="E47" s="185">
        <f t="shared" ca="1" si="16"/>
        <v>0.57958407546404134</v>
      </c>
      <c r="F47" s="185">
        <f t="shared" ref="F47:H47" ca="1" si="19">SUM(F26,F5)</f>
        <v>0.55197612644105243</v>
      </c>
      <c r="G47" s="185">
        <f t="shared" ca="1" si="19"/>
        <v>0.61948727351499722</v>
      </c>
      <c r="H47" s="185">
        <f t="shared" ca="1" si="19"/>
        <v>0.61319655018442776</v>
      </c>
      <c r="I47" s="185"/>
    </row>
    <row r="48" spans="1:10" x14ac:dyDescent="0.25">
      <c r="A48" s="183" t="s">
        <v>28</v>
      </c>
      <c r="B48" s="183">
        <v>10</v>
      </c>
      <c r="C48" s="185">
        <f t="shared" ca="1" si="16"/>
        <v>0.54855246545184</v>
      </c>
      <c r="D48" s="185">
        <f t="shared" ca="1" si="16"/>
        <v>0.56251427765109363</v>
      </c>
      <c r="E48" s="185">
        <f t="shared" ca="1" si="16"/>
        <v>0.45918768946767469</v>
      </c>
      <c r="F48" s="185">
        <f t="shared" ref="F48:H48" ca="1" si="20">SUM(F27,F6)</f>
        <v>0.62296870700703411</v>
      </c>
      <c r="G48" s="185">
        <f t="shared" ca="1" si="20"/>
        <v>0.67816932674113528</v>
      </c>
      <c r="H48" s="185">
        <f t="shared" ca="1" si="20"/>
        <v>0.65478152158221903</v>
      </c>
      <c r="I48" s="185"/>
    </row>
    <row r="49" spans="1:10" x14ac:dyDescent="0.25">
      <c r="A49" s="183" t="s">
        <v>29</v>
      </c>
      <c r="B49" s="183">
        <v>11</v>
      </c>
      <c r="C49" s="185">
        <f t="shared" ca="1" si="16"/>
        <v>0.53337833116416999</v>
      </c>
      <c r="D49" s="185">
        <f t="shared" ca="1" si="16"/>
        <v>0.58150842891523979</v>
      </c>
      <c r="E49" s="185">
        <f t="shared" ca="1" si="16"/>
        <v>0.47618616124472268</v>
      </c>
      <c r="F49" s="185">
        <f t="shared" ref="F49:H49" ca="1" si="21">SUM(F28,F7)</f>
        <v>0.63718627675871342</v>
      </c>
      <c r="G49" s="185">
        <f t="shared" ca="1" si="21"/>
        <v>0.66873785837886945</v>
      </c>
      <c r="H49" s="185">
        <f t="shared" ca="1" si="21"/>
        <v>0.67226881721388554</v>
      </c>
      <c r="I49" s="185"/>
    </row>
    <row r="50" spans="1:10" x14ac:dyDescent="0.25">
      <c r="A50" s="183" t="s">
        <v>30</v>
      </c>
      <c r="B50" s="183">
        <v>12</v>
      </c>
      <c r="C50" s="185">
        <f t="shared" ca="1" si="16"/>
        <v>0.54395290048614986</v>
      </c>
      <c r="D50" s="185">
        <f t="shared" ca="1" si="16"/>
        <v>0.60338475031381678</v>
      </c>
      <c r="E50" s="185">
        <f t="shared" ca="1" si="16"/>
        <v>0.60192614751883899</v>
      </c>
      <c r="F50" s="185">
        <f t="shared" ref="F50:H50" ca="1" si="22">SUM(F29,F8)</f>
        <v>0.61021751907528587</v>
      </c>
      <c r="G50" s="185">
        <f t="shared" ca="1" si="22"/>
        <v>0.66558448399983872</v>
      </c>
      <c r="H50" s="185">
        <f t="shared" ca="1" si="22"/>
        <v>0.66468255706766366</v>
      </c>
      <c r="I50" s="185"/>
    </row>
    <row r="51" spans="1:10" x14ac:dyDescent="0.25">
      <c r="A51" s="183" t="s">
        <v>31</v>
      </c>
      <c r="B51" s="183">
        <v>1</v>
      </c>
      <c r="C51" s="185">
        <f t="shared" ca="1" si="16"/>
        <v>0.54418869303774686</v>
      </c>
      <c r="D51" s="185">
        <f t="shared" ca="1" si="16"/>
        <v>0.56534987023345062</v>
      </c>
      <c r="E51" s="185">
        <f t="shared" ca="1" si="16"/>
        <v>0.54750201483153904</v>
      </c>
      <c r="F51" s="185">
        <f t="shared" ref="F51:H51" ca="1" si="23">SUM(F30,F9)</f>
        <v>0.58952191427618228</v>
      </c>
      <c r="G51" s="185">
        <f t="shared" ca="1" si="23"/>
        <v>0.6455766037378482</v>
      </c>
      <c r="H51" s="185">
        <f t="shared" ca="1" si="23"/>
        <v>0.63715481670138607</v>
      </c>
      <c r="I51" s="185"/>
    </row>
    <row r="52" spans="1:10" x14ac:dyDescent="0.25">
      <c r="A52" s="183" t="s">
        <v>32</v>
      </c>
      <c r="B52" s="183">
        <v>2</v>
      </c>
      <c r="C52" s="185">
        <f t="shared" ca="1" si="16"/>
        <v>0.54194900851648453</v>
      </c>
      <c r="D52" s="185">
        <f t="shared" ca="1" si="16"/>
        <v>0.57426152973372391</v>
      </c>
      <c r="E52" s="185">
        <f t="shared" ca="1" si="16"/>
        <v>0.54670927868728914</v>
      </c>
      <c r="F52" s="185">
        <f t="shared" ref="F52:H52" ca="1" si="24">SUM(F31,F10)</f>
        <v>0.57040102908067092</v>
      </c>
      <c r="G52" s="185">
        <f t="shared" ca="1" si="24"/>
        <v>0.61814226857434462</v>
      </c>
      <c r="H52" s="185">
        <f t="shared" ca="1" si="24"/>
        <v>0.63584053553214237</v>
      </c>
      <c r="I52" s="185"/>
    </row>
    <row r="53" spans="1:10" x14ac:dyDescent="0.25">
      <c r="A53" s="183" t="s">
        <v>33</v>
      </c>
      <c r="B53" s="183">
        <v>3</v>
      </c>
      <c r="C53" s="185">
        <f t="shared" ca="1" si="16"/>
        <v>0.6018479751310597</v>
      </c>
      <c r="D53" s="185">
        <f t="shared" ca="1" si="16"/>
        <v>0.5888150901032928</v>
      </c>
      <c r="E53" s="185">
        <f t="shared" ca="1" si="16"/>
        <v>0.63914276278295334</v>
      </c>
      <c r="F53" s="185">
        <f t="shared" ref="F53:H53" ca="1" si="25">SUM(F32,F11)</f>
        <v>0.63937819180978472</v>
      </c>
      <c r="G53" s="185">
        <f t="shared" ca="1" si="25"/>
        <v>0.6844062122140937</v>
      </c>
      <c r="H53" s="185">
        <f t="shared" ca="1" si="25"/>
        <v>0.59846122567208893</v>
      </c>
      <c r="I53" s="185"/>
    </row>
    <row r="54" spans="1:10" x14ac:dyDescent="0.25">
      <c r="A54" s="183" t="s">
        <v>34</v>
      </c>
      <c r="B54" s="183">
        <v>4</v>
      </c>
      <c r="C54" s="185">
        <f t="shared" ca="1" si="16"/>
        <v>0.54024847922489494</v>
      </c>
      <c r="D54" s="185">
        <f t="shared" ca="1" si="16"/>
        <v>0.57533346344025205</v>
      </c>
      <c r="E54" s="185">
        <f t="shared" ca="1" si="16"/>
        <v>0.52462495431335632</v>
      </c>
      <c r="F54" s="185">
        <f t="shared" ref="F54:H54" ca="1" si="26">SUM(F33,F12)</f>
        <v>0.59932995445214621</v>
      </c>
      <c r="G54" s="185">
        <f t="shared" ca="1" si="26"/>
        <v>0.61286846591765354</v>
      </c>
      <c r="H54" s="185">
        <f t="shared" ca="1" si="26"/>
        <v>0.24660082855105431</v>
      </c>
      <c r="I54" s="185"/>
    </row>
    <row r="55" spans="1:10" x14ac:dyDescent="0.25">
      <c r="A55" s="183" t="s">
        <v>35</v>
      </c>
      <c r="B55" s="183">
        <v>5</v>
      </c>
      <c r="C55" s="185">
        <f t="shared" ca="1" si="16"/>
        <v>0.51408675797306902</v>
      </c>
      <c r="D55" s="185">
        <f t="shared" ca="1" si="16"/>
        <v>0.56513230457416808</v>
      </c>
      <c r="E55" s="185">
        <f t="shared" ca="1" si="16"/>
        <v>0.56828336450744965</v>
      </c>
      <c r="F55" s="185">
        <f t="shared" ref="F55:H55" ca="1" si="27">SUM(F34,F13)</f>
        <v>0.60606441508637876</v>
      </c>
      <c r="G55" s="185">
        <f t="shared" ca="1" si="27"/>
        <v>0.65438034588291982</v>
      </c>
      <c r="H55" s="185">
        <f t="shared" ca="1" si="27"/>
        <v>0.54575910573439423</v>
      </c>
      <c r="I55" s="185"/>
    </row>
    <row r="56" spans="1:10" x14ac:dyDescent="0.25">
      <c r="A56" s="183" t="s">
        <v>36</v>
      </c>
      <c r="B56" s="183">
        <v>6</v>
      </c>
      <c r="C56" s="185">
        <f t="shared" ca="1" si="16"/>
        <v>0.49679739764553887</v>
      </c>
      <c r="D56" s="185">
        <f t="shared" ca="1" si="16"/>
        <v>0.50039963993128223</v>
      </c>
      <c r="E56" s="185">
        <f t="shared" ca="1" si="16"/>
        <v>0.51622049915719581</v>
      </c>
      <c r="F56" s="185">
        <f t="shared" ref="F56:H56" ca="1" si="28">SUM(F35,F14)</f>
        <v>0.55196804865618887</v>
      </c>
      <c r="G56" s="185">
        <f t="shared" ca="1" si="28"/>
        <v>0.55149442947631866</v>
      </c>
      <c r="H56" s="185">
        <f t="shared" ca="1" si="28"/>
        <v>0.58431699286911054</v>
      </c>
      <c r="I56" s="185"/>
    </row>
    <row r="57" spans="1:10" x14ac:dyDescent="0.25">
      <c r="A57" s="183" t="s">
        <v>66</v>
      </c>
      <c r="C57" s="185">
        <f t="shared" si="16"/>
        <v>0.01</v>
      </c>
      <c r="D57" s="185">
        <f t="shared" si="16"/>
        <v>0.01</v>
      </c>
      <c r="E57" s="185">
        <f t="shared" si="16"/>
        <v>0.01</v>
      </c>
      <c r="F57" s="185">
        <f t="shared" ref="F57" si="29">SUM(F36,F15)</f>
        <v>1.4999999999999999E-2</v>
      </c>
      <c r="G57" s="185">
        <f>SUM(G36,G15)</f>
        <v>1.01E-2</v>
      </c>
      <c r="H57" s="185"/>
      <c r="I57" s="185"/>
    </row>
    <row r="58" spans="1:10" x14ac:dyDescent="0.25">
      <c r="C58" s="185"/>
      <c r="D58" s="185"/>
      <c r="E58" s="185"/>
      <c r="F58" s="185"/>
      <c r="G58" s="185"/>
      <c r="H58" s="185"/>
      <c r="I58" s="185"/>
    </row>
    <row r="59" spans="1:10" x14ac:dyDescent="0.25">
      <c r="A59" s="183" t="s">
        <v>51</v>
      </c>
      <c r="C59" s="185">
        <f t="shared" ref="C59:D59" ca="1" si="30">SUM(C45:C57)</f>
        <v>6.2950827614796792</v>
      </c>
      <c r="D59" s="185">
        <f t="shared" ca="1" si="30"/>
        <v>6.6783774905486535</v>
      </c>
      <c r="E59" s="185">
        <f ca="1">SUM(E45:E57)</f>
        <v>6.5534393791845797</v>
      </c>
      <c r="F59" s="185">
        <f ca="1">SUM(F45:F57)</f>
        <v>7.1179996672713841</v>
      </c>
      <c r="G59" s="185">
        <f ca="1">SUM(G45:G57)</f>
        <v>7.5825506203457191</v>
      </c>
      <c r="H59" s="185">
        <f ca="1">SUM(H45:H57)</f>
        <v>7.0067044331265151</v>
      </c>
      <c r="I59" s="185"/>
      <c r="J59" s="190"/>
    </row>
    <row r="60" spans="1:10" x14ac:dyDescent="0.25">
      <c r="A60" s="183" t="s">
        <v>63</v>
      </c>
      <c r="C60" s="185">
        <f ca="1">MAX(C45:C56)</f>
        <v>0.6018479751310597</v>
      </c>
      <c r="D60" s="185">
        <f t="shared" ref="D60:E60" ca="1" si="31">MAX(D45:D56)</f>
        <v>0.60338475031381678</v>
      </c>
      <c r="E60" s="185">
        <f t="shared" ca="1" si="31"/>
        <v>0.63914276278295334</v>
      </c>
      <c r="F60" s="185">
        <f t="shared" ref="F60:H60" ca="1" si="32">MAX(F45:F56)</f>
        <v>0.63937819180978472</v>
      </c>
      <c r="G60" s="185">
        <f t="shared" ca="1" si="32"/>
        <v>0.6844062122140937</v>
      </c>
      <c r="H60" s="185">
        <f t="shared" ca="1" si="32"/>
        <v>0.67226881721388554</v>
      </c>
      <c r="I60" s="185"/>
    </row>
    <row r="61" spans="1:10" x14ac:dyDescent="0.25">
      <c r="A61" s="183" t="s">
        <v>62</v>
      </c>
      <c r="C61" s="185">
        <f ca="1">MIN(C45:C56)</f>
        <v>0.46226779299739973</v>
      </c>
      <c r="D61" s="185">
        <f t="shared" ref="D61:E61" ca="1" si="33">MIN(D45:D56)</f>
        <v>0.50039963993128223</v>
      </c>
      <c r="E61" s="185">
        <f t="shared" ca="1" si="33"/>
        <v>0.45918768946767469</v>
      </c>
      <c r="F61" s="185">
        <f t="shared" ref="F61:H61" ca="1" si="34">MIN(F45:F56)</f>
        <v>0.50298970486140304</v>
      </c>
      <c r="G61" s="185">
        <f t="shared" ca="1" si="34"/>
        <v>0.55149442947631866</v>
      </c>
      <c r="H61" s="185">
        <f t="shared" ca="1" si="34"/>
        <v>0.24660082855105431</v>
      </c>
      <c r="I61" s="185"/>
    </row>
    <row r="62" spans="1:10" x14ac:dyDescent="0.25">
      <c r="A62" s="183" t="s">
        <v>91</v>
      </c>
      <c r="D62" s="191">
        <f ca="1">(D59-C59)/C59</f>
        <v>6.0887957091588688E-2</v>
      </c>
      <c r="E62" s="191">
        <f t="shared" ref="E62:H62" ca="1" si="35">(E59-D59)/D59</f>
        <v>-1.8707854047017879E-2</v>
      </c>
      <c r="F62" s="191">
        <f t="shared" ca="1" si="35"/>
        <v>8.6147174852947289E-2</v>
      </c>
      <c r="G62" s="191">
        <f t="shared" ca="1" si="35"/>
        <v>6.5264256081711242E-2</v>
      </c>
      <c r="H62" s="191">
        <f t="shared" ca="1" si="35"/>
        <v>-7.5943599462966568E-2</v>
      </c>
      <c r="I62" s="191"/>
    </row>
    <row r="63" spans="1:10" x14ac:dyDescent="0.25">
      <c r="F63" s="186"/>
    </row>
  </sheetData>
  <mergeCells count="3">
    <mergeCell ref="C43:G43"/>
    <mergeCell ref="C22:G22"/>
    <mergeCell ref="C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H45"/>
  <sheetViews>
    <sheetView zoomScaleNormal="100" zoomScalePageLayoutView="113" workbookViewId="0">
      <selection activeCell="E17" sqref="E17"/>
    </sheetView>
  </sheetViews>
  <sheetFormatPr defaultColWidth="8.85546875" defaultRowHeight="15" x14ac:dyDescent="0.25"/>
  <cols>
    <col min="1" max="1" width="39.140625" bestFit="1" customWidth="1"/>
    <col min="2" max="2" width="12.140625" bestFit="1" customWidth="1"/>
    <col min="3" max="3" width="12" bestFit="1" customWidth="1"/>
    <col min="4" max="4" width="11.42578125" bestFit="1" customWidth="1"/>
    <col min="5" max="5" width="11" customWidth="1"/>
    <col min="6" max="6" width="11.42578125" bestFit="1" customWidth="1"/>
    <col min="7" max="7" width="14.28515625" bestFit="1" customWidth="1"/>
    <col min="8" max="8" width="12.28515625" bestFit="1" customWidth="1"/>
    <col min="9" max="9" width="11.42578125" bestFit="1" customWidth="1"/>
    <col min="10" max="10" width="10.7109375" customWidth="1"/>
    <col min="11" max="12" width="12.28515625" bestFit="1" customWidth="1"/>
    <col min="13" max="13" width="11.42578125" bestFit="1" customWidth="1"/>
    <col min="14" max="15" width="12.28515625" bestFit="1" customWidth="1"/>
    <col min="16" max="16" width="10.42578125" bestFit="1" customWidth="1"/>
    <col min="17" max="17" width="11" bestFit="1" customWidth="1"/>
    <col min="18" max="18" width="11.42578125" bestFit="1" customWidth="1"/>
    <col min="19" max="19" width="11" bestFit="1" customWidth="1"/>
    <col min="20" max="20" width="10.42578125" customWidth="1"/>
    <col min="21" max="21" width="11" bestFit="1" customWidth="1"/>
    <col min="22" max="22" width="11.42578125" bestFit="1" customWidth="1"/>
    <col min="23" max="23" width="12.42578125" bestFit="1" customWidth="1"/>
    <col min="24" max="24" width="11" bestFit="1" customWidth="1"/>
    <col min="25" max="25" width="12.42578125" bestFit="1" customWidth="1"/>
    <col min="26" max="26" width="11.42578125" bestFit="1" customWidth="1"/>
    <col min="27" max="27" width="12.42578125" bestFit="1" customWidth="1"/>
    <col min="28" max="29" width="11" bestFit="1" customWidth="1"/>
    <col min="30" max="30" width="11.42578125" bestFit="1" customWidth="1"/>
    <col min="31" max="31" width="11" bestFit="1" customWidth="1"/>
    <col min="32" max="32" width="10.42578125" bestFit="1" customWidth="1"/>
    <col min="33" max="33" width="11" bestFit="1" customWidth="1"/>
    <col min="34" max="34" width="11.42578125" bestFit="1" customWidth="1"/>
    <col min="35" max="35" width="11" bestFit="1" customWidth="1"/>
    <col min="36" max="36" width="11.42578125" bestFit="1" customWidth="1"/>
    <col min="37" max="37" width="11" bestFit="1" customWidth="1"/>
    <col min="38" max="38" width="11.42578125" bestFit="1" customWidth="1"/>
    <col min="39" max="39" width="11" bestFit="1" customWidth="1"/>
    <col min="40" max="40" width="10.42578125" bestFit="1" customWidth="1"/>
    <col min="41" max="41" width="11" bestFit="1" customWidth="1"/>
    <col min="42" max="42" width="11.42578125" bestFit="1" customWidth="1"/>
    <col min="43" max="43" width="11" bestFit="1" customWidth="1"/>
    <col min="44" max="44" width="10.42578125" bestFit="1" customWidth="1"/>
    <col min="45" max="45" width="11" bestFit="1" customWidth="1"/>
    <col min="46" max="46" width="11.42578125" bestFit="1" customWidth="1"/>
    <col min="47" max="47" width="11" bestFit="1" customWidth="1"/>
    <col min="48" max="48" width="10.42578125" bestFit="1" customWidth="1"/>
    <col min="49" max="49" width="11" bestFit="1" customWidth="1"/>
    <col min="50" max="50" width="11.42578125" bestFit="1" customWidth="1"/>
    <col min="51" max="51" width="11" bestFit="1" customWidth="1"/>
    <col min="52" max="52" width="10.42578125" customWidth="1"/>
    <col min="53" max="53" width="11.42578125" bestFit="1" customWidth="1"/>
    <col min="54" max="54" width="12.7109375" bestFit="1" customWidth="1"/>
    <col min="55" max="55" width="11.42578125" bestFit="1" customWidth="1"/>
    <col min="56" max="56" width="12.7109375" bestFit="1" customWidth="1"/>
    <col min="57" max="57" width="11.42578125" bestFit="1" customWidth="1"/>
    <col min="58" max="58" width="12.7109375" bestFit="1" customWidth="1"/>
    <col min="59" max="61" width="10.42578125" customWidth="1"/>
  </cols>
  <sheetData>
    <row r="1" spans="1:60" ht="18.75" x14ac:dyDescent="0.3">
      <c r="A1" s="1" t="s">
        <v>0</v>
      </c>
      <c r="B1" s="1"/>
      <c r="C1" s="1"/>
    </row>
    <row r="2" spans="1:60" ht="18.75" x14ac:dyDescent="0.3">
      <c r="A2" s="1" t="str">
        <f>"For the year ended 30 June "&amp;YEAR(C6)</f>
        <v>For the year ended 30 June 2016</v>
      </c>
      <c r="B2" s="1"/>
      <c r="C2" s="1"/>
    </row>
    <row r="3" spans="1:60" ht="15.75" thickBot="1" x14ac:dyDescent="0.3"/>
    <row r="4" spans="1:60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60" x14ac:dyDescent="0.25">
      <c r="A5" s="11" t="s">
        <v>4</v>
      </c>
      <c r="B5" s="12"/>
      <c r="C5" s="13" t="s">
        <v>36</v>
      </c>
      <c r="E5" s="14" t="s">
        <v>6</v>
      </c>
      <c r="F5" s="15"/>
      <c r="G5" s="107"/>
      <c r="H5" s="16"/>
      <c r="J5" s="17" t="s">
        <v>57</v>
      </c>
      <c r="K5" s="18"/>
      <c r="L5" s="18"/>
      <c r="M5" s="18"/>
      <c r="N5" s="18"/>
      <c r="O5" s="18"/>
      <c r="P5" s="18"/>
      <c r="Q5" s="18"/>
      <c r="R5" s="19"/>
    </row>
    <row r="6" spans="1:60" x14ac:dyDescent="0.25">
      <c r="A6" s="11" t="s">
        <v>8</v>
      </c>
      <c r="B6" s="12"/>
      <c r="C6" s="20">
        <v>42551</v>
      </c>
      <c r="E6" s="21" t="s">
        <v>9</v>
      </c>
      <c r="F6" s="15"/>
      <c r="G6" s="113">
        <v>86896.24</v>
      </c>
      <c r="H6" s="16"/>
      <c r="J6" s="114" t="s">
        <v>58</v>
      </c>
      <c r="K6" s="18"/>
      <c r="L6" s="18"/>
      <c r="M6" s="18"/>
      <c r="N6" s="18"/>
      <c r="O6" s="18"/>
      <c r="P6" s="18"/>
      <c r="Q6" s="18"/>
      <c r="R6" s="19"/>
    </row>
    <row r="7" spans="1:60" x14ac:dyDescent="0.25">
      <c r="A7" s="11" t="s">
        <v>11</v>
      </c>
      <c r="B7" s="12"/>
      <c r="C7" s="23">
        <v>6.6E-3</v>
      </c>
      <c r="E7" s="21"/>
      <c r="F7" s="15"/>
      <c r="G7" s="107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60" x14ac:dyDescent="0.25">
      <c r="A8" s="11" t="s">
        <v>13</v>
      </c>
      <c r="B8" s="12"/>
      <c r="C8" s="23">
        <v>3.3E-3</v>
      </c>
      <c r="E8" s="21" t="s">
        <v>14</v>
      </c>
      <c r="F8" s="15"/>
      <c r="G8" s="107">
        <f>G6*0.5/C7</f>
        <v>6583048.4848484853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60" x14ac:dyDescent="0.25">
      <c r="A9" s="11" t="s">
        <v>16</v>
      </c>
      <c r="B9" s="24">
        <v>125394000</v>
      </c>
      <c r="C9" s="23">
        <f>B9/SUM($B$9:$B$11)</f>
        <v>0.70441474077586408</v>
      </c>
      <c r="E9" s="21" t="s">
        <v>17</v>
      </c>
      <c r="F9" s="15"/>
      <c r="G9" s="107">
        <f>(G6*0.5)/C8</f>
        <v>13166096.969696971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60" x14ac:dyDescent="0.25">
      <c r="A10" s="11" t="s">
        <v>19</v>
      </c>
      <c r="B10" s="24">
        <v>29138320</v>
      </c>
      <c r="C10" s="23">
        <f>B10/SUM($B$9:$B$11)</f>
        <v>0.1636877532373493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60" x14ac:dyDescent="0.25">
      <c r="A11" s="11" t="s">
        <v>22</v>
      </c>
      <c r="B11" s="24">
        <v>23479287</v>
      </c>
      <c r="C11" s="23">
        <f>B11/SUM($B$9:$B$11)</f>
        <v>0.13189750598678657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60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115"/>
      <c r="K12" s="34"/>
      <c r="L12" s="34"/>
      <c r="M12" s="34"/>
      <c r="N12" s="34"/>
      <c r="O12" s="34"/>
      <c r="P12" s="34"/>
      <c r="Q12" s="34"/>
      <c r="R12" s="35"/>
    </row>
    <row r="13" spans="1:60" ht="15.75" thickBot="1" x14ac:dyDescent="0.3">
      <c r="A13" s="36"/>
      <c r="B13" s="36"/>
      <c r="C13" s="36"/>
    </row>
    <row r="14" spans="1:60" ht="15.75" thickBot="1" x14ac:dyDescent="0.3">
      <c r="A14" s="37" t="s">
        <v>25</v>
      </c>
      <c r="B14" s="38"/>
      <c r="C14" s="39"/>
      <c r="D14" s="222">
        <v>42186</v>
      </c>
      <c r="E14" s="220"/>
      <c r="F14" s="220"/>
      <c r="G14" s="220"/>
      <c r="H14" s="220">
        <v>42217</v>
      </c>
      <c r="I14" s="220"/>
      <c r="J14" s="220"/>
      <c r="K14" s="220"/>
      <c r="L14" s="220">
        <v>42248</v>
      </c>
      <c r="M14" s="220"/>
      <c r="N14" s="220"/>
      <c r="O14" s="220"/>
      <c r="P14" s="220">
        <v>42278</v>
      </c>
      <c r="Q14" s="220"/>
      <c r="R14" s="220"/>
      <c r="S14" s="220"/>
      <c r="T14" s="220">
        <v>42309</v>
      </c>
      <c r="U14" s="220"/>
      <c r="V14" s="220"/>
      <c r="W14" s="220"/>
      <c r="X14" s="220">
        <v>42339</v>
      </c>
      <c r="Y14" s="220"/>
      <c r="Z14" s="220"/>
      <c r="AA14" s="220"/>
      <c r="AB14" s="220">
        <v>42370</v>
      </c>
      <c r="AC14" s="220"/>
      <c r="AD14" s="220"/>
      <c r="AE14" s="220"/>
      <c r="AF14" s="220">
        <v>42401</v>
      </c>
      <c r="AG14" s="220"/>
      <c r="AH14" s="220"/>
      <c r="AI14" s="220"/>
      <c r="AJ14" s="220">
        <v>42430</v>
      </c>
      <c r="AK14" s="220"/>
      <c r="AL14" s="220"/>
      <c r="AM14" s="220"/>
      <c r="AN14" s="220">
        <v>42461</v>
      </c>
      <c r="AO14" s="220"/>
      <c r="AP14" s="220"/>
      <c r="AQ14" s="220"/>
      <c r="AR14" s="220">
        <v>42491</v>
      </c>
      <c r="AS14" s="220"/>
      <c r="AT14" s="220"/>
      <c r="AU14" s="220"/>
      <c r="AV14" s="220">
        <v>42522</v>
      </c>
      <c r="AW14" s="220"/>
      <c r="AX14" s="220"/>
      <c r="AY14" s="221"/>
    </row>
    <row r="15" spans="1:60" x14ac:dyDescent="0.25">
      <c r="A15" s="40"/>
      <c r="B15" s="36"/>
      <c r="C15" s="36"/>
      <c r="D15" s="227" t="s">
        <v>37</v>
      </c>
      <c r="E15" s="228"/>
      <c r="F15" s="227" t="s">
        <v>38</v>
      </c>
      <c r="G15" s="228"/>
      <c r="H15" s="227" t="s">
        <v>37</v>
      </c>
      <c r="I15" s="228"/>
      <c r="J15" s="227" t="s">
        <v>38</v>
      </c>
      <c r="K15" s="228"/>
      <c r="L15" s="227" t="s">
        <v>37</v>
      </c>
      <c r="M15" s="228"/>
      <c r="N15" s="227" t="s">
        <v>38</v>
      </c>
      <c r="O15" s="228"/>
      <c r="P15" s="227" t="s">
        <v>37</v>
      </c>
      <c r="Q15" s="228"/>
      <c r="R15" s="227" t="s">
        <v>38</v>
      </c>
      <c r="S15" s="228"/>
      <c r="T15" s="227" t="s">
        <v>37</v>
      </c>
      <c r="U15" s="228"/>
      <c r="V15" s="227" t="s">
        <v>38</v>
      </c>
      <c r="W15" s="228"/>
      <c r="X15" s="227" t="s">
        <v>37</v>
      </c>
      <c r="Y15" s="228"/>
      <c r="Z15" s="227" t="s">
        <v>38</v>
      </c>
      <c r="AA15" s="228"/>
      <c r="AB15" s="227" t="s">
        <v>37</v>
      </c>
      <c r="AC15" s="228"/>
      <c r="AD15" s="227" t="s">
        <v>38</v>
      </c>
      <c r="AE15" s="228"/>
      <c r="AF15" s="227" t="s">
        <v>37</v>
      </c>
      <c r="AG15" s="228"/>
      <c r="AH15" s="227" t="s">
        <v>38</v>
      </c>
      <c r="AI15" s="228"/>
      <c r="AJ15" s="227" t="s">
        <v>37</v>
      </c>
      <c r="AK15" s="228"/>
      <c r="AL15" s="227" t="s">
        <v>38</v>
      </c>
      <c r="AM15" s="228"/>
      <c r="AN15" s="227" t="s">
        <v>37</v>
      </c>
      <c r="AO15" s="228"/>
      <c r="AP15" s="225" t="s">
        <v>38</v>
      </c>
      <c r="AQ15" s="228"/>
      <c r="AR15" s="225" t="s">
        <v>37</v>
      </c>
      <c r="AS15" s="228"/>
      <c r="AT15" s="225" t="s">
        <v>38</v>
      </c>
      <c r="AU15" s="225"/>
      <c r="AV15" s="229" t="s">
        <v>37</v>
      </c>
      <c r="AW15" s="228"/>
      <c r="AX15" s="225" t="s">
        <v>38</v>
      </c>
      <c r="AY15" s="226"/>
      <c r="BG15" s="116"/>
      <c r="BH15" s="117"/>
    </row>
    <row r="16" spans="1:60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  <c r="BG16" s="118"/>
      <c r="BH16" s="118"/>
    </row>
    <row r="17" spans="1:60" x14ac:dyDescent="0.25">
      <c r="A17" s="48" t="s">
        <v>41</v>
      </c>
      <c r="B17" s="49"/>
      <c r="C17" s="49"/>
      <c r="D17" s="50">
        <v>2603152</v>
      </c>
      <c r="E17" s="119">
        <f>D17*$C$7</f>
        <v>17180.803199999998</v>
      </c>
      <c r="F17" s="50">
        <v>1502655</v>
      </c>
      <c r="G17" s="51">
        <f t="shared" ref="G17:G26" si="0">F17*$C$8</f>
        <v>4958.7614999999996</v>
      </c>
      <c r="H17" s="50">
        <v>2623788</v>
      </c>
      <c r="I17" s="51">
        <f t="shared" ref="I17:I26" si="1">H17*$C$7</f>
        <v>17317.000800000002</v>
      </c>
      <c r="J17" s="50">
        <v>1535403</v>
      </c>
      <c r="K17" s="51">
        <f t="shared" ref="K17:K26" si="2">J17*$C$8</f>
        <v>5066.8298999999997</v>
      </c>
      <c r="L17" s="50">
        <v>2673950</v>
      </c>
      <c r="M17" s="51">
        <f t="shared" ref="M17:M26" si="3">L17*$C$7</f>
        <v>17648.07</v>
      </c>
      <c r="N17" s="50">
        <v>1583812</v>
      </c>
      <c r="O17" s="51">
        <f t="shared" ref="O17:O26" si="4">N17*$C$8</f>
        <v>5226.5796</v>
      </c>
      <c r="P17" s="50">
        <v>2801939</v>
      </c>
      <c r="Q17" s="51">
        <f t="shared" ref="Q17:Q26" si="5">P17*$C$7</f>
        <v>18492.797399999999</v>
      </c>
      <c r="R17" s="50">
        <v>1756073</v>
      </c>
      <c r="S17" s="51">
        <f t="shared" ref="S17:S26" si="6">R17*$C$8</f>
        <v>5795.0409</v>
      </c>
      <c r="T17" s="50">
        <v>2760523</v>
      </c>
      <c r="U17" s="51">
        <f t="shared" ref="U17:U26" si="7">T17*$C$7</f>
        <v>18219.451799999999</v>
      </c>
      <c r="V17" s="50">
        <v>1857067</v>
      </c>
      <c r="W17" s="51">
        <f t="shared" ref="W17:W26" si="8">V17*$C$8</f>
        <v>6128.3211000000001</v>
      </c>
      <c r="X17" s="50">
        <v>3012602</v>
      </c>
      <c r="Y17" s="120">
        <f>ROUND(X17*$C$7,2)</f>
        <v>19883.169999999998</v>
      </c>
      <c r="Z17" s="50">
        <v>1866730</v>
      </c>
      <c r="AA17" s="120">
        <f>ROUND(Z17*$C$8,2)</f>
        <v>6160.21</v>
      </c>
      <c r="AB17" s="50">
        <v>1650156.8181818181</v>
      </c>
      <c r="AC17" s="120">
        <f t="shared" ref="AC17:AC26" si="9">AB17*$C$7</f>
        <v>10891.035</v>
      </c>
      <c r="AD17" s="50">
        <v>3300313.6363636362</v>
      </c>
      <c r="AE17" s="120">
        <f t="shared" ref="AE17:AE26" si="10">AD17*$C$8</f>
        <v>10891.035</v>
      </c>
      <c r="AF17" s="50">
        <v>3077430</v>
      </c>
      <c r="AG17" s="51">
        <f t="shared" ref="AG17:AG26" si="11">AF17*$C$7</f>
        <v>20311.038</v>
      </c>
      <c r="AH17" s="50">
        <v>1812618</v>
      </c>
      <c r="AI17" s="51">
        <f t="shared" ref="AI17:AI26" si="12">AH17*$C$8</f>
        <v>5981.6394</v>
      </c>
      <c r="AJ17" s="50">
        <v>2671659</v>
      </c>
      <c r="AK17" s="51">
        <f t="shared" ref="AK17:AK26" si="13">AJ17*$C$7</f>
        <v>17632.949400000001</v>
      </c>
      <c r="AL17" s="50">
        <v>3149590.16</v>
      </c>
      <c r="AM17" s="51">
        <f t="shared" ref="AM17:AM26" si="14">AL17*$C$8</f>
        <v>10393.647528000001</v>
      </c>
      <c r="AN17" s="50">
        <v>1813096.2121212122</v>
      </c>
      <c r="AO17" s="51">
        <f t="shared" ref="AO17:AO26" si="15">AN17*$C$7</f>
        <v>11966.434999999999</v>
      </c>
      <c r="AP17" s="52">
        <v>3626192.4242424243</v>
      </c>
      <c r="AQ17" s="51">
        <f t="shared" ref="AQ17:AQ26" si="16">AP17*$C$8</f>
        <v>11966.434999999999</v>
      </c>
      <c r="AR17" s="52">
        <v>2745326</v>
      </c>
      <c r="AS17" s="51">
        <f t="shared" ref="AS17:AS26" si="17">AR17*$C$7</f>
        <v>18119.151600000001</v>
      </c>
      <c r="AT17" s="52">
        <v>1903348</v>
      </c>
      <c r="AU17" s="53">
        <f t="shared" ref="AU17:AU26" si="18">AT17*$C$8</f>
        <v>6281.0483999999997</v>
      </c>
      <c r="AV17" s="54">
        <v>2700597</v>
      </c>
      <c r="AW17" s="51">
        <f t="shared" ref="AW17:AW26" si="19">AV17*$C$7</f>
        <v>17823.940200000001</v>
      </c>
      <c r="AX17" s="52">
        <v>1674191</v>
      </c>
      <c r="AY17" s="55">
        <f t="shared" ref="AY17:AY26" si="20">AX17*$C$8</f>
        <v>5524.8302999999996</v>
      </c>
      <c r="AZ17" s="53"/>
      <c r="BG17" s="53"/>
      <c r="BH17" s="53"/>
    </row>
    <row r="18" spans="1:60" x14ac:dyDescent="0.25">
      <c r="A18" s="48" t="s">
        <v>42</v>
      </c>
      <c r="B18" s="49"/>
      <c r="C18" s="49"/>
      <c r="D18" s="50">
        <v>607433</v>
      </c>
      <c r="E18" s="51">
        <f t="shared" ref="E18:E26" si="21">D18*$C$7</f>
        <v>4009.0578</v>
      </c>
      <c r="F18" s="50">
        <v>841604.29</v>
      </c>
      <c r="G18" s="51">
        <f t="shared" si="0"/>
        <v>2777.2941570000003</v>
      </c>
      <c r="H18" s="50">
        <v>603015.97</v>
      </c>
      <c r="I18" s="51">
        <f t="shared" si="1"/>
        <v>3979.9054019999999</v>
      </c>
      <c r="J18" s="50">
        <v>840433.61</v>
      </c>
      <c r="K18" s="51">
        <f t="shared" si="2"/>
        <v>2773.4309130000001</v>
      </c>
      <c r="L18" s="50">
        <v>672595.98</v>
      </c>
      <c r="M18" s="51">
        <f t="shared" si="3"/>
        <v>4439.133468</v>
      </c>
      <c r="N18" s="50">
        <v>936255.88</v>
      </c>
      <c r="O18" s="51">
        <f t="shared" si="4"/>
        <v>3089.6444040000001</v>
      </c>
      <c r="P18" s="50">
        <v>722354.98</v>
      </c>
      <c r="Q18" s="51">
        <f t="shared" si="5"/>
        <v>4767.5428679999995</v>
      </c>
      <c r="R18" s="50">
        <v>900687.8</v>
      </c>
      <c r="S18" s="51">
        <f t="shared" si="6"/>
        <v>2972.2697400000002</v>
      </c>
      <c r="T18" s="50">
        <v>678648.98</v>
      </c>
      <c r="U18" s="51">
        <f t="shared" si="7"/>
        <v>4479.0832679999994</v>
      </c>
      <c r="V18" s="50">
        <v>872666.26</v>
      </c>
      <c r="W18" s="51">
        <f t="shared" si="8"/>
        <v>2879.7986580000002</v>
      </c>
      <c r="X18" s="50">
        <v>701552</v>
      </c>
      <c r="Y18" s="120">
        <f t="shared" ref="Y18:Y26" si="22">ROUND(X18*$C$7,2)</f>
        <v>4630.24</v>
      </c>
      <c r="Z18" s="50">
        <v>923004.46</v>
      </c>
      <c r="AA18" s="120">
        <f t="shared" ref="AA18:AA26" si="23">ROUND(Z18*$C$8,2)</f>
        <v>3045.91</v>
      </c>
      <c r="AB18" s="50">
        <v>745052</v>
      </c>
      <c r="AC18" s="120">
        <f t="shared" si="9"/>
        <v>4917.3432000000003</v>
      </c>
      <c r="AD18" s="50">
        <v>818129.66</v>
      </c>
      <c r="AE18" s="120">
        <f t="shared" si="10"/>
        <v>2699.8278780000001</v>
      </c>
      <c r="AF18" s="50">
        <v>668673</v>
      </c>
      <c r="AG18" s="51">
        <f t="shared" si="11"/>
        <v>4413.2417999999998</v>
      </c>
      <c r="AH18" s="50">
        <v>829547.72</v>
      </c>
      <c r="AI18" s="51">
        <f t="shared" si="12"/>
        <v>2737.5074759999998</v>
      </c>
      <c r="AJ18" s="50">
        <v>800556</v>
      </c>
      <c r="AK18" s="51">
        <f t="shared" si="13"/>
        <v>5283.6696000000002</v>
      </c>
      <c r="AL18" s="50">
        <v>906581</v>
      </c>
      <c r="AM18" s="51">
        <f t="shared" si="14"/>
        <v>2991.7172999999998</v>
      </c>
      <c r="AN18" s="50">
        <v>533818.93939393933</v>
      </c>
      <c r="AO18" s="51">
        <f t="shared" si="15"/>
        <v>3523.2049999999995</v>
      </c>
      <c r="AP18" s="52">
        <v>1067637.8787878787</v>
      </c>
      <c r="AQ18" s="51">
        <f t="shared" si="16"/>
        <v>3523.2049999999995</v>
      </c>
      <c r="AR18" s="52">
        <v>695676</v>
      </c>
      <c r="AS18" s="51">
        <f t="shared" si="17"/>
        <v>4591.4615999999996</v>
      </c>
      <c r="AT18" s="52">
        <v>1438857</v>
      </c>
      <c r="AU18" s="53">
        <f t="shared" si="18"/>
        <v>4748.2281000000003</v>
      </c>
      <c r="AV18" s="54">
        <v>647549</v>
      </c>
      <c r="AW18" s="51">
        <f t="shared" si="19"/>
        <v>4273.8234000000002</v>
      </c>
      <c r="AX18" s="52">
        <v>617790.78</v>
      </c>
      <c r="AY18" s="55">
        <f t="shared" si="20"/>
        <v>2038.709574</v>
      </c>
      <c r="AZ18" s="53"/>
      <c r="BG18" s="53"/>
      <c r="BH18" s="53"/>
    </row>
    <row r="19" spans="1:60" x14ac:dyDescent="0.25">
      <c r="A19" s="48" t="s">
        <v>43</v>
      </c>
      <c r="B19" s="49"/>
      <c r="C19" s="49"/>
      <c r="D19" s="50">
        <v>818260.60606060608</v>
      </c>
      <c r="E19" s="51">
        <f t="shared" si="21"/>
        <v>5400.52</v>
      </c>
      <c r="F19" s="50">
        <v>1636521.2121212122</v>
      </c>
      <c r="G19" s="51">
        <f t="shared" si="0"/>
        <v>5400.52</v>
      </c>
      <c r="H19" s="50">
        <v>851678.03030303027</v>
      </c>
      <c r="I19" s="51">
        <f t="shared" si="1"/>
        <v>5621.0749999999998</v>
      </c>
      <c r="J19" s="50">
        <v>1703356.0606060605</v>
      </c>
      <c r="K19" s="51">
        <f t="shared" si="2"/>
        <v>5621.0749999999998</v>
      </c>
      <c r="L19" s="50">
        <v>829427.27272727282</v>
      </c>
      <c r="M19" s="51">
        <f t="shared" si="3"/>
        <v>5474.22</v>
      </c>
      <c r="N19" s="50">
        <v>1658854.5454545456</v>
      </c>
      <c r="O19" s="51">
        <f t="shared" si="4"/>
        <v>5474.22</v>
      </c>
      <c r="P19" s="50">
        <v>1466773</v>
      </c>
      <c r="Q19" s="51">
        <f t="shared" si="5"/>
        <v>9680.7018000000007</v>
      </c>
      <c r="R19" s="50">
        <v>784384</v>
      </c>
      <c r="S19" s="51">
        <f t="shared" si="6"/>
        <v>2588.4672</v>
      </c>
      <c r="T19" s="50">
        <v>1458431</v>
      </c>
      <c r="U19" s="119">
        <f>T19*$C$7</f>
        <v>9625.6445999999996</v>
      </c>
      <c r="V19" s="50">
        <v>799412</v>
      </c>
      <c r="W19" s="51">
        <f t="shared" si="8"/>
        <v>2638.0596</v>
      </c>
      <c r="X19" s="50">
        <v>971115.90909090906</v>
      </c>
      <c r="Y19" s="120">
        <f t="shared" si="22"/>
        <v>6409.37</v>
      </c>
      <c r="Z19" s="50">
        <v>1942231.8181818181</v>
      </c>
      <c r="AA19" s="120">
        <f t="shared" si="23"/>
        <v>6409.37</v>
      </c>
      <c r="AB19" s="50">
        <v>886225</v>
      </c>
      <c r="AC19" s="120">
        <f t="shared" si="9"/>
        <v>5849.085</v>
      </c>
      <c r="AD19" s="50">
        <v>1772450</v>
      </c>
      <c r="AE19" s="120">
        <f t="shared" si="10"/>
        <v>5849.085</v>
      </c>
      <c r="AF19" s="50">
        <v>1490488</v>
      </c>
      <c r="AG19" s="51">
        <f t="shared" si="11"/>
        <v>9837.2207999999991</v>
      </c>
      <c r="AH19" s="50">
        <v>826127</v>
      </c>
      <c r="AI19" s="51">
        <f t="shared" si="12"/>
        <v>2726.2190999999998</v>
      </c>
      <c r="AJ19" s="50">
        <v>1564033</v>
      </c>
      <c r="AK19" s="51">
        <f t="shared" si="13"/>
        <v>10322.6178</v>
      </c>
      <c r="AL19" s="50">
        <v>855395</v>
      </c>
      <c r="AM19" s="51">
        <f t="shared" si="14"/>
        <v>2822.8035</v>
      </c>
      <c r="AN19" s="50">
        <v>1425580</v>
      </c>
      <c r="AO19" s="51">
        <f t="shared" si="15"/>
        <v>9408.8279999999995</v>
      </c>
      <c r="AP19" s="52">
        <v>792303</v>
      </c>
      <c r="AQ19" s="51">
        <f t="shared" si="16"/>
        <v>2614.5999000000002</v>
      </c>
      <c r="AR19" s="52">
        <v>1322118</v>
      </c>
      <c r="AS19" s="51">
        <f t="shared" si="17"/>
        <v>8725.9788000000008</v>
      </c>
      <c r="AT19" s="52">
        <v>686431</v>
      </c>
      <c r="AU19" s="53">
        <f t="shared" si="18"/>
        <v>2265.2222999999999</v>
      </c>
      <c r="AV19" s="54">
        <v>1205338</v>
      </c>
      <c r="AW19" s="51">
        <f t="shared" si="19"/>
        <v>7955.2308000000003</v>
      </c>
      <c r="AX19" s="52">
        <v>655397</v>
      </c>
      <c r="AY19" s="55">
        <f t="shared" si="20"/>
        <v>2162.8101000000001</v>
      </c>
      <c r="AZ19" s="53"/>
      <c r="BG19" s="53"/>
      <c r="BH19" s="53"/>
    </row>
    <row r="20" spans="1:60" x14ac:dyDescent="0.25">
      <c r="A20" s="48" t="s">
        <v>44</v>
      </c>
      <c r="B20" s="49"/>
      <c r="C20" s="49"/>
      <c r="D20" s="50">
        <v>2243180.9</v>
      </c>
      <c r="E20" s="51">
        <f t="shared" si="21"/>
        <v>14804.993939999998</v>
      </c>
      <c r="F20" s="50">
        <v>2975960.25</v>
      </c>
      <c r="G20" s="51">
        <f t="shared" si="0"/>
        <v>9820.6688250000007</v>
      </c>
      <c r="H20" s="50">
        <v>2227738.19</v>
      </c>
      <c r="I20" s="51">
        <f t="shared" si="1"/>
        <v>14703.072054</v>
      </c>
      <c r="J20" s="50">
        <v>2860779.94</v>
      </c>
      <c r="K20" s="51">
        <f t="shared" si="2"/>
        <v>9440.573801999999</v>
      </c>
      <c r="L20" s="50">
        <v>2275508.59</v>
      </c>
      <c r="M20" s="51">
        <f t="shared" si="3"/>
        <v>15018.356693999998</v>
      </c>
      <c r="N20" s="50">
        <v>2792831.56</v>
      </c>
      <c r="O20" s="51">
        <f t="shared" si="4"/>
        <v>9216.3441480000001</v>
      </c>
      <c r="P20" s="50">
        <v>2342418.38</v>
      </c>
      <c r="Q20" s="51">
        <f t="shared" si="5"/>
        <v>15459.961308</v>
      </c>
      <c r="R20" s="50">
        <v>3011787.04</v>
      </c>
      <c r="S20" s="51">
        <f t="shared" si="6"/>
        <v>9938.8972319999993</v>
      </c>
      <c r="T20" s="50">
        <v>2443615.6800000002</v>
      </c>
      <c r="U20" s="51">
        <f t="shared" si="7"/>
        <v>16127.863488000001</v>
      </c>
      <c r="V20" s="50">
        <v>3200706.88</v>
      </c>
      <c r="W20" s="51">
        <f t="shared" si="8"/>
        <v>10562.332704</v>
      </c>
      <c r="X20" s="50">
        <v>2709059.58</v>
      </c>
      <c r="Y20" s="120">
        <f t="shared" si="22"/>
        <v>17879.79</v>
      </c>
      <c r="Z20" s="50">
        <v>3013101.25</v>
      </c>
      <c r="AA20" s="120">
        <f t="shared" si="23"/>
        <v>9943.23</v>
      </c>
      <c r="AB20" s="50">
        <v>2444449.27</v>
      </c>
      <c r="AC20" s="120">
        <f t="shared" si="9"/>
        <v>16133.365182</v>
      </c>
      <c r="AD20" s="50">
        <v>2735130.66</v>
      </c>
      <c r="AE20" s="120">
        <f t="shared" si="10"/>
        <v>9025.9311780000007</v>
      </c>
      <c r="AF20" s="50">
        <v>2450425.87</v>
      </c>
      <c r="AG20" s="51">
        <f t="shared" si="11"/>
        <v>16172.810742000001</v>
      </c>
      <c r="AH20" s="50">
        <v>3031787</v>
      </c>
      <c r="AI20" s="51">
        <f t="shared" si="12"/>
        <v>10004.8971</v>
      </c>
      <c r="AJ20" s="50">
        <v>2956574</v>
      </c>
      <c r="AK20" s="51">
        <f t="shared" si="13"/>
        <v>19513.3884</v>
      </c>
      <c r="AL20" s="50">
        <v>1815479</v>
      </c>
      <c r="AM20" s="51">
        <f t="shared" si="14"/>
        <v>5991.0806999999995</v>
      </c>
      <c r="AN20" s="50">
        <v>2445190.34</v>
      </c>
      <c r="AO20" s="51">
        <f t="shared" si="15"/>
        <v>16138.256243999998</v>
      </c>
      <c r="AP20" s="52">
        <v>3123103.73</v>
      </c>
      <c r="AQ20" s="51">
        <f t="shared" si="16"/>
        <v>10306.242308999999</v>
      </c>
      <c r="AR20" s="52">
        <v>2399576</v>
      </c>
      <c r="AS20" s="51">
        <f t="shared" si="17"/>
        <v>15837.2016</v>
      </c>
      <c r="AT20" s="52">
        <v>3253384</v>
      </c>
      <c r="AU20" s="53">
        <f t="shared" si="18"/>
        <v>10736.1672</v>
      </c>
      <c r="AV20" s="54">
        <v>2331847.98</v>
      </c>
      <c r="AW20" s="51">
        <f t="shared" si="19"/>
        <v>15390.196668</v>
      </c>
      <c r="AX20" s="52">
        <v>2933973.88</v>
      </c>
      <c r="AY20" s="55">
        <f t="shared" si="20"/>
        <v>9682.1138039999987</v>
      </c>
      <c r="AZ20" s="53"/>
      <c r="BG20" s="53"/>
      <c r="BH20" s="53"/>
    </row>
    <row r="21" spans="1:60" x14ac:dyDescent="0.25">
      <c r="A21" s="48" t="s">
        <v>45</v>
      </c>
      <c r="B21" s="49"/>
      <c r="C21" s="49"/>
      <c r="D21" s="50">
        <v>859346</v>
      </c>
      <c r="E21" s="51">
        <f t="shared" si="21"/>
        <v>5671.6836000000003</v>
      </c>
      <c r="F21" s="50">
        <v>2102996</v>
      </c>
      <c r="G21" s="51">
        <f t="shared" si="0"/>
        <v>6939.8868000000002</v>
      </c>
      <c r="H21" s="50">
        <v>858216</v>
      </c>
      <c r="I21" s="51">
        <f t="shared" si="1"/>
        <v>5664.2255999999998</v>
      </c>
      <c r="J21" s="50">
        <v>2272900.17</v>
      </c>
      <c r="K21" s="51">
        <f t="shared" si="2"/>
        <v>7500.5705609999995</v>
      </c>
      <c r="L21" s="50">
        <v>916166</v>
      </c>
      <c r="M21" s="51">
        <f t="shared" si="3"/>
        <v>6046.6956</v>
      </c>
      <c r="N21" s="50">
        <v>2591794</v>
      </c>
      <c r="O21" s="51">
        <f t="shared" si="4"/>
        <v>8552.9202000000005</v>
      </c>
      <c r="P21" s="50">
        <v>1015222</v>
      </c>
      <c r="Q21" s="51">
        <f t="shared" si="5"/>
        <v>6700.4651999999996</v>
      </c>
      <c r="R21" s="50">
        <v>2931853</v>
      </c>
      <c r="S21" s="51">
        <f t="shared" si="6"/>
        <v>9675.1149000000005</v>
      </c>
      <c r="T21" s="50">
        <v>1039664</v>
      </c>
      <c r="U21" s="51">
        <f t="shared" si="7"/>
        <v>6861.7824000000001</v>
      </c>
      <c r="V21" s="50">
        <v>3032713</v>
      </c>
      <c r="W21" s="51">
        <f t="shared" si="8"/>
        <v>10007.9529</v>
      </c>
      <c r="X21" s="50">
        <v>1220462</v>
      </c>
      <c r="Y21" s="120">
        <f t="shared" si="22"/>
        <v>8055.05</v>
      </c>
      <c r="Z21" s="50">
        <v>2833112</v>
      </c>
      <c r="AA21" s="120">
        <f t="shared" si="23"/>
        <v>9349.27</v>
      </c>
      <c r="AB21" s="50">
        <v>1089269</v>
      </c>
      <c r="AC21" s="120">
        <f t="shared" si="9"/>
        <v>7189.1754000000001</v>
      </c>
      <c r="AD21" s="50">
        <v>2561802</v>
      </c>
      <c r="AE21" s="120">
        <f t="shared" si="10"/>
        <v>8453.9465999999993</v>
      </c>
      <c r="AF21" s="50">
        <v>1175018</v>
      </c>
      <c r="AG21" s="51">
        <f t="shared" si="11"/>
        <v>7755.1188000000002</v>
      </c>
      <c r="AH21" s="50">
        <v>2797673</v>
      </c>
      <c r="AI21" s="51">
        <f t="shared" si="12"/>
        <v>9232.3209000000006</v>
      </c>
      <c r="AJ21" s="50">
        <v>1169269</v>
      </c>
      <c r="AK21" s="51">
        <f t="shared" si="13"/>
        <v>7717.1754000000001</v>
      </c>
      <c r="AL21" s="50">
        <v>2916387</v>
      </c>
      <c r="AM21" s="51">
        <f t="shared" si="14"/>
        <v>9624.0771000000004</v>
      </c>
      <c r="AN21" s="50">
        <v>1011120</v>
      </c>
      <c r="AO21" s="51">
        <f t="shared" si="15"/>
        <v>6673.3919999999998</v>
      </c>
      <c r="AP21" s="52">
        <v>2635000</v>
      </c>
      <c r="AQ21" s="51">
        <f t="shared" si="16"/>
        <v>8695.5</v>
      </c>
      <c r="AR21" s="52">
        <v>1023598</v>
      </c>
      <c r="AS21" s="51">
        <f t="shared" si="17"/>
        <v>6755.7467999999999</v>
      </c>
      <c r="AT21" s="52">
        <v>2661539</v>
      </c>
      <c r="AU21" s="53">
        <f t="shared" si="18"/>
        <v>8783.0787</v>
      </c>
      <c r="AV21" s="54">
        <v>987740</v>
      </c>
      <c r="AW21" s="51">
        <f t="shared" si="19"/>
        <v>6519.0839999999998</v>
      </c>
      <c r="AX21" s="52">
        <v>2568489</v>
      </c>
      <c r="AY21" s="55">
        <f t="shared" si="20"/>
        <v>8476.0136999999995</v>
      </c>
      <c r="AZ21" s="53"/>
      <c r="BG21" s="53"/>
      <c r="BH21" s="53"/>
    </row>
    <row r="22" spans="1:60" x14ac:dyDescent="0.25">
      <c r="A22" s="48" t="s">
        <v>46</v>
      </c>
      <c r="B22" s="49"/>
      <c r="C22" s="49"/>
      <c r="D22" s="50">
        <v>97483</v>
      </c>
      <c r="E22" s="51">
        <f t="shared" si="21"/>
        <v>643.38779999999997</v>
      </c>
      <c r="F22" s="50">
        <v>827531</v>
      </c>
      <c r="G22" s="51">
        <f t="shared" si="0"/>
        <v>2730.8523</v>
      </c>
      <c r="H22" s="50">
        <v>68145</v>
      </c>
      <c r="I22" s="51">
        <f t="shared" si="1"/>
        <v>449.75700000000001</v>
      </c>
      <c r="J22" s="50">
        <v>732618</v>
      </c>
      <c r="K22" s="51">
        <f t="shared" si="2"/>
        <v>2417.6394</v>
      </c>
      <c r="L22" s="50">
        <v>96055</v>
      </c>
      <c r="M22" s="51">
        <f t="shared" si="3"/>
        <v>633.96299999999997</v>
      </c>
      <c r="N22" s="50">
        <v>845949</v>
      </c>
      <c r="O22" s="51">
        <f t="shared" si="4"/>
        <v>2791.6316999999999</v>
      </c>
      <c r="P22" s="50">
        <v>101466</v>
      </c>
      <c r="Q22" s="51">
        <f t="shared" si="5"/>
        <v>669.67560000000003</v>
      </c>
      <c r="R22" s="50">
        <v>892521</v>
      </c>
      <c r="S22" s="51">
        <f t="shared" si="6"/>
        <v>2945.3193000000001</v>
      </c>
      <c r="T22" s="50">
        <v>95946</v>
      </c>
      <c r="U22" s="51">
        <f t="shared" si="7"/>
        <v>633.24360000000001</v>
      </c>
      <c r="V22" s="50">
        <v>846690</v>
      </c>
      <c r="W22" s="51">
        <f t="shared" si="8"/>
        <v>2794.0769999999998</v>
      </c>
      <c r="X22" s="50">
        <v>100903</v>
      </c>
      <c r="Y22" s="120">
        <f t="shared" si="22"/>
        <v>665.96</v>
      </c>
      <c r="Z22" s="50">
        <v>875033</v>
      </c>
      <c r="AA22" s="120">
        <f t="shared" si="23"/>
        <v>2887.61</v>
      </c>
      <c r="AB22" s="50">
        <v>94403</v>
      </c>
      <c r="AC22" s="120">
        <f t="shared" si="9"/>
        <v>623.0598</v>
      </c>
      <c r="AD22" s="50">
        <v>772078</v>
      </c>
      <c r="AE22" s="120">
        <f t="shared" si="10"/>
        <v>2547.8573999999999</v>
      </c>
      <c r="AF22" s="50">
        <v>99151</v>
      </c>
      <c r="AG22" s="51">
        <f t="shared" si="11"/>
        <v>654.39660000000003</v>
      </c>
      <c r="AH22" s="50">
        <v>831971</v>
      </c>
      <c r="AI22" s="51">
        <f t="shared" si="12"/>
        <v>2745.5043000000001</v>
      </c>
      <c r="AJ22" s="50">
        <v>101535</v>
      </c>
      <c r="AK22" s="51">
        <f t="shared" si="13"/>
        <v>670.13099999999997</v>
      </c>
      <c r="AL22" s="50">
        <v>927404</v>
      </c>
      <c r="AM22" s="51">
        <f t="shared" si="14"/>
        <v>3060.4331999999999</v>
      </c>
      <c r="AN22" s="50">
        <v>102660</v>
      </c>
      <c r="AO22" s="51">
        <f t="shared" si="15"/>
        <v>677.55600000000004</v>
      </c>
      <c r="AP22" s="52">
        <v>883690</v>
      </c>
      <c r="AQ22" s="51">
        <f t="shared" si="16"/>
        <v>2916.1770000000001</v>
      </c>
      <c r="AR22" s="52">
        <v>80266</v>
      </c>
      <c r="AS22" s="51">
        <f t="shared" si="17"/>
        <v>529.75559999999996</v>
      </c>
      <c r="AT22" s="52">
        <v>895746</v>
      </c>
      <c r="AU22" s="53">
        <f t="shared" si="18"/>
        <v>2955.9618</v>
      </c>
      <c r="AV22" s="54">
        <v>258161</v>
      </c>
      <c r="AW22" s="51">
        <f t="shared" si="19"/>
        <v>1703.8625999999999</v>
      </c>
      <c r="AX22" s="52">
        <v>516321</v>
      </c>
      <c r="AY22" s="55">
        <f t="shared" si="20"/>
        <v>1703.8593000000001</v>
      </c>
      <c r="AZ22" s="53"/>
      <c r="BG22" s="53"/>
      <c r="BH22" s="53"/>
    </row>
    <row r="23" spans="1:60" x14ac:dyDescent="0.25">
      <c r="A23" s="48" t="s">
        <v>47</v>
      </c>
      <c r="B23" s="49"/>
      <c r="C23" s="49"/>
      <c r="D23" s="50">
        <v>348998</v>
      </c>
      <c r="E23" s="51">
        <f t="shared" si="21"/>
        <v>2303.3867999999998</v>
      </c>
      <c r="F23" s="50">
        <v>751963</v>
      </c>
      <c r="G23" s="51">
        <f t="shared" si="0"/>
        <v>2481.4778999999999</v>
      </c>
      <c r="H23" s="50">
        <v>339592</v>
      </c>
      <c r="I23" s="51">
        <f t="shared" si="1"/>
        <v>2241.3072000000002</v>
      </c>
      <c r="J23" s="50">
        <v>738097</v>
      </c>
      <c r="K23" s="51">
        <f t="shared" si="2"/>
        <v>2435.7201</v>
      </c>
      <c r="L23" s="50">
        <v>380283.33333333331</v>
      </c>
      <c r="M23" s="51">
        <f t="shared" si="3"/>
        <v>2509.87</v>
      </c>
      <c r="N23" s="50">
        <v>760566.66666666663</v>
      </c>
      <c r="O23" s="51">
        <f t="shared" si="4"/>
        <v>2509.87</v>
      </c>
      <c r="P23" s="50">
        <v>423920.45454545453</v>
      </c>
      <c r="Q23" s="51">
        <f t="shared" si="5"/>
        <v>2797.875</v>
      </c>
      <c r="R23" s="50">
        <v>847840.90909090906</v>
      </c>
      <c r="S23" s="51">
        <f t="shared" si="6"/>
        <v>2797.875</v>
      </c>
      <c r="T23" s="50">
        <v>420443</v>
      </c>
      <c r="U23" s="51">
        <f t="shared" si="7"/>
        <v>2774.9238</v>
      </c>
      <c r="V23" s="50">
        <v>1056078</v>
      </c>
      <c r="W23" s="51">
        <f t="shared" si="8"/>
        <v>3485.0574000000001</v>
      </c>
      <c r="X23" s="50">
        <v>426689</v>
      </c>
      <c r="Y23" s="120">
        <f t="shared" si="22"/>
        <v>2816.15</v>
      </c>
      <c r="Z23" s="50">
        <v>984619</v>
      </c>
      <c r="AA23" s="120">
        <f t="shared" si="23"/>
        <v>3249.24</v>
      </c>
      <c r="AB23" s="50">
        <v>392739</v>
      </c>
      <c r="AC23" s="120">
        <f t="shared" si="9"/>
        <v>2592.0774000000001</v>
      </c>
      <c r="AD23" s="50">
        <v>785237.9</v>
      </c>
      <c r="AE23" s="120">
        <f t="shared" si="10"/>
        <v>2591.2850699999999</v>
      </c>
      <c r="AF23" s="50">
        <v>445649</v>
      </c>
      <c r="AG23" s="51">
        <f t="shared" si="11"/>
        <v>2941.2833999999998</v>
      </c>
      <c r="AH23" s="50">
        <v>998320</v>
      </c>
      <c r="AI23" s="51">
        <f t="shared" si="12"/>
        <v>3294.4560000000001</v>
      </c>
      <c r="AJ23" s="50">
        <v>401519</v>
      </c>
      <c r="AK23" s="51">
        <f t="shared" si="13"/>
        <v>2650.0254</v>
      </c>
      <c r="AL23" s="50">
        <v>896956</v>
      </c>
      <c r="AM23" s="51">
        <f t="shared" si="14"/>
        <v>2959.9548</v>
      </c>
      <c r="AN23" s="50">
        <v>385794.2</v>
      </c>
      <c r="AO23" s="51">
        <f t="shared" si="15"/>
        <v>2546.24172</v>
      </c>
      <c r="AP23" s="52">
        <v>770658</v>
      </c>
      <c r="AQ23" s="51">
        <f t="shared" si="16"/>
        <v>2543.1714000000002</v>
      </c>
      <c r="AR23" s="52">
        <v>363181</v>
      </c>
      <c r="AS23" s="51">
        <f t="shared" si="17"/>
        <v>2396.9946</v>
      </c>
      <c r="AT23" s="52">
        <v>787655</v>
      </c>
      <c r="AU23" s="53">
        <f t="shared" si="18"/>
        <v>2599.2615000000001</v>
      </c>
      <c r="AV23" s="54">
        <v>321691</v>
      </c>
      <c r="AW23" s="51">
        <f t="shared" si="19"/>
        <v>2123.1606000000002</v>
      </c>
      <c r="AX23" s="52">
        <v>650740</v>
      </c>
      <c r="AY23" s="55">
        <f t="shared" si="20"/>
        <v>2147.442</v>
      </c>
      <c r="AZ23" s="53"/>
      <c r="BG23" s="53"/>
      <c r="BH23" s="53"/>
    </row>
    <row r="24" spans="1:60" x14ac:dyDescent="0.25">
      <c r="A24" s="48" t="s">
        <v>48</v>
      </c>
      <c r="B24" s="49"/>
      <c r="C24" s="49"/>
      <c r="D24" s="50">
        <v>122541</v>
      </c>
      <c r="E24" s="51">
        <f t="shared" si="21"/>
        <v>808.77059999999994</v>
      </c>
      <c r="F24" s="50">
        <v>909429</v>
      </c>
      <c r="G24" s="51">
        <f t="shared" si="0"/>
        <v>3001.1156999999998</v>
      </c>
      <c r="H24" s="50">
        <v>105449</v>
      </c>
      <c r="I24" s="51">
        <f t="shared" si="1"/>
        <v>695.96339999999998</v>
      </c>
      <c r="J24" s="50">
        <v>893500</v>
      </c>
      <c r="K24" s="51">
        <f t="shared" si="2"/>
        <v>2948.55</v>
      </c>
      <c r="L24" s="50">
        <v>143138</v>
      </c>
      <c r="M24" s="51">
        <f t="shared" si="3"/>
        <v>944.71079999999995</v>
      </c>
      <c r="N24" s="50">
        <v>985923</v>
      </c>
      <c r="O24" s="51">
        <f t="shared" si="4"/>
        <v>3253.5459000000001</v>
      </c>
      <c r="P24" s="50">
        <v>144421</v>
      </c>
      <c r="Q24" s="51">
        <f t="shared" si="5"/>
        <v>953.17859999999996</v>
      </c>
      <c r="R24" s="50">
        <v>1159556</v>
      </c>
      <c r="S24" s="51">
        <f t="shared" si="6"/>
        <v>3826.5347999999999</v>
      </c>
      <c r="T24" s="50">
        <v>149492</v>
      </c>
      <c r="U24" s="51">
        <f t="shared" si="7"/>
        <v>986.6472</v>
      </c>
      <c r="V24" s="50">
        <v>1292383</v>
      </c>
      <c r="W24" s="51">
        <f t="shared" si="8"/>
        <v>4264.8639000000003</v>
      </c>
      <c r="X24" s="50">
        <v>155784</v>
      </c>
      <c r="Y24" s="120">
        <f t="shared" si="22"/>
        <v>1028.17</v>
      </c>
      <c r="Z24" s="50">
        <v>1074099</v>
      </c>
      <c r="AA24" s="120">
        <f t="shared" si="23"/>
        <v>3544.53</v>
      </c>
      <c r="AB24" s="50">
        <v>124932</v>
      </c>
      <c r="AC24" s="120">
        <f t="shared" si="9"/>
        <v>824.55119999999999</v>
      </c>
      <c r="AD24" s="50">
        <v>994859</v>
      </c>
      <c r="AE24" s="120">
        <f t="shared" si="10"/>
        <v>3283.0347000000002</v>
      </c>
      <c r="AF24" s="50">
        <v>134541</v>
      </c>
      <c r="AG24" s="51">
        <f t="shared" si="11"/>
        <v>887.97059999999999</v>
      </c>
      <c r="AH24" s="50">
        <v>1012670</v>
      </c>
      <c r="AI24" s="51">
        <f t="shared" si="12"/>
        <v>3341.8110000000001</v>
      </c>
      <c r="AJ24" s="50">
        <v>149759</v>
      </c>
      <c r="AK24" s="51">
        <f t="shared" si="13"/>
        <v>988.40940000000001</v>
      </c>
      <c r="AL24" s="50">
        <v>1023172</v>
      </c>
      <c r="AM24" s="51">
        <f t="shared" si="14"/>
        <v>3376.4675999999999</v>
      </c>
      <c r="AN24" s="50">
        <v>123330</v>
      </c>
      <c r="AO24" s="51">
        <f t="shared" si="15"/>
        <v>813.97799999999995</v>
      </c>
      <c r="AP24" s="52">
        <v>952276</v>
      </c>
      <c r="AQ24" s="51">
        <f t="shared" si="16"/>
        <v>3142.5108</v>
      </c>
      <c r="AR24" s="52">
        <v>129509</v>
      </c>
      <c r="AS24" s="51">
        <f t="shared" si="17"/>
        <v>854.75940000000003</v>
      </c>
      <c r="AT24" s="52">
        <v>970055</v>
      </c>
      <c r="AU24" s="53">
        <f t="shared" si="18"/>
        <v>3201.1815000000001</v>
      </c>
      <c r="AV24" s="54">
        <v>117849</v>
      </c>
      <c r="AW24" s="51">
        <f t="shared" si="19"/>
        <v>777.80340000000001</v>
      </c>
      <c r="AX24" s="52">
        <v>924388</v>
      </c>
      <c r="AY24" s="55">
        <f t="shared" si="20"/>
        <v>3050.4803999999999</v>
      </c>
      <c r="AZ24" s="53"/>
      <c r="BG24" s="53"/>
      <c r="BH24" s="53"/>
    </row>
    <row r="25" spans="1:60" x14ac:dyDescent="0.25">
      <c r="A25" s="48" t="s">
        <v>49</v>
      </c>
      <c r="B25" s="49"/>
      <c r="C25" s="49"/>
      <c r="D25" s="50">
        <v>0</v>
      </c>
      <c r="E25" s="51">
        <f t="shared" si="21"/>
        <v>0</v>
      </c>
      <c r="F25" s="50">
        <v>32019</v>
      </c>
      <c r="G25" s="51">
        <f t="shared" si="0"/>
        <v>105.6627</v>
      </c>
      <c r="H25" s="50">
        <v>0</v>
      </c>
      <c r="I25" s="51">
        <f t="shared" si="1"/>
        <v>0</v>
      </c>
      <c r="J25" s="50">
        <v>0</v>
      </c>
      <c r="K25" s="51">
        <f t="shared" si="2"/>
        <v>0</v>
      </c>
      <c r="L25" s="50">
        <v>0</v>
      </c>
      <c r="M25" s="51">
        <f t="shared" si="3"/>
        <v>0</v>
      </c>
      <c r="N25" s="50">
        <v>0</v>
      </c>
      <c r="O25" s="51">
        <f t="shared" si="4"/>
        <v>0</v>
      </c>
      <c r="P25" s="50">
        <v>0</v>
      </c>
      <c r="Q25" s="51">
        <f t="shared" si="5"/>
        <v>0</v>
      </c>
      <c r="R25" s="50">
        <v>0</v>
      </c>
      <c r="S25" s="51">
        <f t="shared" si="6"/>
        <v>0</v>
      </c>
      <c r="T25" s="50">
        <v>0</v>
      </c>
      <c r="U25" s="51">
        <f t="shared" si="7"/>
        <v>0</v>
      </c>
      <c r="V25" s="50">
        <v>0</v>
      </c>
      <c r="W25" s="51">
        <f t="shared" si="8"/>
        <v>0</v>
      </c>
      <c r="X25" s="50">
        <v>0</v>
      </c>
      <c r="Y25" s="120">
        <f t="shared" si="22"/>
        <v>0</v>
      </c>
      <c r="Z25" s="50">
        <v>0</v>
      </c>
      <c r="AA25" s="120">
        <f t="shared" si="23"/>
        <v>0</v>
      </c>
      <c r="AB25" s="50">
        <v>1600</v>
      </c>
      <c r="AC25" s="120">
        <f t="shared" si="9"/>
        <v>10.56</v>
      </c>
      <c r="AD25" s="50">
        <v>60000</v>
      </c>
      <c r="AE25" s="120">
        <f t="shared" si="10"/>
        <v>198</v>
      </c>
      <c r="AF25" s="50">
        <v>0</v>
      </c>
      <c r="AG25" s="51">
        <f t="shared" si="11"/>
        <v>0</v>
      </c>
      <c r="AH25" s="50">
        <v>37794</v>
      </c>
      <c r="AI25" s="51">
        <f t="shared" si="12"/>
        <v>124.72020000000001</v>
      </c>
      <c r="AJ25" s="50">
        <v>600</v>
      </c>
      <c r="AK25" s="51">
        <f t="shared" si="13"/>
        <v>3.96</v>
      </c>
      <c r="AL25" s="50">
        <v>0</v>
      </c>
      <c r="AM25" s="51">
        <f t="shared" si="14"/>
        <v>0</v>
      </c>
      <c r="AN25" s="50">
        <v>0</v>
      </c>
      <c r="AO25" s="51">
        <f t="shared" si="15"/>
        <v>0</v>
      </c>
      <c r="AP25" s="52">
        <v>0</v>
      </c>
      <c r="AQ25" s="51">
        <f t="shared" si="16"/>
        <v>0</v>
      </c>
      <c r="AR25" s="52">
        <v>0</v>
      </c>
      <c r="AS25" s="51">
        <f t="shared" si="17"/>
        <v>0</v>
      </c>
      <c r="AT25" s="52">
        <v>0</v>
      </c>
      <c r="AU25" s="53">
        <f t="shared" si="18"/>
        <v>0</v>
      </c>
      <c r="AV25" s="54">
        <v>0</v>
      </c>
      <c r="AW25" s="51">
        <f t="shared" si="19"/>
        <v>0</v>
      </c>
      <c r="AX25" s="52">
        <v>0</v>
      </c>
      <c r="AY25" s="55">
        <f t="shared" si="20"/>
        <v>0</v>
      </c>
      <c r="AZ25" s="53"/>
      <c r="BG25" s="53"/>
      <c r="BH25" s="53"/>
    </row>
    <row r="26" spans="1:60" x14ac:dyDescent="0.25">
      <c r="A26" s="48" t="s">
        <v>50</v>
      </c>
      <c r="B26" s="49"/>
      <c r="C26" s="49"/>
      <c r="D26" s="50">
        <v>174193</v>
      </c>
      <c r="E26" s="51">
        <f t="shared" si="21"/>
        <v>1149.6738</v>
      </c>
      <c r="F26" s="50">
        <v>72018</v>
      </c>
      <c r="G26" s="51">
        <f t="shared" si="0"/>
        <v>237.65940000000001</v>
      </c>
      <c r="H26" s="50">
        <v>129996</v>
      </c>
      <c r="I26" s="51">
        <f t="shared" si="1"/>
        <v>857.97360000000003</v>
      </c>
      <c r="J26" s="50">
        <v>62865</v>
      </c>
      <c r="K26" s="51">
        <f t="shared" si="2"/>
        <v>207.4545</v>
      </c>
      <c r="L26" s="50">
        <v>190683</v>
      </c>
      <c r="M26" s="51">
        <f t="shared" si="3"/>
        <v>1258.5078000000001</v>
      </c>
      <c r="N26" s="50">
        <v>82804</v>
      </c>
      <c r="O26" s="51">
        <f t="shared" si="4"/>
        <v>273.25319999999999</v>
      </c>
      <c r="P26" s="50">
        <v>167152</v>
      </c>
      <c r="Q26" s="51">
        <f t="shared" si="5"/>
        <v>1103.2031999999999</v>
      </c>
      <c r="R26" s="50">
        <v>107398</v>
      </c>
      <c r="S26" s="51">
        <f t="shared" si="6"/>
        <v>354.41340000000002</v>
      </c>
      <c r="T26" s="50">
        <v>162583</v>
      </c>
      <c r="U26" s="51">
        <f t="shared" si="7"/>
        <v>1073.0478000000001</v>
      </c>
      <c r="V26" s="50">
        <v>114090</v>
      </c>
      <c r="W26" s="51">
        <f t="shared" si="8"/>
        <v>376.49700000000001</v>
      </c>
      <c r="X26" s="50">
        <v>202886</v>
      </c>
      <c r="Y26" s="120">
        <f t="shared" si="22"/>
        <v>1339.05</v>
      </c>
      <c r="Z26" s="50">
        <v>101565</v>
      </c>
      <c r="AA26" s="120">
        <f t="shared" si="23"/>
        <v>335.16</v>
      </c>
      <c r="AB26" s="50">
        <v>212235</v>
      </c>
      <c r="AC26" s="120">
        <f t="shared" si="9"/>
        <v>1400.751</v>
      </c>
      <c r="AD26" s="50">
        <v>105422</v>
      </c>
      <c r="AE26" s="120">
        <f t="shared" si="10"/>
        <v>347.89260000000002</v>
      </c>
      <c r="AF26" s="50">
        <v>214348</v>
      </c>
      <c r="AG26" s="51">
        <f t="shared" si="11"/>
        <v>1414.6967999999999</v>
      </c>
      <c r="AH26" s="50">
        <v>127452</v>
      </c>
      <c r="AI26" s="51">
        <f t="shared" si="12"/>
        <v>420.59159999999997</v>
      </c>
      <c r="AJ26" s="50">
        <v>197699</v>
      </c>
      <c r="AK26" s="51">
        <f t="shared" si="13"/>
        <v>1304.8134</v>
      </c>
      <c r="AL26" s="50">
        <v>117529</v>
      </c>
      <c r="AM26" s="51">
        <f t="shared" si="14"/>
        <v>387.84570000000002</v>
      </c>
      <c r="AN26" s="50">
        <v>158197</v>
      </c>
      <c r="AO26" s="51">
        <f t="shared" si="15"/>
        <v>1044.1002000000001</v>
      </c>
      <c r="AP26" s="52">
        <v>96942</v>
      </c>
      <c r="AQ26" s="51">
        <f t="shared" si="16"/>
        <v>319.90859999999998</v>
      </c>
      <c r="AR26" s="52">
        <v>180876</v>
      </c>
      <c r="AS26" s="51">
        <f t="shared" si="17"/>
        <v>1193.7816</v>
      </c>
      <c r="AT26" s="52">
        <v>115673</v>
      </c>
      <c r="AU26" s="53">
        <f t="shared" si="18"/>
        <v>381.72089999999997</v>
      </c>
      <c r="AV26" s="54">
        <v>80457</v>
      </c>
      <c r="AW26" s="51">
        <f t="shared" si="19"/>
        <v>531.01620000000003</v>
      </c>
      <c r="AX26" s="52">
        <v>44806</v>
      </c>
      <c r="AY26" s="55">
        <f t="shared" si="20"/>
        <v>147.85980000000001</v>
      </c>
      <c r="AZ26" s="53"/>
      <c r="BG26" s="53"/>
      <c r="BH26" s="53"/>
    </row>
    <row r="27" spans="1:60" ht="15.75" thickBot="1" x14ac:dyDescent="0.3">
      <c r="A27" s="56" t="s">
        <v>51</v>
      </c>
      <c r="B27" s="57"/>
      <c r="C27" s="57"/>
      <c r="D27" s="58">
        <f t="shared" ref="D27:AY27" si="24">SUM(D17:D26)</f>
        <v>7874587.5060606059</v>
      </c>
      <c r="E27" s="59">
        <f t="shared" si="24"/>
        <v>51972.277539999995</v>
      </c>
      <c r="F27" s="58">
        <f t="shared" si="24"/>
        <v>11652696.752121212</v>
      </c>
      <c r="G27" s="59">
        <f t="shared" si="24"/>
        <v>38453.899281999998</v>
      </c>
      <c r="H27" s="58">
        <f t="shared" si="24"/>
        <v>7807618.1903030295</v>
      </c>
      <c r="I27" s="59">
        <f t="shared" si="24"/>
        <v>51530.280055999996</v>
      </c>
      <c r="J27" s="58">
        <f t="shared" si="24"/>
        <v>11639952.780606061</v>
      </c>
      <c r="K27" s="59">
        <f t="shared" si="24"/>
        <v>38411.844175999999</v>
      </c>
      <c r="L27" s="58">
        <f t="shared" si="24"/>
        <v>8177807.1760606058</v>
      </c>
      <c r="M27" s="59">
        <f t="shared" si="24"/>
        <v>53973.527362000001</v>
      </c>
      <c r="N27" s="58">
        <f t="shared" si="24"/>
        <v>12238790.652121212</v>
      </c>
      <c r="O27" s="59">
        <f t="shared" si="24"/>
        <v>40388.009151999999</v>
      </c>
      <c r="P27" s="58">
        <f t="shared" si="24"/>
        <v>9185666.8145454545</v>
      </c>
      <c r="Q27" s="59">
        <f t="shared" si="24"/>
        <v>60625.400976000004</v>
      </c>
      <c r="R27" s="58">
        <f t="shared" si="24"/>
        <v>12392100.749090908</v>
      </c>
      <c r="S27" s="59">
        <f t="shared" si="24"/>
        <v>40893.932472</v>
      </c>
      <c r="T27" s="58">
        <f t="shared" si="24"/>
        <v>9209346.6600000001</v>
      </c>
      <c r="U27" s="59">
        <f t="shared" si="24"/>
        <v>60781.687955999994</v>
      </c>
      <c r="V27" s="58">
        <f t="shared" si="24"/>
        <v>13071806.140000001</v>
      </c>
      <c r="W27" s="59">
        <f t="shared" si="24"/>
        <v>43136.960262000008</v>
      </c>
      <c r="X27" s="58">
        <f t="shared" si="24"/>
        <v>9501053.4890909083</v>
      </c>
      <c r="Y27" s="121">
        <f t="shared" si="24"/>
        <v>62706.95</v>
      </c>
      <c r="Z27" s="58">
        <f t="shared" si="24"/>
        <v>13613495.528181817</v>
      </c>
      <c r="AA27" s="121">
        <f t="shared" si="24"/>
        <v>44924.53</v>
      </c>
      <c r="AB27" s="58">
        <f t="shared" si="24"/>
        <v>7641061.0881818179</v>
      </c>
      <c r="AC27" s="121">
        <f t="shared" si="24"/>
        <v>50431.003182</v>
      </c>
      <c r="AD27" s="58">
        <f t="shared" si="24"/>
        <v>13905422.856363637</v>
      </c>
      <c r="AE27" s="121">
        <f t="shared" si="24"/>
        <v>45887.895425999995</v>
      </c>
      <c r="AF27" s="58">
        <f t="shared" si="24"/>
        <v>9755723.870000001</v>
      </c>
      <c r="AG27" s="59">
        <f t="shared" si="24"/>
        <v>64387.777541999996</v>
      </c>
      <c r="AH27" s="58">
        <f t="shared" si="24"/>
        <v>12305959.719999999</v>
      </c>
      <c r="AI27" s="59">
        <f t="shared" si="24"/>
        <v>40609.667076000005</v>
      </c>
      <c r="AJ27" s="58">
        <f t="shared" si="24"/>
        <v>10013203</v>
      </c>
      <c r="AK27" s="59">
        <f t="shared" si="24"/>
        <v>66087.13979999999</v>
      </c>
      <c r="AL27" s="58">
        <f t="shared" si="24"/>
        <v>12608493.16</v>
      </c>
      <c r="AM27" s="59">
        <f t="shared" si="24"/>
        <v>41608.027427999994</v>
      </c>
      <c r="AN27" s="58">
        <f t="shared" si="24"/>
        <v>7998786.6915151514</v>
      </c>
      <c r="AO27" s="59">
        <f t="shared" si="24"/>
        <v>52791.992163999996</v>
      </c>
      <c r="AP27" s="60">
        <f t="shared" si="24"/>
        <v>13947803.033030303</v>
      </c>
      <c r="AQ27" s="59">
        <f t="shared" si="24"/>
        <v>46027.750009000003</v>
      </c>
      <c r="AR27" s="60">
        <f t="shared" si="24"/>
        <v>8940126</v>
      </c>
      <c r="AS27" s="59">
        <f t="shared" si="24"/>
        <v>59004.831600000005</v>
      </c>
      <c r="AT27" s="60">
        <f t="shared" si="24"/>
        <v>12712688</v>
      </c>
      <c r="AU27" s="60">
        <f t="shared" si="24"/>
        <v>41951.870399999993</v>
      </c>
      <c r="AV27" s="61">
        <f t="shared" si="24"/>
        <v>8651229.9800000004</v>
      </c>
      <c r="AW27" s="59">
        <f t="shared" si="24"/>
        <v>57098.117868000001</v>
      </c>
      <c r="AX27" s="60">
        <f t="shared" si="24"/>
        <v>10586096.66</v>
      </c>
      <c r="AY27" s="62">
        <f t="shared" si="24"/>
        <v>34934.118977999991</v>
      </c>
    </row>
    <row r="28" spans="1:60" x14ac:dyDescent="0.25">
      <c r="D28" s="223"/>
      <c r="E28" s="224"/>
      <c r="F28" s="122">
        <f>E27/(E27+G27)</f>
        <v>0.57474814668218444</v>
      </c>
      <c r="G28" s="106">
        <f>G27/(E27+G27)</f>
        <v>0.42525185331781562</v>
      </c>
    </row>
    <row r="29" spans="1:60" ht="15.75" thickBot="1" x14ac:dyDescent="0.3">
      <c r="D29" s="63"/>
      <c r="E29" s="64"/>
      <c r="F29" s="65"/>
      <c r="G29" s="65"/>
      <c r="H29" s="65"/>
      <c r="I29" s="65"/>
      <c r="J29" s="65"/>
    </row>
    <row r="30" spans="1:60" ht="15.75" thickBot="1" x14ac:dyDescent="0.3">
      <c r="A30" s="37" t="s">
        <v>52</v>
      </c>
      <c r="B30" s="38"/>
      <c r="C30" s="38"/>
      <c r="D30" s="66" t="s">
        <v>35</v>
      </c>
      <c r="E30" s="67" t="s">
        <v>36</v>
      </c>
      <c r="F30" s="67" t="s">
        <v>5</v>
      </c>
      <c r="G30" s="67" t="s">
        <v>26</v>
      </c>
      <c r="H30" s="66" t="s">
        <v>27</v>
      </c>
      <c r="I30" s="67" t="s">
        <v>28</v>
      </c>
      <c r="J30" s="67" t="s">
        <v>29</v>
      </c>
      <c r="K30" s="67" t="s">
        <v>30</v>
      </c>
      <c r="L30" s="66" t="s">
        <v>31</v>
      </c>
      <c r="M30" s="67" t="s">
        <v>32</v>
      </c>
      <c r="N30" s="67" t="s">
        <v>33</v>
      </c>
      <c r="O30" s="67" t="s">
        <v>34</v>
      </c>
      <c r="P30" s="68" t="s">
        <v>51</v>
      </c>
      <c r="T30" s="69" t="s">
        <v>53</v>
      </c>
      <c r="U30" s="70"/>
      <c r="V30" s="70"/>
      <c r="W30" s="218" t="s">
        <v>51</v>
      </c>
      <c r="X30" s="218"/>
      <c r="Y30" s="218"/>
      <c r="Z30" s="218"/>
      <c r="AA30" s="218"/>
      <c r="AB30" s="219"/>
    </row>
    <row r="31" spans="1:60" x14ac:dyDescent="0.25">
      <c r="A31" s="48" t="s">
        <v>41</v>
      </c>
      <c r="B31" s="49"/>
      <c r="C31" s="49"/>
      <c r="D31" s="71">
        <v>23532.63</v>
      </c>
      <c r="E31" s="72">
        <v>22017.59</v>
      </c>
      <c r="F31" s="73">
        <f>E17+G17</f>
        <v>22139.564699999999</v>
      </c>
      <c r="G31" s="73">
        <f>I17+K17</f>
        <v>22383.830700000002</v>
      </c>
      <c r="H31" s="73">
        <f>M17+O17</f>
        <v>22874.649600000001</v>
      </c>
      <c r="I31" s="73">
        <f>Q17+S17</f>
        <v>24287.838299999999</v>
      </c>
      <c r="J31" s="73">
        <f>U17+W17</f>
        <v>24347.7729</v>
      </c>
      <c r="K31" s="73">
        <f>Y17+AA17</f>
        <v>26043.379999999997</v>
      </c>
      <c r="L31" s="73">
        <f>AC17+AE17</f>
        <v>21782.07</v>
      </c>
      <c r="M31" s="73">
        <f>AG17+AI17</f>
        <v>26292.6774</v>
      </c>
      <c r="N31" s="73">
        <f>AK17+AM17</f>
        <v>28026.596928000003</v>
      </c>
      <c r="O31" s="74">
        <f>AO17+AQ17</f>
        <v>23932.87</v>
      </c>
      <c r="P31" s="123">
        <f>SUM(D31:O31)</f>
        <v>287661.47052800003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60" x14ac:dyDescent="0.25">
      <c r="A32" s="48" t="s">
        <v>42</v>
      </c>
      <c r="B32" s="49"/>
      <c r="C32" s="49"/>
      <c r="D32" s="71">
        <v>6746.72</v>
      </c>
      <c r="E32" s="72">
        <v>6635.75</v>
      </c>
      <c r="F32" s="73">
        <f t="shared" ref="F32:F40" si="25">E18+G18</f>
        <v>6786.3519570000008</v>
      </c>
      <c r="G32" s="73">
        <f t="shared" ref="G32:G40" si="26">I18+K18</f>
        <v>6753.3363150000005</v>
      </c>
      <c r="H32" s="73">
        <f t="shared" ref="H32:H40" si="27">M18+O18</f>
        <v>7528.7778720000006</v>
      </c>
      <c r="I32" s="73">
        <f t="shared" ref="I32:I40" si="28">Q18+S18</f>
        <v>7739.8126080000002</v>
      </c>
      <c r="J32" s="73">
        <f t="shared" ref="J32:J40" si="29">U18+W18</f>
        <v>7358.881926</v>
      </c>
      <c r="K32" s="73">
        <f t="shared" ref="K32:K40" si="30">Y18+AA18</f>
        <v>7676.15</v>
      </c>
      <c r="L32" s="73">
        <f t="shared" ref="L32:L40" si="31">AC18+AE18</f>
        <v>7617.1710780000003</v>
      </c>
      <c r="M32" s="73">
        <f t="shared" ref="M32:M40" si="32">AG18+AI18</f>
        <v>7150.7492759999996</v>
      </c>
      <c r="N32" s="73">
        <f t="shared" ref="N32:N40" si="33">AK18+AM18</f>
        <v>8275.3868999999995</v>
      </c>
      <c r="O32" s="74">
        <f t="shared" ref="O32:O40" si="34">AO18+AQ18</f>
        <v>7046.4099999999989</v>
      </c>
      <c r="P32" s="123">
        <f t="shared" ref="P32:P41" si="35">SUM(D32:O32)</f>
        <v>87315.497931999998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>
        <v>11455.68</v>
      </c>
      <c r="E33" s="72">
        <v>11249.46</v>
      </c>
      <c r="F33" s="73">
        <f t="shared" si="25"/>
        <v>10801.04</v>
      </c>
      <c r="G33" s="73">
        <f t="shared" si="26"/>
        <v>11242.15</v>
      </c>
      <c r="H33" s="73">
        <f t="shared" si="27"/>
        <v>10948.44</v>
      </c>
      <c r="I33" s="73">
        <f t="shared" si="28"/>
        <v>12269.169000000002</v>
      </c>
      <c r="J33" s="73">
        <f t="shared" si="29"/>
        <v>12263.7042</v>
      </c>
      <c r="K33" s="73">
        <f t="shared" si="30"/>
        <v>12818.74</v>
      </c>
      <c r="L33" s="73">
        <f t="shared" si="31"/>
        <v>11698.17</v>
      </c>
      <c r="M33" s="73">
        <f t="shared" si="32"/>
        <v>12563.439899999999</v>
      </c>
      <c r="N33" s="73">
        <f t="shared" si="33"/>
        <v>13145.4213</v>
      </c>
      <c r="O33" s="74">
        <f t="shared" si="34"/>
        <v>12023.427899999999</v>
      </c>
      <c r="P33" s="123">
        <f t="shared" si="35"/>
        <v>142478.84230000002</v>
      </c>
      <c r="T33" s="85" t="s">
        <v>41</v>
      </c>
      <c r="U33" s="86"/>
      <c r="V33" s="86"/>
      <c r="W33" s="87">
        <f t="shared" ref="W33:Z42" si="36">D17+H17+L17+P17+T17+X17+AB17+AF17+AJ17+AN17+AR17+AV17</f>
        <v>31134219.030303027</v>
      </c>
      <c r="X33" s="88">
        <f t="shared" si="36"/>
        <v>205485.84240000002</v>
      </c>
      <c r="Y33" s="89">
        <f t="shared" si="36"/>
        <v>25567993.220606063</v>
      </c>
      <c r="Z33" s="88">
        <f t="shared" si="36"/>
        <v>84374.378628000006</v>
      </c>
      <c r="AA33" s="90">
        <f>W33+Y33</f>
        <v>56702212.25090909</v>
      </c>
      <c r="AB33" s="91">
        <f>X33+Z33</f>
        <v>289860.221028</v>
      </c>
    </row>
    <row r="34" spans="1:28" x14ac:dyDescent="0.25">
      <c r="A34" s="48" t="s">
        <v>44</v>
      </c>
      <c r="B34" s="49"/>
      <c r="C34" s="49"/>
      <c r="D34" s="71">
        <v>25075.05</v>
      </c>
      <c r="E34" s="72">
        <v>23236.080000000002</v>
      </c>
      <c r="F34" s="73">
        <f t="shared" si="25"/>
        <v>24625.662765000001</v>
      </c>
      <c r="G34" s="73">
        <f t="shared" si="26"/>
        <v>24143.645855999999</v>
      </c>
      <c r="H34" s="73">
        <f t="shared" si="27"/>
        <v>24234.700841999998</v>
      </c>
      <c r="I34" s="73">
        <f t="shared" si="28"/>
        <v>25398.858540000001</v>
      </c>
      <c r="J34" s="73">
        <f t="shared" si="29"/>
        <v>26690.196192000003</v>
      </c>
      <c r="K34" s="73">
        <f t="shared" si="30"/>
        <v>27823.02</v>
      </c>
      <c r="L34" s="73">
        <f t="shared" si="31"/>
        <v>25159.29636</v>
      </c>
      <c r="M34" s="73">
        <f t="shared" si="32"/>
        <v>26177.707842000003</v>
      </c>
      <c r="N34" s="73">
        <f t="shared" si="33"/>
        <v>25504.469099999998</v>
      </c>
      <c r="O34" s="74">
        <f t="shared" si="34"/>
        <v>26444.498552999998</v>
      </c>
      <c r="P34" s="123">
        <f t="shared" si="35"/>
        <v>304513.18604999996</v>
      </c>
      <c r="T34" s="85" t="s">
        <v>42</v>
      </c>
      <c r="U34" s="86"/>
      <c r="V34" s="86"/>
      <c r="W34" s="87">
        <f t="shared" si="36"/>
        <v>8076925.8493939396</v>
      </c>
      <c r="X34" s="92">
        <f t="shared" si="36"/>
        <v>53307.707406000001</v>
      </c>
      <c r="Y34" s="90">
        <f t="shared" si="36"/>
        <v>10993196.338787878</v>
      </c>
      <c r="Z34" s="92">
        <f t="shared" si="36"/>
        <v>36277.543199999993</v>
      </c>
      <c r="AA34" s="90">
        <f t="shared" ref="AA34:AB42" si="37">W34+Y34</f>
        <v>19070122.188181818</v>
      </c>
      <c r="AB34" s="91">
        <f t="shared" si="37"/>
        <v>89585.250605999987</v>
      </c>
    </row>
    <row r="35" spans="1:28" x14ac:dyDescent="0.25">
      <c r="A35" s="48" t="s">
        <v>45</v>
      </c>
      <c r="B35" s="49"/>
      <c r="C35" s="49"/>
      <c r="D35" s="71">
        <v>12337.66</v>
      </c>
      <c r="E35" s="72">
        <v>12311.36</v>
      </c>
      <c r="F35" s="73">
        <f t="shared" si="25"/>
        <v>12611.570400000001</v>
      </c>
      <c r="G35" s="73">
        <f t="shared" si="26"/>
        <v>13164.796160999998</v>
      </c>
      <c r="H35" s="73">
        <f t="shared" si="27"/>
        <v>14599.6158</v>
      </c>
      <c r="I35" s="73">
        <f t="shared" si="28"/>
        <v>16375.580099999999</v>
      </c>
      <c r="J35" s="73">
        <f t="shared" si="29"/>
        <v>16869.7353</v>
      </c>
      <c r="K35" s="73">
        <f t="shared" si="30"/>
        <v>17404.32</v>
      </c>
      <c r="L35" s="73">
        <f t="shared" si="31"/>
        <v>15643.121999999999</v>
      </c>
      <c r="M35" s="73">
        <f t="shared" si="32"/>
        <v>16987.439700000003</v>
      </c>
      <c r="N35" s="73">
        <f t="shared" si="33"/>
        <v>17341.252500000002</v>
      </c>
      <c r="O35" s="74">
        <f t="shared" si="34"/>
        <v>15368.892</v>
      </c>
      <c r="P35" s="123">
        <f t="shared" si="35"/>
        <v>181015.34396099998</v>
      </c>
      <c r="T35" s="85" t="s">
        <v>43</v>
      </c>
      <c r="U35" s="86"/>
      <c r="V35" s="86"/>
      <c r="W35" s="87">
        <f t="shared" si="36"/>
        <v>14289467.818181818</v>
      </c>
      <c r="X35" s="93">
        <f t="shared" si="36"/>
        <v>94310.492600000012</v>
      </c>
      <c r="Y35" s="92">
        <f t="shared" si="36"/>
        <v>14112862.636363637</v>
      </c>
      <c r="Z35" s="92">
        <f t="shared" si="36"/>
        <v>46572.451700000012</v>
      </c>
      <c r="AA35" s="90">
        <f t="shared" si="37"/>
        <v>28402330.454545453</v>
      </c>
      <c r="AB35" s="91">
        <f t="shared" si="37"/>
        <v>140882.94430000003</v>
      </c>
    </row>
    <row r="36" spans="1:28" x14ac:dyDescent="0.25">
      <c r="A36" s="48" t="s">
        <v>46</v>
      </c>
      <c r="B36" s="49"/>
      <c r="C36" s="49"/>
      <c r="D36" s="71">
        <v>3539.27</v>
      </c>
      <c r="E36" s="72">
        <v>3594.96</v>
      </c>
      <c r="F36" s="73">
        <f t="shared" si="25"/>
        <v>3374.2401</v>
      </c>
      <c r="G36" s="73">
        <f t="shared" si="26"/>
        <v>2867.3964000000001</v>
      </c>
      <c r="H36" s="73">
        <f t="shared" si="27"/>
        <v>3425.5946999999996</v>
      </c>
      <c r="I36" s="73">
        <f t="shared" si="28"/>
        <v>3614.9949000000001</v>
      </c>
      <c r="J36" s="73">
        <f t="shared" si="29"/>
        <v>3427.3206</v>
      </c>
      <c r="K36" s="73">
        <f t="shared" si="30"/>
        <v>3553.57</v>
      </c>
      <c r="L36" s="73">
        <f t="shared" si="31"/>
        <v>3170.9171999999999</v>
      </c>
      <c r="M36" s="73">
        <f t="shared" si="32"/>
        <v>3399.9009000000001</v>
      </c>
      <c r="N36" s="73">
        <f t="shared" si="33"/>
        <v>3730.5641999999998</v>
      </c>
      <c r="O36" s="74">
        <f t="shared" si="34"/>
        <v>3593.7330000000002</v>
      </c>
      <c r="P36" s="123">
        <f t="shared" si="35"/>
        <v>41292.462</v>
      </c>
      <c r="T36" s="85" t="s">
        <v>44</v>
      </c>
      <c r="U36" s="86"/>
      <c r="V36" s="86"/>
      <c r="W36" s="87">
        <f t="shared" si="36"/>
        <v>29269584.779999997</v>
      </c>
      <c r="X36" s="93">
        <f t="shared" si="36"/>
        <v>193179.25631999999</v>
      </c>
      <c r="Y36" s="92">
        <f t="shared" si="36"/>
        <v>34748025.189999998</v>
      </c>
      <c r="Z36" s="92">
        <f t="shared" si="36"/>
        <v>114668.47900199999</v>
      </c>
      <c r="AA36" s="90">
        <f t="shared" si="37"/>
        <v>64017609.969999999</v>
      </c>
      <c r="AB36" s="91">
        <f t="shared" si="37"/>
        <v>307847.73532199999</v>
      </c>
    </row>
    <row r="37" spans="1:28" x14ac:dyDescent="0.25">
      <c r="A37" s="48" t="s">
        <v>47</v>
      </c>
      <c r="B37" s="49"/>
      <c r="C37" s="49"/>
      <c r="D37" s="71">
        <v>4669.8100000000004</v>
      </c>
      <c r="E37" s="72">
        <v>4644.6899999999996</v>
      </c>
      <c r="F37" s="73">
        <f t="shared" si="25"/>
        <v>4784.8647000000001</v>
      </c>
      <c r="G37" s="73">
        <f t="shared" si="26"/>
        <v>4677.0272999999997</v>
      </c>
      <c r="H37" s="73">
        <f t="shared" si="27"/>
        <v>5019.74</v>
      </c>
      <c r="I37" s="73">
        <f t="shared" si="28"/>
        <v>5595.75</v>
      </c>
      <c r="J37" s="73">
        <f t="shared" si="29"/>
        <v>6259.9812000000002</v>
      </c>
      <c r="K37" s="73">
        <f t="shared" si="30"/>
        <v>6065.3899999999994</v>
      </c>
      <c r="L37" s="73">
        <f t="shared" si="31"/>
        <v>5183.36247</v>
      </c>
      <c r="M37" s="73">
        <f t="shared" si="32"/>
        <v>6235.7394000000004</v>
      </c>
      <c r="N37" s="73">
        <f t="shared" si="33"/>
        <v>5609.9802</v>
      </c>
      <c r="O37" s="74">
        <f t="shared" si="34"/>
        <v>5089.4131200000002</v>
      </c>
      <c r="P37" s="123">
        <f t="shared" si="35"/>
        <v>63835.748389999993</v>
      </c>
      <c r="T37" s="85" t="s">
        <v>45</v>
      </c>
      <c r="U37" s="86"/>
      <c r="V37" s="86"/>
      <c r="W37" s="87">
        <f t="shared" si="36"/>
        <v>12365090</v>
      </c>
      <c r="X37" s="93">
        <f t="shared" si="36"/>
        <v>81609.594799999992</v>
      </c>
      <c r="Y37" s="92">
        <f t="shared" si="36"/>
        <v>31906258.170000002</v>
      </c>
      <c r="Z37" s="92">
        <f t="shared" si="36"/>
        <v>105290.652361</v>
      </c>
      <c r="AA37" s="90">
        <f t="shared" si="37"/>
        <v>44271348.170000002</v>
      </c>
      <c r="AB37" s="91">
        <f t="shared" si="37"/>
        <v>186900.24716099998</v>
      </c>
    </row>
    <row r="38" spans="1:28" x14ac:dyDescent="0.25">
      <c r="A38" s="48" t="s">
        <v>48</v>
      </c>
      <c r="B38" s="49"/>
      <c r="C38" s="49"/>
      <c r="D38" s="71">
        <v>3582.29</v>
      </c>
      <c r="E38" s="72">
        <v>3720.11</v>
      </c>
      <c r="F38" s="73">
        <f t="shared" si="25"/>
        <v>3809.8862999999997</v>
      </c>
      <c r="G38" s="73">
        <f t="shared" si="26"/>
        <v>3644.5134000000003</v>
      </c>
      <c r="H38" s="73">
        <f t="shared" si="27"/>
        <v>4198.2566999999999</v>
      </c>
      <c r="I38" s="73">
        <f t="shared" si="28"/>
        <v>4779.7133999999996</v>
      </c>
      <c r="J38" s="73">
        <f t="shared" si="29"/>
        <v>5251.5111000000006</v>
      </c>
      <c r="K38" s="73">
        <f t="shared" si="30"/>
        <v>4572.7000000000007</v>
      </c>
      <c r="L38" s="73">
        <f t="shared" si="31"/>
        <v>4107.5859</v>
      </c>
      <c r="M38" s="73">
        <f t="shared" si="32"/>
        <v>4229.7816000000003</v>
      </c>
      <c r="N38" s="73">
        <f t="shared" si="33"/>
        <v>4364.8770000000004</v>
      </c>
      <c r="O38" s="74">
        <f t="shared" si="34"/>
        <v>3956.4888000000001</v>
      </c>
      <c r="P38" s="123">
        <f t="shared" si="35"/>
        <v>50217.714200000002</v>
      </c>
      <c r="T38" s="85" t="s">
        <v>46</v>
      </c>
      <c r="U38" s="86"/>
      <c r="V38" s="86"/>
      <c r="W38" s="87">
        <f t="shared" si="36"/>
        <v>1296174</v>
      </c>
      <c r="X38" s="93">
        <f t="shared" si="36"/>
        <v>8554.7486000000008</v>
      </c>
      <c r="Y38" s="92">
        <f t="shared" si="36"/>
        <v>9847552</v>
      </c>
      <c r="Z38" s="92">
        <f t="shared" si="36"/>
        <v>32496.922699999999</v>
      </c>
      <c r="AA38" s="90">
        <f t="shared" si="37"/>
        <v>11143726</v>
      </c>
      <c r="AB38" s="91">
        <f t="shared" si="37"/>
        <v>41051.671300000002</v>
      </c>
    </row>
    <row r="39" spans="1:28" x14ac:dyDescent="0.25">
      <c r="A39" s="48" t="s">
        <v>49</v>
      </c>
      <c r="B39" s="49"/>
      <c r="C39" s="49"/>
      <c r="D39" s="71">
        <v>0</v>
      </c>
      <c r="E39" s="72">
        <v>0</v>
      </c>
      <c r="F39" s="73">
        <f t="shared" si="25"/>
        <v>105.6627</v>
      </c>
      <c r="G39" s="73">
        <f t="shared" si="26"/>
        <v>0</v>
      </c>
      <c r="H39" s="73">
        <f t="shared" si="27"/>
        <v>0</v>
      </c>
      <c r="I39" s="73">
        <f t="shared" si="28"/>
        <v>0</v>
      </c>
      <c r="J39" s="73">
        <f t="shared" si="29"/>
        <v>0</v>
      </c>
      <c r="K39" s="73">
        <f t="shared" si="30"/>
        <v>0</v>
      </c>
      <c r="L39" s="73">
        <f t="shared" si="31"/>
        <v>208.56</v>
      </c>
      <c r="M39" s="73">
        <f t="shared" si="32"/>
        <v>124.72020000000001</v>
      </c>
      <c r="N39" s="73">
        <f t="shared" si="33"/>
        <v>3.96</v>
      </c>
      <c r="O39" s="74">
        <f t="shared" si="34"/>
        <v>0</v>
      </c>
      <c r="P39" s="123">
        <f t="shared" si="35"/>
        <v>442.90289999999999</v>
      </c>
      <c r="T39" s="85" t="s">
        <v>47</v>
      </c>
      <c r="U39" s="86"/>
      <c r="V39" s="86"/>
      <c r="W39" s="87">
        <f t="shared" si="36"/>
        <v>4650498.9878787883</v>
      </c>
      <c r="X39" s="93">
        <f t="shared" si="36"/>
        <v>30693.295919999993</v>
      </c>
      <c r="Y39" s="92">
        <f t="shared" si="36"/>
        <v>10028731.475757577</v>
      </c>
      <c r="Z39" s="92">
        <f t="shared" si="36"/>
        <v>33094.811170000001</v>
      </c>
      <c r="AA39" s="90">
        <f t="shared" si="37"/>
        <v>14679230.463636365</v>
      </c>
      <c r="AB39" s="91">
        <f t="shared" si="37"/>
        <v>63788.10708999999</v>
      </c>
    </row>
    <row r="40" spans="1:28" x14ac:dyDescent="0.25">
      <c r="A40" s="48" t="s">
        <v>50</v>
      </c>
      <c r="B40" s="49"/>
      <c r="C40" s="49"/>
      <c r="D40" s="71">
        <v>597.29</v>
      </c>
      <c r="E40" s="72">
        <v>1047.92</v>
      </c>
      <c r="F40" s="73">
        <f t="shared" si="25"/>
        <v>1387.3332</v>
      </c>
      <c r="G40" s="73">
        <f t="shared" si="26"/>
        <v>1065.4281000000001</v>
      </c>
      <c r="H40" s="73">
        <f t="shared" si="27"/>
        <v>1531.761</v>
      </c>
      <c r="I40" s="73">
        <f t="shared" si="28"/>
        <v>1457.6165999999998</v>
      </c>
      <c r="J40" s="73">
        <f t="shared" si="29"/>
        <v>1449.5448000000001</v>
      </c>
      <c r="K40" s="73">
        <f t="shared" si="30"/>
        <v>1674.21</v>
      </c>
      <c r="L40" s="73">
        <f t="shared" si="31"/>
        <v>1748.6435999999999</v>
      </c>
      <c r="M40" s="73">
        <f t="shared" si="32"/>
        <v>1835.2883999999999</v>
      </c>
      <c r="N40" s="73">
        <f t="shared" si="33"/>
        <v>1692.6591000000001</v>
      </c>
      <c r="O40" s="74">
        <f t="shared" si="34"/>
        <v>1364.0088000000001</v>
      </c>
      <c r="P40" s="123">
        <f t="shared" si="35"/>
        <v>16851.703600000001</v>
      </c>
      <c r="T40" s="85" t="s">
        <v>48</v>
      </c>
      <c r="U40" s="86"/>
      <c r="V40" s="86"/>
      <c r="W40" s="87">
        <f t="shared" si="36"/>
        <v>1600745</v>
      </c>
      <c r="X40" s="93">
        <f t="shared" si="36"/>
        <v>10564.9126</v>
      </c>
      <c r="Y40" s="92">
        <f t="shared" si="36"/>
        <v>12192310</v>
      </c>
      <c r="Z40" s="92">
        <f t="shared" si="36"/>
        <v>40234.626299999996</v>
      </c>
      <c r="AA40" s="90">
        <f t="shared" si="37"/>
        <v>13793055</v>
      </c>
      <c r="AB40" s="91">
        <f t="shared" si="37"/>
        <v>50799.5389</v>
      </c>
    </row>
    <row r="41" spans="1:28" x14ac:dyDescent="0.25">
      <c r="A41" s="48" t="s">
        <v>24</v>
      </c>
      <c r="B41" s="49"/>
      <c r="C41" s="49"/>
      <c r="D41" s="71">
        <v>-2000</v>
      </c>
      <c r="E41" s="73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P41" s="123">
        <f t="shared" si="35"/>
        <v>-2000</v>
      </c>
      <c r="T41" s="85" t="s">
        <v>49</v>
      </c>
      <c r="U41" s="86"/>
      <c r="V41" s="86"/>
      <c r="W41" s="87">
        <f t="shared" si="36"/>
        <v>2200</v>
      </c>
      <c r="X41" s="93">
        <f t="shared" si="36"/>
        <v>14.52</v>
      </c>
      <c r="Y41" s="92">
        <f t="shared" si="36"/>
        <v>129813</v>
      </c>
      <c r="Z41" s="92">
        <f t="shared" si="36"/>
        <v>428.38289999999995</v>
      </c>
      <c r="AA41" s="90">
        <f t="shared" si="37"/>
        <v>132013</v>
      </c>
      <c r="AB41" s="91">
        <f t="shared" si="37"/>
        <v>442.90289999999993</v>
      </c>
    </row>
    <row r="42" spans="1:28" ht="15.75" thickBot="1" x14ac:dyDescent="0.3">
      <c r="A42" s="56" t="s">
        <v>51</v>
      </c>
      <c r="B42" s="57"/>
      <c r="C42" s="57"/>
      <c r="D42" s="94">
        <f>SUM(D31:D41)</f>
        <v>89536.4</v>
      </c>
      <c r="E42" s="95">
        <f>SUM(E31:E41)</f>
        <v>88457.920000000013</v>
      </c>
      <c r="F42" s="95">
        <f t="shared" ref="F42:O42" si="38">SUM(F31:F41)</f>
        <v>90426.176821999994</v>
      </c>
      <c r="G42" s="95">
        <f t="shared" si="38"/>
        <v>89942.124232000002</v>
      </c>
      <c r="H42" s="95">
        <f t="shared" si="38"/>
        <v>94361.536514000007</v>
      </c>
      <c r="I42" s="95">
        <f t="shared" si="38"/>
        <v>101519.333448</v>
      </c>
      <c r="J42" s="95">
        <f t="shared" si="38"/>
        <v>103918.648218</v>
      </c>
      <c r="K42" s="95">
        <f t="shared" si="38"/>
        <v>107631.48</v>
      </c>
      <c r="L42" s="95">
        <f t="shared" si="38"/>
        <v>96318.898608000003</v>
      </c>
      <c r="M42" s="95">
        <f t="shared" si="38"/>
        <v>104997.44461800001</v>
      </c>
      <c r="N42" s="95">
        <f t="shared" si="38"/>
        <v>107695.16722800001</v>
      </c>
      <c r="O42" s="95">
        <f t="shared" si="38"/>
        <v>98819.742172999991</v>
      </c>
      <c r="P42" s="124">
        <f>SUM(P31:P41)</f>
        <v>1173624.8718610001</v>
      </c>
      <c r="T42" s="85" t="s">
        <v>50</v>
      </c>
      <c r="U42" s="86"/>
      <c r="V42" s="86"/>
      <c r="W42" s="87">
        <f t="shared" si="36"/>
        <v>2071305</v>
      </c>
      <c r="X42" s="93">
        <f t="shared" si="36"/>
        <v>13670.615400000002</v>
      </c>
      <c r="Y42" s="92">
        <f t="shared" si="36"/>
        <v>1148564</v>
      </c>
      <c r="Z42" s="92">
        <f t="shared" si="36"/>
        <v>3790.2566999999995</v>
      </c>
      <c r="AA42" s="90">
        <f t="shared" si="37"/>
        <v>3219869</v>
      </c>
      <c r="AB42" s="91">
        <f t="shared" si="37"/>
        <v>17460.872100000001</v>
      </c>
    </row>
    <row r="43" spans="1:28" ht="15.75" thickBot="1" x14ac:dyDescent="0.3">
      <c r="A43" s="97"/>
      <c r="B43" s="97"/>
      <c r="C43" s="97"/>
      <c r="T43" s="98" t="s">
        <v>51</v>
      </c>
      <c r="U43" s="99"/>
      <c r="V43" s="99"/>
      <c r="W43" s="100">
        <f t="shared" ref="W43:AB43" si="39">SUM(W33:W42)</f>
        <v>104756210.46575756</v>
      </c>
      <c r="X43" s="101">
        <f t="shared" si="39"/>
        <v>691390.98604600003</v>
      </c>
      <c r="Y43" s="102">
        <f t="shared" si="39"/>
        <v>150675306.03151515</v>
      </c>
      <c r="Z43" s="102">
        <f t="shared" si="39"/>
        <v>497228.50466100004</v>
      </c>
      <c r="AA43" s="103">
        <f t="shared" si="39"/>
        <v>255431516.49727276</v>
      </c>
      <c r="AB43" s="104">
        <f t="shared" si="39"/>
        <v>1188619.4907070003</v>
      </c>
    </row>
    <row r="44" spans="1:28" ht="15.75" thickBot="1" x14ac:dyDescent="0.3"/>
    <row r="45" spans="1:28" ht="15.75" thickBot="1" x14ac:dyDescent="0.3">
      <c r="T45" s="129" t="s">
        <v>59</v>
      </c>
      <c r="U45" s="130"/>
      <c r="V45" s="130"/>
      <c r="W45" s="132">
        <f>W43*35.08*$C$9/1000000000</f>
        <v>2.5886170049036386</v>
      </c>
      <c r="X45" s="135"/>
      <c r="Y45" s="134">
        <f>Y43*38.45*$C$9/1000000000</f>
        <v>4.0810025102893039</v>
      </c>
      <c r="Z45" s="134"/>
      <c r="AA45" s="133">
        <f>SUM(W45,Y45)</f>
        <v>6.6696195151929425</v>
      </c>
      <c r="AB45" s="131"/>
    </row>
  </sheetData>
  <mergeCells count="41">
    <mergeCell ref="AV14:AY14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Q14"/>
    <mergeCell ref="AR14:AU14"/>
    <mergeCell ref="Z15:AA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AX15:AY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D28:E28"/>
    <mergeCell ref="W30:AB30"/>
    <mergeCell ref="W31:X31"/>
    <mergeCell ref="Y31:Z31"/>
    <mergeCell ref="AA31:AB31"/>
  </mergeCells>
  <pageMargins left="0.70866141732283472" right="0.70866141732283472" top="0.74803149606299213" bottom="0.59055118110236227" header="0.31496062992125984" footer="0.31496062992125984"/>
  <pageSetup paperSize="9" scale="61" orientation="landscape" r:id="rId1"/>
  <headerFooter>
    <oddFooter>&amp;L&amp;Z&amp;F&amp;RDate Printed: &amp;D</oddFooter>
  </headerFooter>
  <colBreaks count="1" manualBreakCount="1">
    <brk id="16" min="29" max="74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45"/>
  <sheetViews>
    <sheetView topLeftCell="A12" workbookViewId="0">
      <selection activeCell="X33" sqref="X33"/>
    </sheetView>
  </sheetViews>
  <sheetFormatPr defaultColWidth="8.85546875" defaultRowHeight="15" x14ac:dyDescent="0.25"/>
  <cols>
    <col min="1" max="1" width="39.140625" bestFit="1" customWidth="1"/>
    <col min="2" max="2" width="12.140625" bestFit="1" customWidth="1"/>
    <col min="3" max="3" width="12" bestFit="1" customWidth="1"/>
    <col min="4" max="4" width="10.42578125" bestFit="1" customWidth="1"/>
    <col min="5" max="5" width="11" customWidth="1"/>
    <col min="6" max="6" width="11.42578125" bestFit="1" customWidth="1"/>
    <col min="7" max="7" width="11" bestFit="1" customWidth="1"/>
    <col min="8" max="8" width="11.42578125" bestFit="1" customWidth="1"/>
    <col min="9" max="9" width="11" bestFit="1" customWidth="1"/>
    <col min="10" max="10" width="11.7109375" customWidth="1"/>
    <col min="11" max="11" width="11.42578125" bestFit="1" customWidth="1"/>
    <col min="12" max="12" width="10.42578125" bestFit="1" customWidth="1"/>
    <col min="13" max="14" width="11.42578125" bestFit="1" customWidth="1"/>
    <col min="15" max="15" width="11" bestFit="1" customWidth="1"/>
    <col min="16" max="16" width="13.28515625" bestFit="1" customWidth="1"/>
    <col min="17" max="17" width="11" bestFit="1" customWidth="1"/>
    <col min="18" max="18" width="10.42578125" bestFit="1" customWidth="1"/>
    <col min="19" max="19" width="11" bestFit="1" customWidth="1"/>
    <col min="20" max="20" width="10.7109375" customWidth="1"/>
    <col min="21" max="21" width="11" bestFit="1" customWidth="1"/>
    <col min="22" max="22" width="10.42578125" bestFit="1" customWidth="1"/>
    <col min="23" max="23" width="12.42578125" bestFit="1" customWidth="1"/>
    <col min="24" max="24" width="11.42578125" bestFit="1" customWidth="1"/>
    <col min="25" max="25" width="12.42578125" bestFit="1" customWidth="1"/>
    <col min="26" max="26" width="11.42578125" bestFit="1" customWidth="1"/>
    <col min="27" max="27" width="12.42578125" bestFit="1" customWidth="1"/>
    <col min="28" max="29" width="11" bestFit="1" customWidth="1"/>
    <col min="30" max="30" width="11.42578125" bestFit="1" customWidth="1"/>
    <col min="31" max="31" width="11" bestFit="1" customWidth="1"/>
    <col min="32" max="32" width="10.42578125" bestFit="1" customWidth="1"/>
    <col min="33" max="33" width="11" bestFit="1" customWidth="1"/>
    <col min="34" max="34" width="11.42578125" bestFit="1" customWidth="1"/>
    <col min="35" max="35" width="11" bestFit="1" customWidth="1"/>
    <col min="36" max="36" width="10.42578125" bestFit="1" customWidth="1"/>
    <col min="37" max="37" width="11" bestFit="1" customWidth="1"/>
    <col min="38" max="38" width="11.42578125" bestFit="1" customWidth="1"/>
    <col min="39" max="39" width="11" bestFit="1" customWidth="1"/>
    <col min="40" max="40" width="10.42578125" bestFit="1" customWidth="1"/>
    <col min="41" max="41" width="11" bestFit="1" customWidth="1"/>
    <col min="42" max="42" width="11.42578125" bestFit="1" customWidth="1"/>
    <col min="43" max="43" width="11" bestFit="1" customWidth="1"/>
    <col min="44" max="44" width="10.42578125" bestFit="1" customWidth="1"/>
    <col min="45" max="45" width="11" bestFit="1" customWidth="1"/>
    <col min="46" max="46" width="11.42578125" bestFit="1" customWidth="1"/>
    <col min="47" max="47" width="11" bestFit="1" customWidth="1"/>
    <col min="48" max="48" width="10.42578125" bestFit="1" customWidth="1"/>
    <col min="49" max="49" width="11" bestFit="1" customWidth="1"/>
    <col min="50" max="50" width="11.42578125" bestFit="1" customWidth="1"/>
    <col min="51" max="51" width="11" bestFit="1" customWidth="1"/>
  </cols>
  <sheetData>
    <row r="1" spans="1:51" ht="18.75" x14ac:dyDescent="0.3">
      <c r="A1" s="1" t="s">
        <v>0</v>
      </c>
      <c r="B1" s="1"/>
      <c r="C1" s="1"/>
    </row>
    <row r="2" spans="1:51" ht="18.75" x14ac:dyDescent="0.3">
      <c r="A2" s="1" t="str">
        <f>"For the year ended 30 June "&amp;YEAR(C6)</f>
        <v>For the year ended 30 June 2017</v>
      </c>
      <c r="B2" s="1"/>
      <c r="C2" s="1"/>
    </row>
    <row r="3" spans="1:51" ht="15.75" thickBot="1" x14ac:dyDescent="0.3"/>
    <row r="4" spans="1:51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51" x14ac:dyDescent="0.25">
      <c r="A5" s="11" t="s">
        <v>4</v>
      </c>
      <c r="B5" s="12"/>
      <c r="C5" s="13" t="s">
        <v>5</v>
      </c>
      <c r="E5" s="14" t="s">
        <v>6</v>
      </c>
      <c r="F5" s="15"/>
      <c r="G5" s="15"/>
      <c r="H5" s="16"/>
      <c r="J5" s="17" t="s">
        <v>7</v>
      </c>
      <c r="K5" s="18"/>
      <c r="L5" s="18"/>
      <c r="M5" s="18"/>
      <c r="N5" s="18"/>
      <c r="O5" s="18"/>
      <c r="P5" s="18"/>
      <c r="Q5" s="18"/>
      <c r="R5" s="19"/>
    </row>
    <row r="6" spans="1:51" x14ac:dyDescent="0.25">
      <c r="A6" s="11" t="s">
        <v>8</v>
      </c>
      <c r="B6" s="12"/>
      <c r="C6" s="20">
        <v>42916</v>
      </c>
      <c r="E6" s="21" t="s">
        <v>9</v>
      </c>
      <c r="F6" s="15"/>
      <c r="G6" s="22">
        <v>24400.2</v>
      </c>
      <c r="H6" s="16"/>
      <c r="J6" s="17" t="s">
        <v>10</v>
      </c>
      <c r="K6" s="18"/>
      <c r="L6" s="18"/>
      <c r="M6" s="18"/>
      <c r="N6" s="18"/>
      <c r="O6" s="18"/>
      <c r="P6" s="18"/>
      <c r="Q6" s="18"/>
      <c r="R6" s="19"/>
    </row>
    <row r="7" spans="1:51" x14ac:dyDescent="0.25">
      <c r="A7" s="11" t="s">
        <v>11</v>
      </c>
      <c r="B7" s="12"/>
      <c r="C7" s="23">
        <v>6.6E-3</v>
      </c>
      <c r="E7" s="21"/>
      <c r="F7" s="15"/>
      <c r="G7" s="15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51" x14ac:dyDescent="0.25">
      <c r="A8" s="11" t="s">
        <v>13</v>
      </c>
      <c r="B8" s="12"/>
      <c r="C8" s="23">
        <v>3.3E-3</v>
      </c>
      <c r="E8" s="21" t="s">
        <v>14</v>
      </c>
      <c r="F8" s="15"/>
      <c r="G8" s="108">
        <f>G6*0.5/C7</f>
        <v>1848500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51" x14ac:dyDescent="0.25">
      <c r="A9" s="11" t="s">
        <v>16</v>
      </c>
      <c r="B9" s="24">
        <v>125394000</v>
      </c>
      <c r="C9" s="25">
        <f>B9/SUM($B$9:$B$11)</f>
        <v>0.70441474077586408</v>
      </c>
      <c r="E9" s="21" t="s">
        <v>17</v>
      </c>
      <c r="F9" s="15"/>
      <c r="G9" s="108">
        <f>(G6*0.5)/C8</f>
        <v>3697000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51" x14ac:dyDescent="0.25">
      <c r="A10" s="11" t="s">
        <v>19</v>
      </c>
      <c r="B10" s="24">
        <v>29138320</v>
      </c>
      <c r="C10" s="25">
        <f>B10/SUM($B$9:$B$11)</f>
        <v>0.1636877532373493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51" x14ac:dyDescent="0.25">
      <c r="A11" s="11" t="s">
        <v>22</v>
      </c>
      <c r="B11" s="24">
        <v>23479287</v>
      </c>
      <c r="C11" s="25">
        <f>B11/SUM($B$9:$B$11)</f>
        <v>0.13189750598678657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51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33"/>
      <c r="K12" s="34"/>
      <c r="L12" s="34"/>
      <c r="M12" s="34"/>
      <c r="N12" s="34"/>
      <c r="O12" s="34"/>
      <c r="P12" s="34"/>
      <c r="Q12" s="34"/>
      <c r="R12" s="35"/>
    </row>
    <row r="13" spans="1:51" ht="15.75" thickBot="1" x14ac:dyDescent="0.3">
      <c r="A13" s="36"/>
      <c r="B13" s="36"/>
      <c r="C13" s="36"/>
    </row>
    <row r="14" spans="1:51" ht="15.75" thickBot="1" x14ac:dyDescent="0.3">
      <c r="A14" s="37" t="s">
        <v>25</v>
      </c>
      <c r="B14" s="38"/>
      <c r="C14" s="39"/>
      <c r="D14" s="222">
        <v>42552</v>
      </c>
      <c r="E14" s="220"/>
      <c r="F14" s="220"/>
      <c r="G14" s="220"/>
      <c r="H14" s="230">
        <v>42583</v>
      </c>
      <c r="I14" s="231"/>
      <c r="J14" s="231"/>
      <c r="K14" s="233"/>
      <c r="L14" s="230">
        <v>42614</v>
      </c>
      <c r="M14" s="231"/>
      <c r="N14" s="231"/>
      <c r="O14" s="233"/>
      <c r="P14" s="230">
        <v>42644</v>
      </c>
      <c r="Q14" s="231"/>
      <c r="R14" s="231"/>
      <c r="S14" s="233"/>
      <c r="T14" s="230">
        <v>42675</v>
      </c>
      <c r="U14" s="231"/>
      <c r="V14" s="231"/>
      <c r="W14" s="233"/>
      <c r="X14" s="230">
        <v>42705</v>
      </c>
      <c r="Y14" s="231"/>
      <c r="Z14" s="231"/>
      <c r="AA14" s="233"/>
      <c r="AB14" s="230">
        <v>42736</v>
      </c>
      <c r="AC14" s="231"/>
      <c r="AD14" s="231"/>
      <c r="AE14" s="233"/>
      <c r="AF14" s="230">
        <v>42767</v>
      </c>
      <c r="AG14" s="231"/>
      <c r="AH14" s="231"/>
      <c r="AI14" s="233"/>
      <c r="AJ14" s="230">
        <v>42795</v>
      </c>
      <c r="AK14" s="231"/>
      <c r="AL14" s="231"/>
      <c r="AM14" s="233"/>
      <c r="AN14" s="230">
        <v>42826</v>
      </c>
      <c r="AO14" s="231"/>
      <c r="AP14" s="231"/>
      <c r="AQ14" s="233"/>
      <c r="AR14" s="230">
        <v>42856</v>
      </c>
      <c r="AS14" s="231"/>
      <c r="AT14" s="231"/>
      <c r="AU14" s="233"/>
      <c r="AV14" s="230">
        <v>42887</v>
      </c>
      <c r="AW14" s="231"/>
      <c r="AX14" s="231"/>
      <c r="AY14" s="232"/>
    </row>
    <row r="15" spans="1:51" x14ac:dyDescent="0.25">
      <c r="A15" s="40"/>
      <c r="B15" s="36"/>
      <c r="C15" s="36"/>
      <c r="D15" s="227" t="s">
        <v>37</v>
      </c>
      <c r="E15" s="228"/>
      <c r="F15" s="227" t="s">
        <v>38</v>
      </c>
      <c r="G15" s="228"/>
      <c r="H15" s="227" t="s">
        <v>37</v>
      </c>
      <c r="I15" s="228"/>
      <c r="J15" s="227" t="s">
        <v>38</v>
      </c>
      <c r="K15" s="228"/>
      <c r="L15" s="227" t="s">
        <v>37</v>
      </c>
      <c r="M15" s="228"/>
      <c r="N15" s="227" t="s">
        <v>38</v>
      </c>
      <c r="O15" s="228"/>
      <c r="P15" s="227" t="s">
        <v>37</v>
      </c>
      <c r="Q15" s="228"/>
      <c r="R15" s="227" t="s">
        <v>38</v>
      </c>
      <c r="S15" s="228"/>
      <c r="T15" s="227" t="s">
        <v>37</v>
      </c>
      <c r="U15" s="228"/>
      <c r="V15" s="227" t="s">
        <v>38</v>
      </c>
      <c r="W15" s="228"/>
      <c r="X15" s="227" t="s">
        <v>37</v>
      </c>
      <c r="Y15" s="228"/>
      <c r="Z15" s="227" t="s">
        <v>38</v>
      </c>
      <c r="AA15" s="228"/>
      <c r="AB15" s="227" t="s">
        <v>37</v>
      </c>
      <c r="AC15" s="228"/>
      <c r="AD15" s="227" t="s">
        <v>38</v>
      </c>
      <c r="AE15" s="228"/>
      <c r="AF15" s="227" t="s">
        <v>37</v>
      </c>
      <c r="AG15" s="228"/>
      <c r="AH15" s="227" t="s">
        <v>38</v>
      </c>
      <c r="AI15" s="228"/>
      <c r="AJ15" s="227" t="s">
        <v>37</v>
      </c>
      <c r="AK15" s="228"/>
      <c r="AL15" s="227" t="s">
        <v>38</v>
      </c>
      <c r="AM15" s="228"/>
      <c r="AN15" s="227" t="s">
        <v>37</v>
      </c>
      <c r="AO15" s="228"/>
      <c r="AP15" s="225" t="s">
        <v>38</v>
      </c>
      <c r="AQ15" s="228"/>
      <c r="AR15" s="225" t="s">
        <v>37</v>
      </c>
      <c r="AS15" s="228"/>
      <c r="AT15" s="225" t="s">
        <v>38</v>
      </c>
      <c r="AU15" s="225"/>
      <c r="AV15" s="229" t="s">
        <v>37</v>
      </c>
      <c r="AW15" s="228"/>
      <c r="AX15" s="225" t="s">
        <v>38</v>
      </c>
      <c r="AY15" s="226"/>
    </row>
    <row r="16" spans="1:51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</row>
    <row r="17" spans="1:52" x14ac:dyDescent="0.25">
      <c r="A17" s="48" t="s">
        <v>41</v>
      </c>
      <c r="B17" s="49"/>
      <c r="C17" s="49"/>
      <c r="D17" s="50">
        <v>2820526</v>
      </c>
      <c r="E17" s="51">
        <f t="shared" ref="E17:E26" si="0">D17*$C$7</f>
        <v>18615.471600000001</v>
      </c>
      <c r="F17" s="50">
        <v>1676791</v>
      </c>
      <c r="G17" s="51">
        <f t="shared" ref="G17:G26" si="1">F17*$C$8</f>
        <v>5533.4102999999996</v>
      </c>
      <c r="H17" s="50">
        <v>2603629</v>
      </c>
      <c r="I17" s="51">
        <f t="shared" ref="I17:I26" si="2">H17*$C$7</f>
        <v>17183.951399999998</v>
      </c>
      <c r="J17" s="50">
        <v>1698794</v>
      </c>
      <c r="K17" s="51">
        <f t="shared" ref="K17:K26" si="3">J17*$C$8</f>
        <v>5606.0201999999999</v>
      </c>
      <c r="L17" s="50">
        <v>2769921</v>
      </c>
      <c r="M17" s="51">
        <f t="shared" ref="M17:M26" si="4">L17*$C$7</f>
        <v>18281.478599999999</v>
      </c>
      <c r="N17" s="50">
        <v>1723300</v>
      </c>
      <c r="O17" s="51">
        <f t="shared" ref="O17:O26" si="5">N17*$C$8</f>
        <v>5686.89</v>
      </c>
      <c r="P17" s="50">
        <v>2841252</v>
      </c>
      <c r="Q17" s="51">
        <f t="shared" ref="Q17:Q26" si="6">P17*$C$7</f>
        <v>18752.263200000001</v>
      </c>
      <c r="R17" s="50">
        <v>1645852</v>
      </c>
      <c r="S17" s="51">
        <f t="shared" ref="S17:S26" si="7">R17*$C$8</f>
        <v>5431.3116</v>
      </c>
      <c r="T17" s="50">
        <v>2925800</v>
      </c>
      <c r="U17" s="51">
        <f t="shared" ref="U17:U26" si="8">T17*$C$7</f>
        <v>19310.28</v>
      </c>
      <c r="V17" s="50">
        <v>1700055</v>
      </c>
      <c r="W17" s="51">
        <f t="shared" ref="W17:W26" si="9">V17*$C$8</f>
        <v>5610.1814999999997</v>
      </c>
      <c r="X17" s="50">
        <v>3132209</v>
      </c>
      <c r="Y17" s="51">
        <f t="shared" ref="Y17:Y26" si="10">X17*$C$7</f>
        <v>20672.579399999999</v>
      </c>
      <c r="Z17" s="50">
        <v>1733379</v>
      </c>
      <c r="AA17" s="51">
        <f t="shared" ref="AA17:AA26" si="11">Z17*$C$8</f>
        <v>5720.1507000000001</v>
      </c>
      <c r="AB17" s="50">
        <v>2736371</v>
      </c>
      <c r="AC17" s="51">
        <f t="shared" ref="AC17:AC26" si="12">AB17*$C$7</f>
        <v>18060.048599999998</v>
      </c>
      <c r="AD17" s="50">
        <v>1528918</v>
      </c>
      <c r="AE17" s="51">
        <f t="shared" ref="AE17:AE26" si="13">AD17*$C$8</f>
        <v>5045.4294</v>
      </c>
      <c r="AF17" s="50">
        <v>2854288</v>
      </c>
      <c r="AG17" s="51">
        <f t="shared" ref="AG17:AG26" si="14">AF17*$C$7</f>
        <v>18838.300800000001</v>
      </c>
      <c r="AH17" s="50">
        <v>1641000</v>
      </c>
      <c r="AI17" s="51">
        <f t="shared" ref="AI17:AI26" si="15">AH17*$C$8</f>
        <v>5415.3</v>
      </c>
      <c r="AJ17" s="50">
        <v>2026123</v>
      </c>
      <c r="AK17" s="51">
        <f t="shared" ref="AK17:AK26" si="16">AJ17*$C$7</f>
        <v>13372.4118</v>
      </c>
      <c r="AL17" s="50">
        <v>4052245</v>
      </c>
      <c r="AM17" s="51">
        <f t="shared" ref="AM17:AM26" si="17">AL17*$C$8</f>
        <v>13372.4085</v>
      </c>
      <c r="AN17" s="50">
        <v>2863592</v>
      </c>
      <c r="AO17" s="51">
        <f t="shared" ref="AO17:AO26" si="18">AN17*$C$7</f>
        <v>18899.707200000001</v>
      </c>
      <c r="AP17" s="52">
        <v>1561164</v>
      </c>
      <c r="AQ17" s="51">
        <f t="shared" ref="AQ17:AQ26" si="19">AP17*$C$8</f>
        <v>5151.8411999999998</v>
      </c>
      <c r="AR17" s="52">
        <v>2927159</v>
      </c>
      <c r="AS17" s="51">
        <f t="shared" ref="AS17:AS26" si="20">AR17*$C$7</f>
        <v>19319.249400000001</v>
      </c>
      <c r="AT17" s="52">
        <v>1812009</v>
      </c>
      <c r="AU17" s="53">
        <f t="shared" ref="AU17:AU26" si="21">AT17*$C$8</f>
        <v>5979.6297000000004</v>
      </c>
      <c r="AV17" s="54">
        <v>2797068</v>
      </c>
      <c r="AW17" s="51">
        <f t="shared" ref="AW17:AW26" si="22">AV17*$C$7</f>
        <v>18460.648799999999</v>
      </c>
      <c r="AX17" s="52">
        <v>1658224</v>
      </c>
      <c r="AY17" s="55">
        <f t="shared" ref="AY17:AY26" si="23">AX17*$C$8</f>
        <v>5472.1391999999996</v>
      </c>
      <c r="AZ17" s="53"/>
    </row>
    <row r="18" spans="1:52" x14ac:dyDescent="0.25">
      <c r="A18" s="48" t="s">
        <v>42</v>
      </c>
      <c r="B18" s="49"/>
      <c r="C18" s="49"/>
      <c r="D18" s="50">
        <v>667925</v>
      </c>
      <c r="E18" s="51">
        <f t="shared" si="0"/>
        <v>4408.3050000000003</v>
      </c>
      <c r="F18" s="50">
        <v>619483</v>
      </c>
      <c r="G18" s="51">
        <f t="shared" si="1"/>
        <v>2044.2938999999999</v>
      </c>
      <c r="H18" s="50">
        <v>457090</v>
      </c>
      <c r="I18" s="51">
        <f t="shared" si="2"/>
        <v>3016.7939999999999</v>
      </c>
      <c r="J18" s="50">
        <v>914180</v>
      </c>
      <c r="K18" s="51">
        <f t="shared" si="3"/>
        <v>3016.7939999999999</v>
      </c>
      <c r="L18" s="50">
        <v>616674</v>
      </c>
      <c r="M18" s="51">
        <f t="shared" si="4"/>
        <v>4070.0484000000001</v>
      </c>
      <c r="N18" s="50">
        <v>666255.39</v>
      </c>
      <c r="O18" s="51">
        <f t="shared" si="5"/>
        <v>2198.6427870000002</v>
      </c>
      <c r="P18" s="50">
        <v>660419</v>
      </c>
      <c r="Q18" s="51">
        <f t="shared" si="6"/>
        <v>4358.7654000000002</v>
      </c>
      <c r="R18" s="50">
        <v>690841.13</v>
      </c>
      <c r="S18" s="51">
        <f t="shared" si="7"/>
        <v>2279.775729</v>
      </c>
      <c r="T18" s="50">
        <v>699516</v>
      </c>
      <c r="U18" s="51">
        <f t="shared" si="8"/>
        <v>4616.8055999999997</v>
      </c>
      <c r="V18" s="50">
        <v>774749.84</v>
      </c>
      <c r="W18" s="51">
        <f t="shared" si="9"/>
        <v>2556.6744719999997</v>
      </c>
      <c r="X18" s="50">
        <v>730336</v>
      </c>
      <c r="Y18" s="51">
        <f t="shared" si="10"/>
        <v>4820.2175999999999</v>
      </c>
      <c r="Z18" s="50">
        <v>734431.66</v>
      </c>
      <c r="AA18" s="51">
        <f t="shared" si="11"/>
        <v>2423.6244780000002</v>
      </c>
      <c r="AB18" s="50"/>
      <c r="AC18" s="51">
        <f t="shared" si="12"/>
        <v>0</v>
      </c>
      <c r="AD18" s="50"/>
      <c r="AE18" s="51">
        <f t="shared" si="13"/>
        <v>0</v>
      </c>
      <c r="AF18" s="50"/>
      <c r="AG18" s="51">
        <f t="shared" si="14"/>
        <v>0</v>
      </c>
      <c r="AH18" s="50"/>
      <c r="AI18" s="51">
        <f t="shared" si="15"/>
        <v>0</v>
      </c>
      <c r="AJ18" s="50"/>
      <c r="AK18" s="51">
        <f t="shared" si="16"/>
        <v>0</v>
      </c>
      <c r="AL18" s="50"/>
      <c r="AM18" s="51">
        <f t="shared" si="17"/>
        <v>0</v>
      </c>
      <c r="AN18" s="50"/>
      <c r="AO18" s="51">
        <f t="shared" si="18"/>
        <v>0</v>
      </c>
      <c r="AP18" s="52"/>
      <c r="AQ18" s="51">
        <f t="shared" si="19"/>
        <v>0</v>
      </c>
      <c r="AR18" s="52"/>
      <c r="AS18" s="51">
        <f t="shared" si="20"/>
        <v>0</v>
      </c>
      <c r="AT18" s="52"/>
      <c r="AU18" s="53">
        <f t="shared" si="21"/>
        <v>0</v>
      </c>
      <c r="AV18" s="54"/>
      <c r="AW18" s="51">
        <f t="shared" si="22"/>
        <v>0</v>
      </c>
      <c r="AX18" s="52"/>
      <c r="AY18" s="55">
        <f t="shared" si="23"/>
        <v>0</v>
      </c>
      <c r="AZ18" s="53"/>
    </row>
    <row r="19" spans="1:52" x14ac:dyDescent="0.25">
      <c r="A19" s="48" t="s">
        <v>43</v>
      </c>
      <c r="B19" s="49"/>
      <c r="C19" s="49"/>
      <c r="D19" s="50">
        <v>1335295</v>
      </c>
      <c r="E19" s="51">
        <f t="shared" si="0"/>
        <v>8812.9470000000001</v>
      </c>
      <c r="F19" s="50">
        <v>647528</v>
      </c>
      <c r="G19" s="51">
        <f t="shared" si="1"/>
        <v>2136.8424</v>
      </c>
      <c r="H19" s="50">
        <v>1498003</v>
      </c>
      <c r="I19" s="51">
        <f t="shared" si="2"/>
        <v>9886.8197999999993</v>
      </c>
      <c r="J19" s="50">
        <v>724671</v>
      </c>
      <c r="K19" s="51">
        <f t="shared" si="3"/>
        <v>2391.4142999999999</v>
      </c>
      <c r="L19" s="50">
        <v>1462667</v>
      </c>
      <c r="M19" s="51">
        <f t="shared" si="4"/>
        <v>9653.6021999999994</v>
      </c>
      <c r="N19" s="50">
        <v>725125</v>
      </c>
      <c r="O19" s="51">
        <f t="shared" si="5"/>
        <v>2392.9124999999999</v>
      </c>
      <c r="P19" s="50">
        <v>1506228</v>
      </c>
      <c r="Q19" s="51">
        <f t="shared" si="6"/>
        <v>9941.1047999999992</v>
      </c>
      <c r="R19" s="50">
        <v>750520</v>
      </c>
      <c r="S19" s="51">
        <f t="shared" si="7"/>
        <v>2476.7159999999999</v>
      </c>
      <c r="T19" s="50">
        <v>1566573</v>
      </c>
      <c r="U19" s="51">
        <f t="shared" si="8"/>
        <v>10339.381799999999</v>
      </c>
      <c r="V19" s="50">
        <v>789791</v>
      </c>
      <c r="W19" s="51">
        <f t="shared" si="9"/>
        <v>2606.3103000000001</v>
      </c>
      <c r="X19" s="50">
        <v>1598192</v>
      </c>
      <c r="Y19" s="51">
        <f t="shared" si="10"/>
        <v>10548.0672</v>
      </c>
      <c r="Z19" s="50">
        <v>808522</v>
      </c>
      <c r="AA19" s="51">
        <f t="shared" si="11"/>
        <v>2668.1226000000001</v>
      </c>
      <c r="AB19" s="50">
        <v>967467</v>
      </c>
      <c r="AC19" s="51">
        <f t="shared" si="12"/>
        <v>6385.2821999999996</v>
      </c>
      <c r="AD19" s="50">
        <v>1934935</v>
      </c>
      <c r="AE19" s="51">
        <f t="shared" si="13"/>
        <v>6385.2855</v>
      </c>
      <c r="AF19" s="50">
        <v>1576888</v>
      </c>
      <c r="AG19" s="51">
        <f t="shared" si="14"/>
        <v>10407.460800000001</v>
      </c>
      <c r="AH19" s="50">
        <v>624521</v>
      </c>
      <c r="AI19" s="51">
        <f t="shared" si="15"/>
        <v>2060.9193</v>
      </c>
      <c r="AJ19" s="50">
        <v>1631087</v>
      </c>
      <c r="AK19" s="51">
        <f t="shared" si="16"/>
        <v>10765.174199999999</v>
      </c>
      <c r="AL19" s="50">
        <v>822423</v>
      </c>
      <c r="AM19" s="51">
        <f t="shared" si="17"/>
        <v>2713.9958999999999</v>
      </c>
      <c r="AN19" s="50">
        <v>1498875</v>
      </c>
      <c r="AO19" s="51">
        <f t="shared" si="18"/>
        <v>9892.5750000000007</v>
      </c>
      <c r="AP19" s="52">
        <v>722663</v>
      </c>
      <c r="AQ19" s="51">
        <f t="shared" si="19"/>
        <v>2384.7878999999998</v>
      </c>
      <c r="AR19" s="52">
        <v>1436627</v>
      </c>
      <c r="AS19" s="51">
        <f t="shared" si="20"/>
        <v>9481.7381999999998</v>
      </c>
      <c r="AT19" s="52">
        <v>707274</v>
      </c>
      <c r="AU19" s="53">
        <f t="shared" si="21"/>
        <v>2334.0041999999999</v>
      </c>
      <c r="AV19" s="54">
        <v>1374348</v>
      </c>
      <c r="AW19" s="51">
        <f t="shared" si="22"/>
        <v>9070.6967999999997</v>
      </c>
      <c r="AX19" s="52">
        <v>623286</v>
      </c>
      <c r="AY19" s="55">
        <f t="shared" si="23"/>
        <v>2056.8438000000001</v>
      </c>
      <c r="AZ19" s="53"/>
    </row>
    <row r="20" spans="1:52" x14ac:dyDescent="0.25">
      <c r="A20" s="48" t="s">
        <v>44</v>
      </c>
      <c r="B20" s="49"/>
      <c r="C20" s="49"/>
      <c r="D20" s="50">
        <v>2358972</v>
      </c>
      <c r="E20" s="51">
        <f t="shared" si="0"/>
        <v>15569.215200000001</v>
      </c>
      <c r="F20" s="50">
        <v>3105739.6</v>
      </c>
      <c r="G20" s="51">
        <f t="shared" si="1"/>
        <v>10248.94068</v>
      </c>
      <c r="H20" s="50">
        <v>1987713</v>
      </c>
      <c r="I20" s="51">
        <f t="shared" si="2"/>
        <v>13118.9058</v>
      </c>
      <c r="J20" s="50">
        <v>3975426</v>
      </c>
      <c r="K20" s="51">
        <f t="shared" si="3"/>
        <v>13118.9058</v>
      </c>
      <c r="L20" s="50">
        <v>2222264.81</v>
      </c>
      <c r="M20" s="51">
        <f t="shared" si="4"/>
        <v>14666.947746</v>
      </c>
      <c r="N20" s="50">
        <v>3175008.93</v>
      </c>
      <c r="O20" s="51">
        <f t="shared" si="5"/>
        <v>10477.529469000001</v>
      </c>
      <c r="P20" s="50">
        <v>2250430.1800000002</v>
      </c>
      <c r="Q20" s="51">
        <f t="shared" si="6"/>
        <v>14852.839188000002</v>
      </c>
      <c r="R20" s="50">
        <v>3270838.37</v>
      </c>
      <c r="S20" s="51">
        <f t="shared" si="7"/>
        <v>10793.766621000001</v>
      </c>
      <c r="T20" s="50">
        <v>2225796.6800000002</v>
      </c>
      <c r="U20" s="51">
        <f t="shared" si="8"/>
        <v>14690.258088</v>
      </c>
      <c r="V20" s="50">
        <v>3364381</v>
      </c>
      <c r="W20" s="51">
        <f t="shared" si="9"/>
        <v>11102.4573</v>
      </c>
      <c r="X20" s="50">
        <v>2446174.4300000002</v>
      </c>
      <c r="Y20" s="51">
        <f t="shared" si="10"/>
        <v>16144.751238000001</v>
      </c>
      <c r="Z20" s="50">
        <v>3095327.26</v>
      </c>
      <c r="AA20" s="51">
        <f t="shared" si="11"/>
        <v>10214.579957999998</v>
      </c>
      <c r="AB20" s="50">
        <v>2851864.14</v>
      </c>
      <c r="AC20" s="51">
        <f t="shared" si="12"/>
        <v>18822.303324</v>
      </c>
      <c r="AD20" s="50">
        <v>3329626.46</v>
      </c>
      <c r="AE20" s="51">
        <f t="shared" si="13"/>
        <v>10987.767318</v>
      </c>
      <c r="AF20" s="50">
        <v>2844685.66</v>
      </c>
      <c r="AG20" s="51">
        <f t="shared" si="14"/>
        <v>18774.925356</v>
      </c>
      <c r="AH20" s="50">
        <v>3495735.18</v>
      </c>
      <c r="AI20" s="51">
        <f t="shared" si="15"/>
        <v>11535.926094</v>
      </c>
      <c r="AJ20" s="50">
        <v>3048824.53</v>
      </c>
      <c r="AK20" s="51">
        <f t="shared" si="16"/>
        <v>20122.241898</v>
      </c>
      <c r="AL20" s="50">
        <v>4087308.93</v>
      </c>
      <c r="AM20" s="51">
        <f t="shared" si="17"/>
        <v>13488.119469000001</v>
      </c>
      <c r="AN20" s="50">
        <v>2922278.26</v>
      </c>
      <c r="AO20" s="51">
        <f t="shared" si="18"/>
        <v>19287.036516</v>
      </c>
      <c r="AP20" s="52">
        <v>3610022.48</v>
      </c>
      <c r="AQ20" s="51">
        <f t="shared" si="19"/>
        <v>11913.074183999999</v>
      </c>
      <c r="AR20" s="52">
        <v>2864591.97</v>
      </c>
      <c r="AS20" s="51">
        <f t="shared" si="20"/>
        <v>18906.307002000001</v>
      </c>
      <c r="AT20" s="52">
        <v>4097107.63</v>
      </c>
      <c r="AU20" s="53">
        <f t="shared" si="21"/>
        <v>13520.455178999999</v>
      </c>
      <c r="AV20" s="54">
        <v>2768926.14</v>
      </c>
      <c r="AW20" s="51">
        <f t="shared" si="22"/>
        <v>18274.912523999999</v>
      </c>
      <c r="AX20" s="52">
        <v>3555780</v>
      </c>
      <c r="AY20" s="55">
        <f t="shared" si="23"/>
        <v>11734.074000000001</v>
      </c>
      <c r="AZ20" s="53"/>
    </row>
    <row r="21" spans="1:52" x14ac:dyDescent="0.25">
      <c r="A21" s="48" t="s">
        <v>45</v>
      </c>
      <c r="B21" s="49"/>
      <c r="C21" s="49"/>
      <c r="D21" s="50">
        <v>994626</v>
      </c>
      <c r="E21" s="51">
        <f t="shared" si="0"/>
        <v>6564.5316000000003</v>
      </c>
      <c r="F21" s="50">
        <v>2475074</v>
      </c>
      <c r="G21" s="51">
        <f t="shared" si="1"/>
        <v>8167.7442000000001</v>
      </c>
      <c r="H21" s="50">
        <v>1191630</v>
      </c>
      <c r="I21" s="51">
        <f t="shared" si="2"/>
        <v>7864.7579999999998</v>
      </c>
      <c r="J21" s="50">
        <v>3271171</v>
      </c>
      <c r="K21" s="51">
        <f t="shared" si="3"/>
        <v>10794.864299999999</v>
      </c>
      <c r="L21" s="50">
        <v>1334134</v>
      </c>
      <c r="M21" s="51">
        <f t="shared" si="4"/>
        <v>8805.2844000000005</v>
      </c>
      <c r="N21" s="50">
        <v>3543501</v>
      </c>
      <c r="O21" s="51">
        <f t="shared" si="5"/>
        <v>11693.5533</v>
      </c>
      <c r="P21" s="50"/>
      <c r="Q21" s="51">
        <f t="shared" si="6"/>
        <v>0</v>
      </c>
      <c r="R21" s="50"/>
      <c r="S21" s="51">
        <f t="shared" si="7"/>
        <v>0</v>
      </c>
      <c r="T21" s="50"/>
      <c r="U21" s="51">
        <f t="shared" si="8"/>
        <v>0</v>
      </c>
      <c r="V21" s="50"/>
      <c r="W21" s="51">
        <f t="shared" si="9"/>
        <v>0</v>
      </c>
      <c r="X21" s="50">
        <v>1190557</v>
      </c>
      <c r="Y21" s="51">
        <f t="shared" si="10"/>
        <v>7857.6761999999999</v>
      </c>
      <c r="Z21" s="50">
        <v>3299388</v>
      </c>
      <c r="AA21" s="51">
        <f t="shared" si="11"/>
        <v>10887.9804</v>
      </c>
      <c r="AB21" s="50">
        <v>1090937</v>
      </c>
      <c r="AC21" s="51">
        <f t="shared" si="12"/>
        <v>7200.1841999999997</v>
      </c>
      <c r="AD21" s="50">
        <v>2763506</v>
      </c>
      <c r="AE21" s="51">
        <f t="shared" si="13"/>
        <v>9119.5697999999993</v>
      </c>
      <c r="AF21" s="50">
        <v>1078216</v>
      </c>
      <c r="AG21" s="51">
        <f t="shared" si="14"/>
        <v>7116.2255999999998</v>
      </c>
      <c r="AH21" s="50">
        <v>2923873</v>
      </c>
      <c r="AI21" s="51">
        <f t="shared" si="15"/>
        <v>9648.7808999999997</v>
      </c>
      <c r="AJ21" s="50">
        <v>1121404</v>
      </c>
      <c r="AK21" s="51">
        <f t="shared" si="16"/>
        <v>7401.2663999999995</v>
      </c>
      <c r="AL21" s="50">
        <v>3296825</v>
      </c>
      <c r="AM21" s="51">
        <f t="shared" si="17"/>
        <v>10879.522499999999</v>
      </c>
      <c r="AN21" s="50">
        <v>907103</v>
      </c>
      <c r="AO21" s="51">
        <f t="shared" si="18"/>
        <v>5986.8797999999997</v>
      </c>
      <c r="AP21" s="52">
        <v>2620094</v>
      </c>
      <c r="AQ21" s="51">
        <f t="shared" si="19"/>
        <v>8646.3101999999999</v>
      </c>
      <c r="AR21" s="52">
        <v>971546</v>
      </c>
      <c r="AS21" s="51">
        <f t="shared" si="20"/>
        <v>6412.2035999999998</v>
      </c>
      <c r="AT21" s="52">
        <v>2983336</v>
      </c>
      <c r="AU21" s="53">
        <f t="shared" si="21"/>
        <v>9845.0087999999996</v>
      </c>
      <c r="AV21" s="54">
        <v>906401</v>
      </c>
      <c r="AW21" s="51">
        <f t="shared" si="22"/>
        <v>5982.2466000000004</v>
      </c>
      <c r="AX21" s="52">
        <v>2708607</v>
      </c>
      <c r="AY21" s="55">
        <f t="shared" si="23"/>
        <v>8938.4030999999995</v>
      </c>
      <c r="AZ21" s="53"/>
    </row>
    <row r="22" spans="1:52" x14ac:dyDescent="0.25">
      <c r="A22" s="48" t="s">
        <v>46</v>
      </c>
      <c r="B22" s="49"/>
      <c r="C22" s="49"/>
      <c r="D22" s="50">
        <v>74678</v>
      </c>
      <c r="E22" s="51">
        <f t="shared" si="0"/>
        <v>492.87479999999999</v>
      </c>
      <c r="F22" s="50">
        <v>849283.65</v>
      </c>
      <c r="G22" s="51">
        <f t="shared" si="1"/>
        <v>2802.6360450000002</v>
      </c>
      <c r="H22" s="50">
        <v>91189</v>
      </c>
      <c r="I22" s="51">
        <f t="shared" si="2"/>
        <v>601.84739999999999</v>
      </c>
      <c r="J22" s="50">
        <v>929326.05</v>
      </c>
      <c r="K22" s="51">
        <f t="shared" si="3"/>
        <v>3066.7759650000003</v>
      </c>
      <c r="L22" s="50">
        <v>103616</v>
      </c>
      <c r="M22" s="51">
        <f t="shared" si="4"/>
        <v>683.86559999999997</v>
      </c>
      <c r="N22" s="50">
        <v>984348.5</v>
      </c>
      <c r="O22" s="51">
        <f t="shared" si="5"/>
        <v>3248.35005</v>
      </c>
      <c r="P22" s="50">
        <v>95542</v>
      </c>
      <c r="Q22" s="51">
        <f t="shared" si="6"/>
        <v>630.57719999999995</v>
      </c>
      <c r="R22" s="50">
        <v>956269.18</v>
      </c>
      <c r="S22" s="51">
        <f t="shared" si="7"/>
        <v>3155.688294</v>
      </c>
      <c r="T22" s="50">
        <v>95817</v>
      </c>
      <c r="U22" s="51">
        <f t="shared" si="8"/>
        <v>632.3922</v>
      </c>
      <c r="V22" s="50">
        <v>1002277.95</v>
      </c>
      <c r="W22" s="51">
        <f t="shared" si="9"/>
        <v>3307.5172349999998</v>
      </c>
      <c r="X22" s="50">
        <v>288794</v>
      </c>
      <c r="Y22" s="51">
        <f t="shared" si="10"/>
        <v>1906.0404000000001</v>
      </c>
      <c r="Z22" s="50">
        <v>577588</v>
      </c>
      <c r="AA22" s="51">
        <f t="shared" si="11"/>
        <v>1906.0404000000001</v>
      </c>
      <c r="AB22" s="50">
        <v>103398</v>
      </c>
      <c r="AC22" s="51">
        <f t="shared" si="12"/>
        <v>682.42679999999996</v>
      </c>
      <c r="AD22" s="50">
        <v>830577.87</v>
      </c>
      <c r="AE22" s="51">
        <f t="shared" si="13"/>
        <v>2740.9069709999999</v>
      </c>
      <c r="AF22" s="50">
        <v>100314</v>
      </c>
      <c r="AG22" s="51">
        <f t="shared" si="14"/>
        <v>662.07240000000002</v>
      </c>
      <c r="AH22" s="50">
        <v>894197.48</v>
      </c>
      <c r="AI22" s="51">
        <f t="shared" si="15"/>
        <v>2950.8516839999998</v>
      </c>
      <c r="AJ22" s="50">
        <v>116993</v>
      </c>
      <c r="AK22" s="51">
        <f t="shared" si="16"/>
        <v>772.15380000000005</v>
      </c>
      <c r="AL22" s="50">
        <v>1109052.2</v>
      </c>
      <c r="AM22" s="51">
        <f t="shared" si="17"/>
        <v>3659.8722599999996</v>
      </c>
      <c r="AN22" s="50">
        <v>86553</v>
      </c>
      <c r="AO22" s="51">
        <f t="shared" si="18"/>
        <v>571.24980000000005</v>
      </c>
      <c r="AP22" s="52">
        <v>894343.46</v>
      </c>
      <c r="AQ22" s="51">
        <f t="shared" si="19"/>
        <v>2951.3334179999997</v>
      </c>
      <c r="AR22" s="52">
        <v>99471.6</v>
      </c>
      <c r="AS22" s="51">
        <f t="shared" si="20"/>
        <v>656.51256000000001</v>
      </c>
      <c r="AT22" s="52">
        <v>1056463.95</v>
      </c>
      <c r="AU22" s="53">
        <f t="shared" si="21"/>
        <v>3486.3310349999997</v>
      </c>
      <c r="AV22" s="54">
        <v>76796.3</v>
      </c>
      <c r="AW22" s="51">
        <f t="shared" si="22"/>
        <v>506.85558000000003</v>
      </c>
      <c r="AX22" s="52">
        <v>890175.72</v>
      </c>
      <c r="AY22" s="55">
        <f t="shared" si="23"/>
        <v>2937.5798759999998</v>
      </c>
      <c r="AZ22" s="53"/>
    </row>
    <row r="23" spans="1:52" x14ac:dyDescent="0.25">
      <c r="A23" s="48" t="s">
        <v>47</v>
      </c>
      <c r="B23" s="49"/>
      <c r="C23" s="49"/>
      <c r="D23" s="50">
        <v>329281</v>
      </c>
      <c r="E23" s="51">
        <f t="shared" si="0"/>
        <v>2173.2546000000002</v>
      </c>
      <c r="F23" s="50">
        <v>654681</v>
      </c>
      <c r="G23" s="51">
        <f t="shared" si="1"/>
        <v>2160.4472999999998</v>
      </c>
      <c r="H23" s="50">
        <v>347095</v>
      </c>
      <c r="I23" s="51">
        <f t="shared" si="2"/>
        <v>2290.8269999999998</v>
      </c>
      <c r="J23" s="50">
        <v>767608.9</v>
      </c>
      <c r="K23" s="51">
        <f t="shared" si="3"/>
        <v>2533.1093700000001</v>
      </c>
      <c r="L23" s="50">
        <v>357222</v>
      </c>
      <c r="M23" s="51">
        <f t="shared" si="4"/>
        <v>2357.6651999999999</v>
      </c>
      <c r="N23" s="50">
        <v>866266.2</v>
      </c>
      <c r="O23" s="51">
        <f t="shared" si="5"/>
        <v>2858.6784599999996</v>
      </c>
      <c r="P23" s="50">
        <v>371751.9</v>
      </c>
      <c r="Q23" s="51">
        <f t="shared" si="6"/>
        <v>2453.5625400000004</v>
      </c>
      <c r="R23" s="50">
        <v>970174</v>
      </c>
      <c r="S23" s="51">
        <f t="shared" si="7"/>
        <v>3201.5742</v>
      </c>
      <c r="T23" s="50">
        <v>370892.5</v>
      </c>
      <c r="U23" s="51">
        <f t="shared" si="8"/>
        <v>2447.8905</v>
      </c>
      <c r="V23" s="50">
        <v>868616.8</v>
      </c>
      <c r="W23" s="51">
        <f t="shared" si="9"/>
        <v>2866.4354400000002</v>
      </c>
      <c r="X23" s="50">
        <v>426184.3</v>
      </c>
      <c r="Y23" s="51">
        <f t="shared" si="10"/>
        <v>2812.8163799999998</v>
      </c>
      <c r="Z23" s="50">
        <v>992024.3</v>
      </c>
      <c r="AA23" s="51">
        <f t="shared" si="11"/>
        <v>3273.68019</v>
      </c>
      <c r="AB23" s="50">
        <v>379140.4</v>
      </c>
      <c r="AC23" s="51">
        <f t="shared" si="12"/>
        <v>2502.3266400000002</v>
      </c>
      <c r="AD23" s="50">
        <v>738381</v>
      </c>
      <c r="AE23" s="51">
        <f t="shared" si="13"/>
        <v>2436.6572999999999</v>
      </c>
      <c r="AF23" s="50">
        <v>382847.9</v>
      </c>
      <c r="AG23" s="51">
        <f t="shared" si="14"/>
        <v>2526.7961399999999</v>
      </c>
      <c r="AH23" s="50">
        <v>775806.4</v>
      </c>
      <c r="AI23" s="51">
        <f t="shared" si="15"/>
        <v>2560.1611200000002</v>
      </c>
      <c r="AJ23" s="50">
        <v>398943.5</v>
      </c>
      <c r="AK23" s="51">
        <f t="shared" si="16"/>
        <v>2633.0270999999998</v>
      </c>
      <c r="AL23" s="50">
        <v>841997.5</v>
      </c>
      <c r="AM23" s="51">
        <f t="shared" si="17"/>
        <v>2778.59175</v>
      </c>
      <c r="AN23" s="50">
        <v>328020.5</v>
      </c>
      <c r="AO23" s="51">
        <f t="shared" si="18"/>
        <v>2164.9353000000001</v>
      </c>
      <c r="AP23" s="52">
        <v>616404.30000000005</v>
      </c>
      <c r="AQ23" s="51">
        <f t="shared" si="19"/>
        <v>2034.1341900000002</v>
      </c>
      <c r="AR23" s="52">
        <v>375293.7</v>
      </c>
      <c r="AS23" s="51">
        <f t="shared" si="20"/>
        <v>2476.93842</v>
      </c>
      <c r="AT23" s="52">
        <v>735226.4</v>
      </c>
      <c r="AU23" s="53">
        <f t="shared" si="21"/>
        <v>2426.24712</v>
      </c>
      <c r="AV23" s="54">
        <v>317086.09999999998</v>
      </c>
      <c r="AW23" s="51">
        <f t="shared" si="22"/>
        <v>2092.7682599999998</v>
      </c>
      <c r="AX23" s="52">
        <v>561470.30000000005</v>
      </c>
      <c r="AY23" s="55">
        <f t="shared" si="23"/>
        <v>1852.8519900000001</v>
      </c>
      <c r="AZ23" s="53"/>
    </row>
    <row r="24" spans="1:52" x14ac:dyDescent="0.25">
      <c r="A24" s="48" t="s">
        <v>48</v>
      </c>
      <c r="B24" s="49"/>
      <c r="C24" s="49"/>
      <c r="D24" s="50">
        <v>120951</v>
      </c>
      <c r="E24" s="51">
        <f t="shared" si="0"/>
        <v>798.27660000000003</v>
      </c>
      <c r="F24" s="50">
        <v>850327</v>
      </c>
      <c r="G24" s="51">
        <f t="shared" si="1"/>
        <v>2806.0790999999999</v>
      </c>
      <c r="H24" s="50">
        <v>119752</v>
      </c>
      <c r="I24" s="51">
        <f t="shared" si="2"/>
        <v>790.36320000000001</v>
      </c>
      <c r="J24" s="50">
        <v>1003153</v>
      </c>
      <c r="K24" s="51">
        <f t="shared" si="3"/>
        <v>3310.4049</v>
      </c>
      <c r="L24" s="50">
        <v>177858</v>
      </c>
      <c r="M24" s="51">
        <f t="shared" si="4"/>
        <v>1173.8628000000001</v>
      </c>
      <c r="N24" s="50">
        <v>1152805</v>
      </c>
      <c r="O24" s="51">
        <f t="shared" si="5"/>
        <v>3804.2565</v>
      </c>
      <c r="P24" s="50">
        <v>157624</v>
      </c>
      <c r="Q24" s="51">
        <f t="shared" si="6"/>
        <v>1040.3183999999999</v>
      </c>
      <c r="R24" s="50">
        <v>1113419</v>
      </c>
      <c r="S24" s="51">
        <f t="shared" si="7"/>
        <v>3674.2827000000002</v>
      </c>
      <c r="T24" s="50">
        <v>171600</v>
      </c>
      <c r="U24" s="51">
        <f t="shared" si="8"/>
        <v>1132.56</v>
      </c>
      <c r="V24" s="50">
        <v>1264544</v>
      </c>
      <c r="W24" s="51">
        <f t="shared" si="9"/>
        <v>4172.9952000000003</v>
      </c>
      <c r="X24" s="50">
        <v>212660</v>
      </c>
      <c r="Y24" s="51">
        <f t="shared" si="10"/>
        <v>1403.556</v>
      </c>
      <c r="Z24" s="50">
        <v>1227563</v>
      </c>
      <c r="AA24" s="51">
        <f t="shared" si="11"/>
        <v>4050.9578999999999</v>
      </c>
      <c r="AB24" s="50">
        <v>198306</v>
      </c>
      <c r="AC24" s="51">
        <f t="shared" si="12"/>
        <v>1308.8196</v>
      </c>
      <c r="AD24" s="50">
        <v>994642</v>
      </c>
      <c r="AE24" s="51">
        <f t="shared" si="13"/>
        <v>3282.3186000000001</v>
      </c>
      <c r="AF24" s="50">
        <v>209194</v>
      </c>
      <c r="AG24" s="51">
        <f t="shared" si="14"/>
        <v>1380.6804</v>
      </c>
      <c r="AH24" s="50">
        <v>1041663</v>
      </c>
      <c r="AI24" s="51">
        <f t="shared" si="15"/>
        <v>3437.4879000000001</v>
      </c>
      <c r="AJ24" s="50">
        <v>406501</v>
      </c>
      <c r="AK24" s="51">
        <f t="shared" si="16"/>
        <v>2682.9065999999998</v>
      </c>
      <c r="AL24" s="50">
        <v>813002</v>
      </c>
      <c r="AM24" s="51">
        <f t="shared" si="17"/>
        <v>2682.9065999999998</v>
      </c>
      <c r="AN24" s="50">
        <v>187591</v>
      </c>
      <c r="AO24" s="51">
        <f t="shared" si="18"/>
        <v>1238.1006</v>
      </c>
      <c r="AP24" s="52">
        <v>836927</v>
      </c>
      <c r="AQ24" s="51">
        <f t="shared" si="19"/>
        <v>2761.8591000000001</v>
      </c>
      <c r="AR24" s="52">
        <v>150853</v>
      </c>
      <c r="AS24" s="51">
        <f t="shared" si="20"/>
        <v>995.62980000000005</v>
      </c>
      <c r="AT24" s="52">
        <v>1015471</v>
      </c>
      <c r="AU24" s="53">
        <f t="shared" si="21"/>
        <v>3351.0542999999998</v>
      </c>
      <c r="AV24" s="54">
        <v>165654</v>
      </c>
      <c r="AW24" s="51">
        <f t="shared" si="22"/>
        <v>1093.3163999999999</v>
      </c>
      <c r="AX24" s="52">
        <v>884421</v>
      </c>
      <c r="AY24" s="55">
        <f t="shared" si="23"/>
        <v>2918.5893000000001</v>
      </c>
      <c r="AZ24" s="53"/>
    </row>
    <row r="25" spans="1:52" x14ac:dyDescent="0.25">
      <c r="A25" s="48" t="s">
        <v>49</v>
      </c>
      <c r="B25" s="49"/>
      <c r="C25" s="49"/>
      <c r="D25" s="50">
        <v>0</v>
      </c>
      <c r="E25" s="51">
        <f t="shared" si="0"/>
        <v>0</v>
      </c>
      <c r="F25" s="50">
        <v>0</v>
      </c>
      <c r="G25" s="51">
        <f t="shared" si="1"/>
        <v>0</v>
      </c>
      <c r="H25" s="50">
        <v>0</v>
      </c>
      <c r="I25" s="51">
        <f t="shared" si="2"/>
        <v>0</v>
      </c>
      <c r="J25" s="50">
        <v>0</v>
      </c>
      <c r="K25" s="51">
        <f t="shared" si="3"/>
        <v>0</v>
      </c>
      <c r="L25" s="50">
        <v>0</v>
      </c>
      <c r="M25" s="51">
        <f t="shared" si="4"/>
        <v>0</v>
      </c>
      <c r="N25" s="50">
        <v>0</v>
      </c>
      <c r="O25" s="51">
        <f t="shared" si="5"/>
        <v>0</v>
      </c>
      <c r="P25" s="50">
        <v>0</v>
      </c>
      <c r="Q25" s="51">
        <f t="shared" si="6"/>
        <v>0</v>
      </c>
      <c r="R25" s="50">
        <v>0</v>
      </c>
      <c r="S25" s="51">
        <f t="shared" si="7"/>
        <v>0</v>
      </c>
      <c r="T25" s="50">
        <v>0</v>
      </c>
      <c r="U25" s="51">
        <f t="shared" si="8"/>
        <v>0</v>
      </c>
      <c r="V25" s="50">
        <v>0</v>
      </c>
      <c r="W25" s="51">
        <f t="shared" si="9"/>
        <v>0</v>
      </c>
      <c r="X25" s="50">
        <v>0</v>
      </c>
      <c r="Y25" s="51">
        <f t="shared" si="10"/>
        <v>0</v>
      </c>
      <c r="Z25" s="50">
        <v>0</v>
      </c>
      <c r="AA25" s="51">
        <f t="shared" si="11"/>
        <v>0</v>
      </c>
      <c r="AB25" s="50">
        <v>0</v>
      </c>
      <c r="AC25" s="51">
        <f t="shared" si="12"/>
        <v>0</v>
      </c>
      <c r="AD25" s="50">
        <v>0</v>
      </c>
      <c r="AE25" s="51">
        <f t="shared" si="13"/>
        <v>0</v>
      </c>
      <c r="AF25" s="50">
        <v>0</v>
      </c>
      <c r="AG25" s="51">
        <f t="shared" si="14"/>
        <v>0</v>
      </c>
      <c r="AH25" s="50">
        <v>0</v>
      </c>
      <c r="AI25" s="51">
        <f t="shared" si="15"/>
        <v>0</v>
      </c>
      <c r="AJ25" s="50"/>
      <c r="AK25" s="51">
        <f t="shared" si="16"/>
        <v>0</v>
      </c>
      <c r="AL25" s="50">
        <v>0</v>
      </c>
      <c r="AM25" s="51">
        <f t="shared" si="17"/>
        <v>0</v>
      </c>
      <c r="AN25" s="50">
        <v>0</v>
      </c>
      <c r="AO25" s="51">
        <f t="shared" si="18"/>
        <v>0</v>
      </c>
      <c r="AP25" s="52">
        <v>0</v>
      </c>
      <c r="AQ25" s="51">
        <f t="shared" si="19"/>
        <v>0</v>
      </c>
      <c r="AR25" s="52">
        <v>0</v>
      </c>
      <c r="AS25" s="51">
        <f t="shared" si="20"/>
        <v>0</v>
      </c>
      <c r="AT25" s="52">
        <v>0</v>
      </c>
      <c r="AU25" s="53">
        <f t="shared" si="21"/>
        <v>0</v>
      </c>
      <c r="AV25" s="54">
        <v>0</v>
      </c>
      <c r="AW25" s="51">
        <f t="shared" si="22"/>
        <v>0</v>
      </c>
      <c r="AX25" s="52">
        <v>0</v>
      </c>
      <c r="AY25" s="55">
        <f t="shared" si="23"/>
        <v>0</v>
      </c>
      <c r="AZ25" s="53"/>
    </row>
    <row r="26" spans="1:52" x14ac:dyDescent="0.25">
      <c r="A26" s="48" t="s">
        <v>50</v>
      </c>
      <c r="B26" s="49"/>
      <c r="C26" s="49"/>
      <c r="D26" s="50">
        <v>80700</v>
      </c>
      <c r="E26" s="51">
        <f t="shared" si="0"/>
        <v>532.62</v>
      </c>
      <c r="F26" s="50">
        <v>58223</v>
      </c>
      <c r="G26" s="51">
        <f t="shared" si="1"/>
        <v>192.13589999999999</v>
      </c>
      <c r="H26" s="50">
        <v>154884</v>
      </c>
      <c r="I26" s="51">
        <f t="shared" si="2"/>
        <v>1022.2344000000001</v>
      </c>
      <c r="J26" s="50">
        <v>87318</v>
      </c>
      <c r="K26" s="51">
        <f t="shared" si="3"/>
        <v>288.14940000000001</v>
      </c>
      <c r="L26" s="50">
        <v>192120</v>
      </c>
      <c r="M26" s="51">
        <f t="shared" si="4"/>
        <v>1267.992</v>
      </c>
      <c r="N26" s="50">
        <v>139132</v>
      </c>
      <c r="O26" s="51">
        <f t="shared" si="5"/>
        <v>459.13560000000001</v>
      </c>
      <c r="P26" s="50">
        <v>198017</v>
      </c>
      <c r="Q26" s="51">
        <f t="shared" si="6"/>
        <v>1306.9122</v>
      </c>
      <c r="R26" s="50">
        <v>186147</v>
      </c>
      <c r="S26" s="51">
        <f t="shared" si="7"/>
        <v>614.28509999999994</v>
      </c>
      <c r="T26" s="50">
        <v>274751</v>
      </c>
      <c r="U26" s="51">
        <f t="shared" si="8"/>
        <v>1813.3566000000001</v>
      </c>
      <c r="V26" s="50">
        <v>219734</v>
      </c>
      <c r="W26" s="51">
        <f t="shared" si="9"/>
        <v>725.12220000000002</v>
      </c>
      <c r="X26" s="50">
        <v>377543</v>
      </c>
      <c r="Y26" s="51">
        <f t="shared" si="10"/>
        <v>2491.7838000000002</v>
      </c>
      <c r="Z26" s="50">
        <v>268927</v>
      </c>
      <c r="AA26" s="51">
        <f t="shared" si="11"/>
        <v>887.45910000000003</v>
      </c>
      <c r="AB26" s="50">
        <v>312048</v>
      </c>
      <c r="AC26" s="51">
        <f t="shared" si="12"/>
        <v>2059.5167999999999</v>
      </c>
      <c r="AD26" s="50">
        <v>215031</v>
      </c>
      <c r="AE26" s="51">
        <f t="shared" si="13"/>
        <v>709.60230000000001</v>
      </c>
      <c r="AF26" s="50">
        <v>315740</v>
      </c>
      <c r="AG26" s="51">
        <f t="shared" si="14"/>
        <v>2083.884</v>
      </c>
      <c r="AH26" s="50">
        <v>250542</v>
      </c>
      <c r="AI26" s="51">
        <f t="shared" si="15"/>
        <v>826.78859999999997</v>
      </c>
      <c r="AJ26" s="50">
        <v>377663</v>
      </c>
      <c r="AK26" s="51">
        <f t="shared" si="16"/>
        <v>2492.5758000000001</v>
      </c>
      <c r="AL26" s="50">
        <v>251209</v>
      </c>
      <c r="AM26" s="51">
        <f t="shared" si="17"/>
        <v>828.98969999999997</v>
      </c>
      <c r="AN26" s="50">
        <v>305822</v>
      </c>
      <c r="AO26" s="51">
        <f t="shared" si="18"/>
        <v>2018.4251999999999</v>
      </c>
      <c r="AP26" s="52">
        <v>209580</v>
      </c>
      <c r="AQ26" s="51">
        <f t="shared" si="19"/>
        <v>691.61400000000003</v>
      </c>
      <c r="AR26" s="52">
        <v>324779</v>
      </c>
      <c r="AS26" s="51">
        <f t="shared" si="20"/>
        <v>2143.5414000000001</v>
      </c>
      <c r="AT26" s="52">
        <v>230188</v>
      </c>
      <c r="AU26" s="53">
        <f t="shared" si="21"/>
        <v>759.62040000000002</v>
      </c>
      <c r="AV26" s="54">
        <v>322677</v>
      </c>
      <c r="AW26" s="51">
        <f t="shared" si="22"/>
        <v>2129.6682000000001</v>
      </c>
      <c r="AX26" s="52">
        <v>217153</v>
      </c>
      <c r="AY26" s="55">
        <f t="shared" si="23"/>
        <v>716.60490000000004</v>
      </c>
      <c r="AZ26" s="53"/>
    </row>
    <row r="27" spans="1:52" ht="15.75" thickBot="1" x14ac:dyDescent="0.3">
      <c r="A27" s="56" t="s">
        <v>51</v>
      </c>
      <c r="B27" s="57"/>
      <c r="C27" s="57"/>
      <c r="D27" s="58">
        <f t="shared" ref="D27:AY27" si="24">SUM(D17:D26)</f>
        <v>8782954</v>
      </c>
      <c r="E27" s="59">
        <f t="shared" si="24"/>
        <v>57967.496400000004</v>
      </c>
      <c r="F27" s="58">
        <f t="shared" si="24"/>
        <v>10937130.25</v>
      </c>
      <c r="G27" s="59">
        <f t="shared" si="24"/>
        <v>36092.529825000005</v>
      </c>
      <c r="H27" s="58">
        <f t="shared" si="24"/>
        <v>8450985</v>
      </c>
      <c r="I27" s="59">
        <f t="shared" si="24"/>
        <v>55776.500999999997</v>
      </c>
      <c r="J27" s="58">
        <f t="shared" si="24"/>
        <v>13371647.950000001</v>
      </c>
      <c r="K27" s="59">
        <f t="shared" si="24"/>
        <v>44126.438235000001</v>
      </c>
      <c r="L27" s="58">
        <f t="shared" si="24"/>
        <v>9236476.8100000005</v>
      </c>
      <c r="M27" s="59">
        <f t="shared" si="24"/>
        <v>60960.746945999992</v>
      </c>
      <c r="N27" s="58">
        <f t="shared" si="24"/>
        <v>12975742.02</v>
      </c>
      <c r="O27" s="59">
        <f t="shared" si="24"/>
        <v>42819.948666000011</v>
      </c>
      <c r="P27" s="58">
        <f t="shared" si="24"/>
        <v>8081264.0800000001</v>
      </c>
      <c r="Q27" s="59">
        <f t="shared" si="24"/>
        <v>53336.342927999998</v>
      </c>
      <c r="R27" s="58">
        <f t="shared" si="24"/>
        <v>9584060.6799999997</v>
      </c>
      <c r="S27" s="59">
        <f t="shared" si="24"/>
        <v>31627.400244</v>
      </c>
      <c r="T27" s="58">
        <f t="shared" si="24"/>
        <v>8330746.1799999997</v>
      </c>
      <c r="U27" s="59">
        <f t="shared" si="24"/>
        <v>54982.924787999997</v>
      </c>
      <c r="V27" s="58">
        <f t="shared" si="24"/>
        <v>9984149.5899999999</v>
      </c>
      <c r="W27" s="59">
        <f t="shared" si="24"/>
        <v>32947.693647</v>
      </c>
      <c r="X27" s="58">
        <f t="shared" si="24"/>
        <v>10402649.73</v>
      </c>
      <c r="Y27" s="59">
        <f t="shared" si="24"/>
        <v>68657.488217999999</v>
      </c>
      <c r="Z27" s="58">
        <f t="shared" si="24"/>
        <v>12737150.220000001</v>
      </c>
      <c r="AA27" s="59">
        <f t="shared" si="24"/>
        <v>42032.595726</v>
      </c>
      <c r="AB27" s="58">
        <f t="shared" si="24"/>
        <v>8639531.540000001</v>
      </c>
      <c r="AC27" s="59">
        <f t="shared" si="24"/>
        <v>57020.908163999993</v>
      </c>
      <c r="AD27" s="58">
        <f t="shared" si="24"/>
        <v>12335617.33</v>
      </c>
      <c r="AE27" s="59">
        <f t="shared" si="24"/>
        <v>40707.537188999988</v>
      </c>
      <c r="AF27" s="58">
        <f t="shared" si="24"/>
        <v>9362173.5600000005</v>
      </c>
      <c r="AG27" s="59">
        <f t="shared" si="24"/>
        <v>61790.345495999994</v>
      </c>
      <c r="AH27" s="58">
        <f t="shared" si="24"/>
        <v>11647338.060000001</v>
      </c>
      <c r="AI27" s="59">
        <f t="shared" si="24"/>
        <v>38436.215597999995</v>
      </c>
      <c r="AJ27" s="58">
        <f t="shared" si="24"/>
        <v>9127539.0299999993</v>
      </c>
      <c r="AK27" s="59">
        <f t="shared" si="24"/>
        <v>60241.757598000004</v>
      </c>
      <c r="AL27" s="58">
        <f t="shared" si="24"/>
        <v>15274062.629999999</v>
      </c>
      <c r="AM27" s="59">
        <f t="shared" si="24"/>
        <v>50404.406679</v>
      </c>
      <c r="AN27" s="58">
        <f t="shared" si="24"/>
        <v>9099834.7599999998</v>
      </c>
      <c r="AO27" s="59">
        <f t="shared" si="24"/>
        <v>60058.909415999995</v>
      </c>
      <c r="AP27" s="60">
        <f t="shared" si="24"/>
        <v>11071198.240000002</v>
      </c>
      <c r="AQ27" s="59">
        <f t="shared" si="24"/>
        <v>36534.954191999997</v>
      </c>
      <c r="AR27" s="60">
        <f t="shared" si="24"/>
        <v>9150321.2699999996</v>
      </c>
      <c r="AS27" s="59">
        <f t="shared" si="24"/>
        <v>60392.120382000008</v>
      </c>
      <c r="AT27" s="60">
        <f t="shared" si="24"/>
        <v>12637075.979999999</v>
      </c>
      <c r="AU27" s="60">
        <f t="shared" si="24"/>
        <v>41702.350733999992</v>
      </c>
      <c r="AV27" s="61">
        <f t="shared" si="24"/>
        <v>8728956.5399999991</v>
      </c>
      <c r="AW27" s="59">
        <f t="shared" si="24"/>
        <v>57611.113164000002</v>
      </c>
      <c r="AX27" s="60">
        <f t="shared" si="24"/>
        <v>11099117.020000001</v>
      </c>
      <c r="AY27" s="62">
        <f t="shared" si="24"/>
        <v>36627.086166000001</v>
      </c>
    </row>
    <row r="28" spans="1:52" x14ac:dyDescent="0.25">
      <c r="D28" s="223"/>
      <c r="E28" s="224"/>
    </row>
    <row r="29" spans="1:52" ht="15.75" thickBot="1" x14ac:dyDescent="0.3">
      <c r="D29" s="63"/>
      <c r="E29" s="64"/>
      <c r="F29" s="65"/>
      <c r="G29" s="65"/>
      <c r="H29" s="65"/>
      <c r="I29" s="65"/>
      <c r="J29" s="65"/>
    </row>
    <row r="30" spans="1:52" ht="15.75" thickBot="1" x14ac:dyDescent="0.3">
      <c r="A30" s="37" t="s">
        <v>52</v>
      </c>
      <c r="B30" s="38"/>
      <c r="C30" s="38"/>
      <c r="D30" s="66" t="s">
        <v>35</v>
      </c>
      <c r="E30" s="67" t="s">
        <v>36</v>
      </c>
      <c r="F30" s="67" t="s">
        <v>5</v>
      </c>
      <c r="G30" s="67" t="s">
        <v>26</v>
      </c>
      <c r="H30" s="67" t="s">
        <v>27</v>
      </c>
      <c r="I30" s="67" t="s">
        <v>28</v>
      </c>
      <c r="J30" s="67" t="s">
        <v>29</v>
      </c>
      <c r="K30" s="67" t="s">
        <v>30</v>
      </c>
      <c r="L30" s="67" t="s">
        <v>31</v>
      </c>
      <c r="M30" s="67" t="s">
        <v>32</v>
      </c>
      <c r="N30" s="67" t="s">
        <v>33</v>
      </c>
      <c r="O30" s="67" t="s">
        <v>34</v>
      </c>
      <c r="P30" s="68" t="s">
        <v>51</v>
      </c>
      <c r="T30" s="69" t="s">
        <v>53</v>
      </c>
      <c r="U30" s="70"/>
      <c r="V30" s="70"/>
      <c r="W30" s="217" t="s">
        <v>51</v>
      </c>
      <c r="X30" s="218"/>
      <c r="Y30" s="218"/>
      <c r="Z30" s="218"/>
      <c r="AA30" s="218"/>
      <c r="AB30" s="219"/>
    </row>
    <row r="31" spans="1:52" x14ac:dyDescent="0.25">
      <c r="A31" s="48" t="s">
        <v>41</v>
      </c>
      <c r="B31" s="49"/>
      <c r="C31" s="49"/>
      <c r="D31" s="71">
        <f>'[1]2016'!AS17+'[1]2016'!AU17</f>
        <v>24400.2</v>
      </c>
      <c r="E31" s="72">
        <f>'[1]2016'!AW17+'[1]2016'!AY17</f>
        <v>23348.770499999999</v>
      </c>
      <c r="F31" s="73">
        <f>E17+G17</f>
        <v>24148.8819</v>
      </c>
      <c r="G31" s="73">
        <f>I17+K17</f>
        <v>22789.971599999997</v>
      </c>
      <c r="H31" s="73">
        <f>M17+O17</f>
        <v>23968.368599999998</v>
      </c>
      <c r="I31" s="73">
        <f>Q17+S17</f>
        <v>24183.574800000002</v>
      </c>
      <c r="J31" s="73">
        <f>U17+W17</f>
        <v>24920.461499999998</v>
      </c>
      <c r="K31" s="73">
        <f>Y17+AA17</f>
        <v>26392.730100000001</v>
      </c>
      <c r="L31" s="73">
        <f>AC17+AE17</f>
        <v>23105.477999999999</v>
      </c>
      <c r="M31" s="73">
        <f>AG17+AI17</f>
        <v>24253.6008</v>
      </c>
      <c r="N31" s="73">
        <f>AK17+AM17</f>
        <v>26744.820299999999</v>
      </c>
      <c r="O31" s="74">
        <f>AO17+AQ17</f>
        <v>24051.5484</v>
      </c>
      <c r="P31" s="75">
        <f>SUM(D31:O31)</f>
        <v>292308.40650000004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52" x14ac:dyDescent="0.25">
      <c r="A32" s="48" t="s">
        <v>42</v>
      </c>
      <c r="B32" s="49"/>
      <c r="C32" s="49"/>
      <c r="D32" s="71">
        <f>'[1]2016'!AS18+'[1]2016'!AU18</f>
        <v>9339.689699999999</v>
      </c>
      <c r="E32" s="72">
        <f>'[1]2016'!AW18+'[1]2016'!AY18</f>
        <v>6312.5329739999997</v>
      </c>
      <c r="F32" s="73">
        <f t="shared" ref="F32:F40" si="25">E18+G18</f>
        <v>6452.5989</v>
      </c>
      <c r="G32" s="73">
        <f t="shared" ref="G32:G40" si="26">I18+K18</f>
        <v>6033.5879999999997</v>
      </c>
      <c r="H32" s="73">
        <f t="shared" ref="H32:H40" si="27">M18+O18</f>
        <v>6268.6911870000004</v>
      </c>
      <c r="I32" s="73">
        <f t="shared" ref="I32:I40" si="28">Q18+S18</f>
        <v>6638.5411290000002</v>
      </c>
      <c r="J32" s="73">
        <f t="shared" ref="J32:J40" si="29">U18+W18</f>
        <v>7173.4800719999994</v>
      </c>
      <c r="K32" s="73">
        <f t="shared" ref="K32:K40" si="30">Y18+AA18</f>
        <v>7243.8420779999997</v>
      </c>
      <c r="L32" s="73">
        <f t="shared" ref="L32:L40" si="31">AC18+AE18</f>
        <v>0</v>
      </c>
      <c r="M32" s="73">
        <f t="shared" ref="M32:M40" si="32">AG18+AI18</f>
        <v>0</v>
      </c>
      <c r="N32" s="73">
        <f t="shared" ref="N32:N40" si="33">AK18+AM18</f>
        <v>0</v>
      </c>
      <c r="O32" s="74">
        <f t="shared" ref="O32:O40" si="34">AO18+AQ18</f>
        <v>0</v>
      </c>
      <c r="P32" s="75">
        <f t="shared" ref="P32:P41" si="35">SUM(D32:O32)</f>
        <v>55462.964039999992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>
        <f>'[1]2016'!AS19+'[1]2016'!AU19</f>
        <v>10991.2011</v>
      </c>
      <c r="E33" s="72">
        <f>'[1]2016'!AW19+'[1]2016'!AY19</f>
        <v>10118.0409</v>
      </c>
      <c r="F33" s="73">
        <f t="shared" si="25"/>
        <v>10949.7894</v>
      </c>
      <c r="G33" s="73">
        <f t="shared" si="26"/>
        <v>12278.2341</v>
      </c>
      <c r="H33" s="73">
        <f t="shared" si="27"/>
        <v>12046.5147</v>
      </c>
      <c r="I33" s="73">
        <f t="shared" si="28"/>
        <v>12417.8208</v>
      </c>
      <c r="J33" s="73">
        <f t="shared" si="29"/>
        <v>12945.6921</v>
      </c>
      <c r="K33" s="73">
        <f t="shared" si="30"/>
        <v>13216.1898</v>
      </c>
      <c r="L33" s="73">
        <f t="shared" si="31"/>
        <v>12770.5677</v>
      </c>
      <c r="M33" s="73">
        <f t="shared" si="32"/>
        <v>12468.3801</v>
      </c>
      <c r="N33" s="73">
        <f t="shared" si="33"/>
        <v>13479.170099999999</v>
      </c>
      <c r="O33" s="74">
        <f t="shared" si="34"/>
        <v>12277.3629</v>
      </c>
      <c r="P33" s="75">
        <f t="shared" si="35"/>
        <v>145958.96369999999</v>
      </c>
      <c r="T33" s="85" t="s">
        <v>41</v>
      </c>
      <c r="U33" s="86"/>
      <c r="V33" s="86"/>
      <c r="W33" s="87">
        <f t="shared" ref="W33:Z42" si="36">D17+H17+L17+P17+T17+X17+AB17+AF17+AJ17+AN17+AR17+AV17</f>
        <v>33297938</v>
      </c>
      <c r="X33" s="88">
        <f t="shared" si="36"/>
        <v>219766.39079999999</v>
      </c>
      <c r="Y33" s="89">
        <f t="shared" si="36"/>
        <v>22431731</v>
      </c>
      <c r="Z33" s="88">
        <f t="shared" si="36"/>
        <v>74024.712300000014</v>
      </c>
      <c r="AA33" s="90">
        <f>W33+Y33</f>
        <v>55729669</v>
      </c>
      <c r="AB33" s="91">
        <f>X33+Z33</f>
        <v>293791.10310000001</v>
      </c>
    </row>
    <row r="34" spans="1:28" x14ac:dyDescent="0.25">
      <c r="A34" s="48" t="s">
        <v>44</v>
      </c>
      <c r="B34" s="49"/>
      <c r="C34" s="49"/>
      <c r="D34" s="71">
        <f>'[1]2016'!AS20+'[1]2016'!AU20</f>
        <v>26573.3688</v>
      </c>
      <c r="E34" s="72">
        <f>'[1]2016'!AW20+'[1]2016'!AY20</f>
        <v>25072.310471999997</v>
      </c>
      <c r="F34" s="73">
        <f t="shared" si="25"/>
        <v>25818.155879999998</v>
      </c>
      <c r="G34" s="73">
        <f t="shared" si="26"/>
        <v>26237.811600000001</v>
      </c>
      <c r="H34" s="73">
        <f t="shared" si="27"/>
        <v>25144.477214999999</v>
      </c>
      <c r="I34" s="73">
        <f t="shared" si="28"/>
        <v>25646.605809000001</v>
      </c>
      <c r="J34" s="73">
        <f t="shared" si="29"/>
        <v>25792.715388000001</v>
      </c>
      <c r="K34" s="73">
        <f t="shared" si="30"/>
        <v>26359.331195999999</v>
      </c>
      <c r="L34" s="73">
        <f t="shared" si="31"/>
        <v>29810.070641999999</v>
      </c>
      <c r="M34" s="73">
        <f t="shared" si="32"/>
        <v>30310.851450000002</v>
      </c>
      <c r="N34" s="73">
        <f t="shared" si="33"/>
        <v>33610.361367000005</v>
      </c>
      <c r="O34" s="74">
        <f t="shared" si="34"/>
        <v>31200.110699999997</v>
      </c>
      <c r="P34" s="75">
        <f t="shared" si="35"/>
        <v>331576.17051900009</v>
      </c>
      <c r="T34" s="85" t="s">
        <v>42</v>
      </c>
      <c r="U34" s="86"/>
      <c r="V34" s="86"/>
      <c r="W34" s="87">
        <f t="shared" si="36"/>
        <v>3831960</v>
      </c>
      <c r="X34" s="92">
        <f t="shared" si="36"/>
        <v>25290.935999999998</v>
      </c>
      <c r="Y34" s="90">
        <f t="shared" si="36"/>
        <v>4399941.0199999996</v>
      </c>
      <c r="Z34" s="92">
        <f t="shared" si="36"/>
        <v>14519.805365999999</v>
      </c>
      <c r="AA34" s="90">
        <f t="shared" ref="AA34:AB42" si="37">W34+Y34</f>
        <v>8231901.0199999996</v>
      </c>
      <c r="AB34" s="91">
        <f t="shared" si="37"/>
        <v>39810.741365999995</v>
      </c>
    </row>
    <row r="35" spans="1:28" x14ac:dyDescent="0.25">
      <c r="A35" s="48" t="s">
        <v>45</v>
      </c>
      <c r="B35" s="49"/>
      <c r="C35" s="49"/>
      <c r="D35" s="71">
        <f>'[1]2016'!AS21+'[1]2016'!AU21</f>
        <v>15538.825499999999</v>
      </c>
      <c r="E35" s="72">
        <f>'[1]2016'!AW21+'[1]2016'!AY21</f>
        <v>14995.097699999998</v>
      </c>
      <c r="F35" s="73">
        <f t="shared" si="25"/>
        <v>14732.275799999999</v>
      </c>
      <c r="G35" s="73">
        <f t="shared" si="26"/>
        <v>18659.622299999999</v>
      </c>
      <c r="H35" s="73">
        <f t="shared" si="27"/>
        <v>20498.8377</v>
      </c>
      <c r="I35" s="73">
        <f t="shared" si="28"/>
        <v>0</v>
      </c>
      <c r="J35" s="73">
        <f t="shared" si="29"/>
        <v>0</v>
      </c>
      <c r="K35" s="73">
        <f t="shared" si="30"/>
        <v>18745.656600000002</v>
      </c>
      <c r="L35" s="73">
        <f t="shared" si="31"/>
        <v>16319.753999999999</v>
      </c>
      <c r="M35" s="73">
        <f t="shared" si="32"/>
        <v>16765.0065</v>
      </c>
      <c r="N35" s="73">
        <f t="shared" si="33"/>
        <v>18280.7889</v>
      </c>
      <c r="O35" s="74">
        <f t="shared" si="34"/>
        <v>14633.189999999999</v>
      </c>
      <c r="P35" s="75">
        <f t="shared" si="35"/>
        <v>169169.05499999999</v>
      </c>
      <c r="T35" s="85" t="s">
        <v>43</v>
      </c>
      <c r="U35" s="86"/>
      <c r="V35" s="86"/>
      <c r="W35" s="87">
        <f t="shared" si="36"/>
        <v>17452250</v>
      </c>
      <c r="X35" s="93">
        <f t="shared" si="36"/>
        <v>115184.84999999998</v>
      </c>
      <c r="Y35" s="92">
        <f t="shared" si="36"/>
        <v>9881259</v>
      </c>
      <c r="Z35" s="92">
        <f t="shared" si="36"/>
        <v>32608.154700000003</v>
      </c>
      <c r="AA35" s="90">
        <f t="shared" si="37"/>
        <v>27333509</v>
      </c>
      <c r="AB35" s="91">
        <f t="shared" si="37"/>
        <v>147793.00469999999</v>
      </c>
    </row>
    <row r="36" spans="1:28" x14ac:dyDescent="0.25">
      <c r="A36" s="48" t="s">
        <v>46</v>
      </c>
      <c r="B36" s="49"/>
      <c r="C36" s="49"/>
      <c r="D36" s="71">
        <f>'[1]2016'!AS22+'[1]2016'!AU22</f>
        <v>3485.7174</v>
      </c>
      <c r="E36" s="72">
        <f>'[1]2016'!AW22+'[1]2016'!AY22</f>
        <v>3407.7219</v>
      </c>
      <c r="F36" s="73">
        <f t="shared" si="25"/>
        <v>3295.5108450000002</v>
      </c>
      <c r="G36" s="73">
        <f t="shared" si="26"/>
        <v>3668.6233650000004</v>
      </c>
      <c r="H36" s="73">
        <f t="shared" si="27"/>
        <v>3932.2156500000001</v>
      </c>
      <c r="I36" s="73">
        <f t="shared" si="28"/>
        <v>3786.2654940000002</v>
      </c>
      <c r="J36" s="73">
        <f t="shared" si="29"/>
        <v>3939.9094349999996</v>
      </c>
      <c r="K36" s="73">
        <f t="shared" si="30"/>
        <v>3812.0808000000002</v>
      </c>
      <c r="L36" s="73">
        <f t="shared" si="31"/>
        <v>3423.3337709999996</v>
      </c>
      <c r="M36" s="73">
        <f t="shared" si="32"/>
        <v>3612.9240839999998</v>
      </c>
      <c r="N36" s="73">
        <f t="shared" si="33"/>
        <v>4432.0260600000001</v>
      </c>
      <c r="O36" s="74">
        <f t="shared" si="34"/>
        <v>3522.5832179999998</v>
      </c>
      <c r="P36" s="75">
        <f t="shared" si="35"/>
        <v>44318.912022000004</v>
      </c>
      <c r="T36" s="85" t="s">
        <v>44</v>
      </c>
      <c r="U36" s="86"/>
      <c r="V36" s="86"/>
      <c r="W36" s="87">
        <f t="shared" si="36"/>
        <v>30792521.799999997</v>
      </c>
      <c r="X36" s="93">
        <f t="shared" si="36"/>
        <v>203230.64387999999</v>
      </c>
      <c r="Y36" s="92">
        <f t="shared" si="36"/>
        <v>42162301.839999996</v>
      </c>
      <c r="Z36" s="92">
        <f t="shared" si="36"/>
        <v>139135.59607199999</v>
      </c>
      <c r="AA36" s="90">
        <f t="shared" si="37"/>
        <v>72954823.639999986</v>
      </c>
      <c r="AB36" s="91">
        <f t="shared" si="37"/>
        <v>342366.23995199997</v>
      </c>
    </row>
    <row r="37" spans="1:28" x14ac:dyDescent="0.25">
      <c r="A37" s="48" t="s">
        <v>47</v>
      </c>
      <c r="B37" s="49"/>
      <c r="C37" s="49"/>
      <c r="D37" s="71">
        <f>'[1]2016'!AS23+'[1]2016'!AU23</f>
        <v>4996.2561000000005</v>
      </c>
      <c r="E37" s="72">
        <f>'[1]2016'!AW23+'[1]2016'!AY23</f>
        <v>4270.6026000000002</v>
      </c>
      <c r="F37" s="73">
        <f t="shared" si="25"/>
        <v>4333.7019</v>
      </c>
      <c r="G37" s="73">
        <f t="shared" si="26"/>
        <v>4823.9363699999994</v>
      </c>
      <c r="H37" s="73">
        <f t="shared" si="27"/>
        <v>5216.3436599999995</v>
      </c>
      <c r="I37" s="73">
        <f t="shared" si="28"/>
        <v>5655.1367399999999</v>
      </c>
      <c r="J37" s="73">
        <f t="shared" si="29"/>
        <v>5314.3259400000006</v>
      </c>
      <c r="K37" s="73">
        <f t="shared" si="30"/>
        <v>6086.4965699999993</v>
      </c>
      <c r="L37" s="73">
        <f t="shared" si="31"/>
        <v>4938.9839400000001</v>
      </c>
      <c r="M37" s="73">
        <f t="shared" si="32"/>
        <v>5086.9572600000001</v>
      </c>
      <c r="N37" s="73">
        <f t="shared" si="33"/>
        <v>5411.6188499999998</v>
      </c>
      <c r="O37" s="74">
        <f t="shared" si="34"/>
        <v>4199.0694899999999</v>
      </c>
      <c r="P37" s="75">
        <f t="shared" si="35"/>
        <v>60333.429420000008</v>
      </c>
      <c r="T37" s="85" t="s">
        <v>45</v>
      </c>
      <c r="U37" s="86"/>
      <c r="V37" s="86"/>
      <c r="W37" s="87">
        <f t="shared" si="36"/>
        <v>10786554</v>
      </c>
      <c r="X37" s="93">
        <f t="shared" si="36"/>
        <v>71191.256399999998</v>
      </c>
      <c r="Y37" s="92">
        <f t="shared" si="36"/>
        <v>29885375</v>
      </c>
      <c r="Z37" s="92">
        <f t="shared" si="36"/>
        <v>98621.737500000003</v>
      </c>
      <c r="AA37" s="90">
        <f t="shared" si="37"/>
        <v>40671929</v>
      </c>
      <c r="AB37" s="91">
        <f t="shared" si="37"/>
        <v>169812.9939</v>
      </c>
    </row>
    <row r="38" spans="1:28" x14ac:dyDescent="0.25">
      <c r="A38" s="48" t="s">
        <v>48</v>
      </c>
      <c r="B38" s="49"/>
      <c r="C38" s="49"/>
      <c r="D38" s="71">
        <f>'[1]2016'!AS24+'[1]2016'!AU24</f>
        <v>4055.9409000000001</v>
      </c>
      <c r="E38" s="72">
        <f>'[1]2016'!AW24+'[1]2016'!AY24</f>
        <v>3828.2838000000002</v>
      </c>
      <c r="F38" s="73">
        <f t="shared" si="25"/>
        <v>3604.3557000000001</v>
      </c>
      <c r="G38" s="73">
        <f t="shared" si="26"/>
        <v>4100.7681000000002</v>
      </c>
      <c r="H38" s="73">
        <f t="shared" si="27"/>
        <v>4978.1193000000003</v>
      </c>
      <c r="I38" s="73">
        <f t="shared" si="28"/>
        <v>4714.6010999999999</v>
      </c>
      <c r="J38" s="73">
        <f t="shared" si="29"/>
        <v>5305.5552000000007</v>
      </c>
      <c r="K38" s="73">
        <f t="shared" si="30"/>
        <v>5454.5138999999999</v>
      </c>
      <c r="L38" s="73">
        <f t="shared" si="31"/>
        <v>4591.1382000000003</v>
      </c>
      <c r="M38" s="73">
        <f t="shared" si="32"/>
        <v>4818.1683000000003</v>
      </c>
      <c r="N38" s="73">
        <f t="shared" si="33"/>
        <v>5365.8131999999996</v>
      </c>
      <c r="O38" s="74">
        <f t="shared" si="34"/>
        <v>3999.9597000000003</v>
      </c>
      <c r="P38" s="75">
        <f t="shared" si="35"/>
        <v>54817.217399999994</v>
      </c>
      <c r="T38" s="85" t="s">
        <v>46</v>
      </c>
      <c r="U38" s="86"/>
      <c r="V38" s="86"/>
      <c r="W38" s="87">
        <f t="shared" si="36"/>
        <v>1333161.9000000001</v>
      </c>
      <c r="X38" s="93">
        <f t="shared" si="36"/>
        <v>8798.8685399999995</v>
      </c>
      <c r="Y38" s="92">
        <f t="shared" si="36"/>
        <v>10973904.01</v>
      </c>
      <c r="Z38" s="92">
        <f t="shared" si="36"/>
        <v>36213.883233</v>
      </c>
      <c r="AA38" s="90">
        <f t="shared" si="37"/>
        <v>12307065.91</v>
      </c>
      <c r="AB38" s="91">
        <f t="shared" si="37"/>
        <v>45012.751772999996</v>
      </c>
    </row>
    <row r="39" spans="1:28" x14ac:dyDescent="0.25">
      <c r="A39" s="48" t="s">
        <v>49</v>
      </c>
      <c r="B39" s="49"/>
      <c r="C39" s="49"/>
      <c r="D39" s="71">
        <f>'[1]2016'!AS25+'[1]2016'!AU25</f>
        <v>0</v>
      </c>
      <c r="E39" s="72">
        <f>'[1]2016'!AW25+'[1]2016'!AY25</f>
        <v>0</v>
      </c>
      <c r="F39" s="73">
        <f t="shared" si="25"/>
        <v>0</v>
      </c>
      <c r="G39" s="73">
        <f t="shared" si="26"/>
        <v>0</v>
      </c>
      <c r="H39" s="73">
        <f t="shared" si="27"/>
        <v>0</v>
      </c>
      <c r="I39" s="73">
        <f t="shared" si="28"/>
        <v>0</v>
      </c>
      <c r="J39" s="73">
        <f t="shared" si="29"/>
        <v>0</v>
      </c>
      <c r="K39" s="73">
        <f t="shared" si="30"/>
        <v>0</v>
      </c>
      <c r="L39" s="73">
        <f t="shared" si="31"/>
        <v>0</v>
      </c>
      <c r="M39" s="73">
        <f t="shared" si="32"/>
        <v>0</v>
      </c>
      <c r="N39" s="73">
        <f t="shared" si="33"/>
        <v>0</v>
      </c>
      <c r="O39" s="74">
        <f t="shared" si="34"/>
        <v>0</v>
      </c>
      <c r="P39" s="75">
        <f t="shared" si="35"/>
        <v>0</v>
      </c>
      <c r="T39" s="85" t="s">
        <v>47</v>
      </c>
      <c r="U39" s="86"/>
      <c r="V39" s="86"/>
      <c r="W39" s="87">
        <f t="shared" si="36"/>
        <v>4383758.8</v>
      </c>
      <c r="X39" s="93">
        <f t="shared" si="36"/>
        <v>28932.808079999999</v>
      </c>
      <c r="Y39" s="92">
        <f t="shared" si="36"/>
        <v>9388657.0999999996</v>
      </c>
      <c r="Z39" s="92">
        <f t="shared" si="36"/>
        <v>30982.568429999999</v>
      </c>
      <c r="AA39" s="90">
        <f t="shared" si="37"/>
        <v>13772415.899999999</v>
      </c>
      <c r="AB39" s="91">
        <f t="shared" si="37"/>
        <v>59915.376510000002</v>
      </c>
    </row>
    <row r="40" spans="1:28" x14ac:dyDescent="0.25">
      <c r="A40" s="48" t="s">
        <v>50</v>
      </c>
      <c r="B40" s="49"/>
      <c r="C40" s="49"/>
      <c r="D40" s="71">
        <f>'[1]2016'!AS26+'[1]2016'!AU26</f>
        <v>1575.5025000000001</v>
      </c>
      <c r="E40" s="72">
        <f>'[1]2016'!AW26+'[1]2016'!AY26</f>
        <v>678.87599999999998</v>
      </c>
      <c r="F40" s="73">
        <f t="shared" si="25"/>
        <v>724.7559</v>
      </c>
      <c r="G40" s="73">
        <f t="shared" si="26"/>
        <v>1310.3838000000001</v>
      </c>
      <c r="H40" s="73">
        <f t="shared" si="27"/>
        <v>1727.1276</v>
      </c>
      <c r="I40" s="73">
        <f t="shared" si="28"/>
        <v>1921.1972999999998</v>
      </c>
      <c r="J40" s="73">
        <f t="shared" si="29"/>
        <v>2538.4787999999999</v>
      </c>
      <c r="K40" s="73">
        <f t="shared" si="30"/>
        <v>3379.2429000000002</v>
      </c>
      <c r="L40" s="73">
        <f t="shared" si="31"/>
        <v>2769.1190999999999</v>
      </c>
      <c r="M40" s="73">
        <f t="shared" si="32"/>
        <v>2910.6725999999999</v>
      </c>
      <c r="N40" s="73">
        <f t="shared" si="33"/>
        <v>3321.5655000000002</v>
      </c>
      <c r="O40" s="74">
        <f t="shared" si="34"/>
        <v>2710.0392000000002</v>
      </c>
      <c r="P40" s="75">
        <f t="shared" si="35"/>
        <v>25566.961200000002</v>
      </c>
      <c r="T40" s="85" t="s">
        <v>48</v>
      </c>
      <c r="U40" s="86"/>
      <c r="V40" s="86"/>
      <c r="W40" s="87">
        <f t="shared" si="36"/>
        <v>2278544</v>
      </c>
      <c r="X40" s="93">
        <f t="shared" si="36"/>
        <v>15038.3904</v>
      </c>
      <c r="Y40" s="92">
        <f t="shared" si="36"/>
        <v>12197937</v>
      </c>
      <c r="Z40" s="92">
        <f t="shared" si="36"/>
        <v>40253.192099999993</v>
      </c>
      <c r="AA40" s="90">
        <f t="shared" si="37"/>
        <v>14476481</v>
      </c>
      <c r="AB40" s="91">
        <f t="shared" si="37"/>
        <v>55291.58249999999</v>
      </c>
    </row>
    <row r="41" spans="1:28" x14ac:dyDescent="0.25">
      <c r="A41" s="48" t="s">
        <v>24</v>
      </c>
      <c r="B41" s="49"/>
      <c r="C41" s="49"/>
      <c r="D41" s="71">
        <f>-C12</f>
        <v>-2000</v>
      </c>
      <c r="E41" s="72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P41" s="75">
        <f t="shared" si="35"/>
        <v>-2000</v>
      </c>
      <c r="T41" s="85" t="s">
        <v>49</v>
      </c>
      <c r="U41" s="86"/>
      <c r="V41" s="86"/>
      <c r="W41" s="87">
        <f t="shared" si="36"/>
        <v>0</v>
      </c>
      <c r="X41" s="93">
        <f t="shared" si="36"/>
        <v>0</v>
      </c>
      <c r="Y41" s="92">
        <f t="shared" si="36"/>
        <v>0</v>
      </c>
      <c r="Z41" s="92">
        <f t="shared" si="36"/>
        <v>0</v>
      </c>
      <c r="AA41" s="90">
        <f t="shared" si="37"/>
        <v>0</v>
      </c>
      <c r="AB41" s="91">
        <f t="shared" si="37"/>
        <v>0</v>
      </c>
    </row>
    <row r="42" spans="1:28" ht="15.75" thickBot="1" x14ac:dyDescent="0.3">
      <c r="A42" s="56" t="s">
        <v>51</v>
      </c>
      <c r="B42" s="57"/>
      <c r="C42" s="57"/>
      <c r="D42" s="94">
        <f>SUM(D31:D41)</f>
        <v>98956.702000000005</v>
      </c>
      <c r="E42" s="95">
        <f>SUM(E31:E41)</f>
        <v>92032.236846000014</v>
      </c>
      <c r="F42" s="95">
        <f t="shared" ref="F42:O42" si="38">SUM(F31:F41)</f>
        <v>94060.026225000009</v>
      </c>
      <c r="G42" s="95">
        <f t="shared" si="38"/>
        <v>99902.939234999998</v>
      </c>
      <c r="H42" s="95">
        <f t="shared" si="38"/>
        <v>103780.69561200001</v>
      </c>
      <c r="I42" s="95">
        <f t="shared" si="38"/>
        <v>84963.743172000017</v>
      </c>
      <c r="J42" s="95">
        <f t="shared" si="38"/>
        <v>87930.618434999982</v>
      </c>
      <c r="K42" s="95">
        <f t="shared" si="38"/>
        <v>110690.08394400001</v>
      </c>
      <c r="L42" s="95">
        <f t="shared" si="38"/>
        <v>97728.445353000003</v>
      </c>
      <c r="M42" s="95">
        <f t="shared" si="38"/>
        <v>100226.56109400002</v>
      </c>
      <c r="N42" s="95">
        <f t="shared" si="38"/>
        <v>110646.164277</v>
      </c>
      <c r="O42" s="95">
        <f t="shared" si="38"/>
        <v>96593.863608</v>
      </c>
      <c r="P42" s="96">
        <f>SUM(P31:P41)</f>
        <v>1177512.079801</v>
      </c>
      <c r="T42" s="85" t="s">
        <v>50</v>
      </c>
      <c r="U42" s="86"/>
      <c r="V42" s="86"/>
      <c r="W42" s="87">
        <f t="shared" si="36"/>
        <v>3236744</v>
      </c>
      <c r="X42" s="93">
        <f t="shared" si="36"/>
        <v>21362.510399999999</v>
      </c>
      <c r="Y42" s="92">
        <f t="shared" si="36"/>
        <v>2333184</v>
      </c>
      <c r="Z42" s="92">
        <f t="shared" si="36"/>
        <v>7699.5072</v>
      </c>
      <c r="AA42" s="90">
        <f t="shared" si="37"/>
        <v>5569928</v>
      </c>
      <c r="AB42" s="91">
        <f t="shared" si="37"/>
        <v>29062.017599999999</v>
      </c>
    </row>
    <row r="43" spans="1:28" ht="15.75" thickBot="1" x14ac:dyDescent="0.3">
      <c r="A43" s="97"/>
      <c r="B43" s="97"/>
      <c r="C43" s="97"/>
      <c r="T43" s="98" t="s">
        <v>51</v>
      </c>
      <c r="U43" s="99"/>
      <c r="V43" s="99"/>
      <c r="W43" s="100">
        <f t="shared" ref="W43:AB43" si="39">SUM(W33:W42)</f>
        <v>107393432.5</v>
      </c>
      <c r="X43" s="101">
        <f t="shared" si="39"/>
        <v>708796.65449999995</v>
      </c>
      <c r="Y43" s="102">
        <f t="shared" si="39"/>
        <v>143654289.96999997</v>
      </c>
      <c r="Z43" s="102">
        <f t="shared" si="39"/>
        <v>474059.15690099995</v>
      </c>
      <c r="AA43" s="103">
        <f t="shared" si="39"/>
        <v>251047722.46999997</v>
      </c>
      <c r="AB43" s="104">
        <f t="shared" si="39"/>
        <v>1182855.8114009998</v>
      </c>
    </row>
    <row r="44" spans="1:28" ht="15.75" thickBot="1" x14ac:dyDescent="0.3">
      <c r="A44" s="97"/>
      <c r="B44" s="97"/>
      <c r="C44" s="97"/>
    </row>
    <row r="45" spans="1:28" ht="15.75" thickBot="1" x14ac:dyDescent="0.3">
      <c r="A45" s="36"/>
      <c r="B45" s="36"/>
      <c r="C45" s="36"/>
      <c r="D45" s="105"/>
      <c r="E45" s="105"/>
      <c r="F45" s="105"/>
      <c r="G45" s="105"/>
      <c r="H45" s="105"/>
      <c r="I45" s="105"/>
      <c r="J45" s="105"/>
      <c r="K45" s="105"/>
      <c r="L45" s="105"/>
      <c r="M45" s="105"/>
      <c r="N45" s="105"/>
      <c r="O45" s="105"/>
      <c r="P45" s="105"/>
      <c r="T45" s="129" t="s">
        <v>59</v>
      </c>
      <c r="U45" s="130"/>
      <c r="V45" s="130"/>
      <c r="W45" s="132">
        <f>W43*35.08*$C$9/1000000000</f>
        <v>2.6537850533963629</v>
      </c>
      <c r="X45" s="135"/>
      <c r="Y45" s="134">
        <f>Y43*38.45*$C$9/1000000000</f>
        <v>3.8908400681049686</v>
      </c>
      <c r="Z45" s="134"/>
      <c r="AA45" s="133">
        <f>SUM(W45,Y45)</f>
        <v>6.5446251215013316</v>
      </c>
      <c r="AB45" s="131"/>
    </row>
  </sheetData>
  <mergeCells count="41">
    <mergeCell ref="AV14:AY14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Q14"/>
    <mergeCell ref="AR14:AU14"/>
    <mergeCell ref="Z15:AA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AX15:AY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D28:E28"/>
    <mergeCell ref="W30:AB30"/>
    <mergeCell ref="W31:X31"/>
    <mergeCell ref="Y31:Z31"/>
    <mergeCell ref="AA31:AB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H87"/>
  <sheetViews>
    <sheetView zoomScale="80" zoomScaleNormal="80" workbookViewId="0">
      <pane xSplit="3" topLeftCell="D1" activePane="topRight" state="frozen"/>
      <selection pane="topRight" activeCell="W33" sqref="W33"/>
    </sheetView>
  </sheetViews>
  <sheetFormatPr defaultColWidth="8.85546875" defaultRowHeight="15" x14ac:dyDescent="0.25"/>
  <cols>
    <col min="1" max="1" width="23.140625" customWidth="1"/>
    <col min="2" max="2" width="13" bestFit="1" customWidth="1"/>
    <col min="3" max="3" width="9.28515625" customWidth="1"/>
    <col min="4" max="4" width="12.28515625" bestFit="1" customWidth="1"/>
    <col min="5" max="11" width="12.7109375" customWidth="1"/>
    <col min="12" max="12" width="13.85546875" bestFit="1" customWidth="1"/>
    <col min="13" max="15" width="12.7109375" customWidth="1"/>
    <col min="16" max="16" width="13.85546875" bestFit="1" customWidth="1"/>
    <col min="17" max="17" width="11.7109375" bestFit="1" customWidth="1"/>
    <col min="18" max="18" width="12.28515625" bestFit="1" customWidth="1"/>
    <col min="19" max="19" width="10.42578125" customWidth="1"/>
    <col min="20" max="20" width="12.7109375" customWidth="1"/>
    <col min="21" max="21" width="10.42578125" customWidth="1"/>
    <col min="22" max="22" width="12.28515625" bestFit="1" customWidth="1"/>
    <col min="23" max="23" width="13.28515625" customWidth="1"/>
    <col min="24" max="24" width="12.28515625" bestFit="1" customWidth="1"/>
    <col min="25" max="25" width="13.140625" customWidth="1"/>
    <col min="26" max="26" width="12.28515625" bestFit="1" customWidth="1"/>
    <col min="27" max="27" width="13.28515625" customWidth="1"/>
    <col min="28" max="28" width="11.7109375" customWidth="1"/>
    <col min="29" max="29" width="11.7109375" bestFit="1" customWidth="1"/>
    <col min="30" max="30" width="12.28515625" bestFit="1" customWidth="1"/>
    <col min="31" max="31" width="11.7109375" customWidth="1"/>
    <col min="32" max="32" width="11.28515625" bestFit="1" customWidth="1"/>
    <col min="33" max="33" width="11.7109375" bestFit="1" customWidth="1"/>
    <col min="34" max="34" width="12.28515625" bestFit="1" customWidth="1"/>
    <col min="35" max="35" width="11.7109375" bestFit="1" customWidth="1"/>
    <col min="36" max="36" width="11.28515625" bestFit="1" customWidth="1"/>
    <col min="37" max="37" width="11.7109375" bestFit="1" customWidth="1"/>
    <col min="38" max="38" width="12.28515625" bestFit="1" customWidth="1"/>
    <col min="39" max="39" width="11.7109375" bestFit="1" customWidth="1"/>
    <col min="40" max="40" width="11.28515625" bestFit="1" customWidth="1"/>
    <col min="41" max="41" width="11.7109375" bestFit="1" customWidth="1"/>
    <col min="42" max="42" width="12.28515625" bestFit="1" customWidth="1"/>
    <col min="43" max="43" width="11.7109375" bestFit="1" customWidth="1"/>
    <col min="44" max="44" width="11.28515625" bestFit="1" customWidth="1"/>
    <col min="45" max="45" width="11.7109375" customWidth="1"/>
    <col min="46" max="46" width="11.28515625" bestFit="1" customWidth="1"/>
    <col min="47" max="47" width="11.7109375" bestFit="1" customWidth="1"/>
    <col min="48" max="48" width="11.28515625" bestFit="1" customWidth="1"/>
    <col min="49" max="49" width="11.7109375" bestFit="1" customWidth="1"/>
    <col min="50" max="50" width="12.28515625" bestFit="1" customWidth="1"/>
    <col min="51" max="51" width="11.7109375" customWidth="1"/>
    <col min="52" max="52" width="10.42578125" customWidth="1"/>
    <col min="53" max="53" width="11.42578125" bestFit="1" customWidth="1"/>
    <col min="54" max="54" width="12.7109375" bestFit="1" customWidth="1"/>
    <col min="55" max="55" width="11.42578125" bestFit="1" customWidth="1"/>
    <col min="56" max="56" width="12.7109375" bestFit="1" customWidth="1"/>
    <col min="57" max="57" width="11.42578125" bestFit="1" customWidth="1"/>
    <col min="58" max="58" width="12.7109375" bestFit="1" customWidth="1"/>
    <col min="59" max="61" width="10.42578125" customWidth="1"/>
  </cols>
  <sheetData>
    <row r="1" spans="1:60" ht="18.75" x14ac:dyDescent="0.3">
      <c r="A1" s="1" t="s">
        <v>0</v>
      </c>
      <c r="B1" s="1"/>
      <c r="C1" s="1"/>
    </row>
    <row r="2" spans="1:60" ht="18.75" x14ac:dyDescent="0.3">
      <c r="A2" s="1" t="str">
        <f>"For the year ended 30 June "&amp;YEAR(C6)</f>
        <v>For the year ended 30 June 2018</v>
      </c>
      <c r="B2" s="1"/>
      <c r="C2" s="1"/>
    </row>
    <row r="3" spans="1:60" ht="3" customHeight="1" thickBot="1" x14ac:dyDescent="0.3"/>
    <row r="4" spans="1:60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60" x14ac:dyDescent="0.25">
      <c r="A5" s="11" t="s">
        <v>4</v>
      </c>
      <c r="B5" s="12"/>
      <c r="C5" s="13" t="s">
        <v>5</v>
      </c>
      <c r="E5" s="14" t="s">
        <v>6</v>
      </c>
      <c r="F5" s="15"/>
      <c r="G5" s="15"/>
      <c r="H5" s="16"/>
      <c r="J5" s="17" t="s">
        <v>7</v>
      </c>
      <c r="K5" s="18"/>
      <c r="L5" s="18"/>
      <c r="M5" s="18"/>
      <c r="N5" s="18"/>
      <c r="O5" s="18"/>
      <c r="P5" s="18"/>
      <c r="Q5" s="18"/>
      <c r="R5" s="19"/>
    </row>
    <row r="6" spans="1:60" x14ac:dyDescent="0.25">
      <c r="A6" s="11" t="s">
        <v>8</v>
      </c>
      <c r="B6" s="12"/>
      <c r="C6" s="20">
        <v>43281</v>
      </c>
      <c r="E6" s="21" t="s">
        <v>9</v>
      </c>
      <c r="F6" s="15"/>
      <c r="G6" s="22">
        <v>26793.21</v>
      </c>
      <c r="H6" s="16"/>
      <c r="J6" s="17" t="s">
        <v>10</v>
      </c>
      <c r="K6" s="18"/>
      <c r="L6" s="18"/>
      <c r="M6" s="18"/>
      <c r="N6" s="18"/>
      <c r="O6" s="18"/>
      <c r="P6" s="18"/>
      <c r="Q6" s="18"/>
      <c r="R6" s="19"/>
    </row>
    <row r="7" spans="1:60" x14ac:dyDescent="0.25">
      <c r="A7" s="11" t="s">
        <v>11</v>
      </c>
      <c r="B7" s="12"/>
      <c r="C7" s="23">
        <v>6.6E-3</v>
      </c>
      <c r="E7" s="21"/>
      <c r="F7" s="15"/>
      <c r="G7" s="15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60" x14ac:dyDescent="0.25">
      <c r="A8" s="11" t="s">
        <v>13</v>
      </c>
      <c r="B8" s="12"/>
      <c r="C8" s="23">
        <v>3.3E-3</v>
      </c>
      <c r="E8" s="21" t="s">
        <v>14</v>
      </c>
      <c r="F8" s="15"/>
      <c r="G8" s="139">
        <f>G6*0.5/C7</f>
        <v>2029788.6363636362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60" x14ac:dyDescent="0.25">
      <c r="A9" s="11" t="s">
        <v>16</v>
      </c>
      <c r="B9" s="24">
        <v>125394000</v>
      </c>
      <c r="C9" s="25">
        <f>B9/SUM($B$9:$B$11)</f>
        <v>0.70441474077586408</v>
      </c>
      <c r="E9" s="21" t="s">
        <v>17</v>
      </c>
      <c r="F9" s="15"/>
      <c r="G9" s="139">
        <f>(G6*0.5)/C8</f>
        <v>4059577.2727272725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60" x14ac:dyDescent="0.25">
      <c r="A10" s="11" t="s">
        <v>19</v>
      </c>
      <c r="B10" s="24">
        <v>29138320</v>
      </c>
      <c r="C10" s="25">
        <f>B10/SUM($B$9:$B$11)</f>
        <v>0.1636877532373493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60" x14ac:dyDescent="0.25">
      <c r="A11" s="11" t="s">
        <v>22</v>
      </c>
      <c r="B11" s="24">
        <v>23479287</v>
      </c>
      <c r="C11" s="25">
        <f>B11/SUM($B$9:$B$11)</f>
        <v>0.13189750598678657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60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33"/>
      <c r="K12" s="34"/>
      <c r="L12" s="34"/>
      <c r="M12" s="34"/>
      <c r="N12" s="34"/>
      <c r="O12" s="34"/>
      <c r="P12" s="34"/>
      <c r="Q12" s="34"/>
      <c r="R12" s="35"/>
    </row>
    <row r="13" spans="1:60" ht="15.75" thickBot="1" x14ac:dyDescent="0.3">
      <c r="A13" s="36"/>
      <c r="B13" s="36"/>
      <c r="C13" s="36"/>
    </row>
    <row r="14" spans="1:60" ht="15.75" thickBot="1" x14ac:dyDescent="0.3">
      <c r="A14" s="37" t="s">
        <v>25</v>
      </c>
      <c r="B14" s="38"/>
      <c r="C14" s="39"/>
      <c r="D14" s="237" t="s">
        <v>5</v>
      </c>
      <c r="E14" s="238"/>
      <c r="F14" s="238"/>
      <c r="G14" s="238"/>
      <c r="H14" s="239" t="s">
        <v>26</v>
      </c>
      <c r="I14" s="238"/>
      <c r="J14" s="238"/>
      <c r="K14" s="240"/>
      <c r="L14" s="235" t="s">
        <v>27</v>
      </c>
      <c r="M14" s="235"/>
      <c r="N14" s="235"/>
      <c r="O14" s="235"/>
      <c r="P14" s="235" t="s">
        <v>28</v>
      </c>
      <c r="Q14" s="235"/>
      <c r="R14" s="235"/>
      <c r="S14" s="235"/>
      <c r="T14" s="235" t="s">
        <v>29</v>
      </c>
      <c r="U14" s="235"/>
      <c r="V14" s="235"/>
      <c r="W14" s="235"/>
      <c r="X14" s="235" t="s">
        <v>30</v>
      </c>
      <c r="Y14" s="235"/>
      <c r="Z14" s="235"/>
      <c r="AA14" s="235"/>
      <c r="AB14" s="235" t="s">
        <v>31</v>
      </c>
      <c r="AC14" s="235"/>
      <c r="AD14" s="235"/>
      <c r="AE14" s="235"/>
      <c r="AF14" s="235" t="s">
        <v>32</v>
      </c>
      <c r="AG14" s="235"/>
      <c r="AH14" s="235"/>
      <c r="AI14" s="235"/>
      <c r="AJ14" s="235" t="s">
        <v>33</v>
      </c>
      <c r="AK14" s="235"/>
      <c r="AL14" s="235"/>
      <c r="AM14" s="235"/>
      <c r="AN14" s="235" t="s">
        <v>34</v>
      </c>
      <c r="AO14" s="235"/>
      <c r="AP14" s="235"/>
      <c r="AQ14" s="235"/>
      <c r="AR14" s="235" t="s">
        <v>35</v>
      </c>
      <c r="AS14" s="235"/>
      <c r="AT14" s="235"/>
      <c r="AU14" s="239"/>
      <c r="AV14" s="234" t="s">
        <v>36</v>
      </c>
      <c r="AW14" s="235"/>
      <c r="AX14" s="235"/>
      <c r="AY14" s="236"/>
      <c r="BG14" s="105"/>
      <c r="BH14" s="105"/>
    </row>
    <row r="15" spans="1:60" x14ac:dyDescent="0.25">
      <c r="A15" s="40"/>
      <c r="B15" s="36"/>
      <c r="C15" s="36"/>
      <c r="D15" s="227" t="s">
        <v>37</v>
      </c>
      <c r="E15" s="228"/>
      <c r="F15" s="227" t="s">
        <v>38</v>
      </c>
      <c r="G15" s="228"/>
      <c r="H15" s="227" t="s">
        <v>37</v>
      </c>
      <c r="I15" s="228"/>
      <c r="J15" s="227" t="s">
        <v>38</v>
      </c>
      <c r="K15" s="228"/>
      <c r="L15" s="227" t="s">
        <v>37</v>
      </c>
      <c r="M15" s="228"/>
      <c r="N15" s="227" t="s">
        <v>38</v>
      </c>
      <c r="O15" s="228"/>
      <c r="P15" s="227" t="s">
        <v>37</v>
      </c>
      <c r="Q15" s="228"/>
      <c r="R15" s="227" t="s">
        <v>38</v>
      </c>
      <c r="S15" s="228"/>
      <c r="T15" s="227" t="s">
        <v>37</v>
      </c>
      <c r="U15" s="228"/>
      <c r="V15" s="227" t="s">
        <v>38</v>
      </c>
      <c r="W15" s="228"/>
      <c r="X15" s="227" t="s">
        <v>37</v>
      </c>
      <c r="Y15" s="228"/>
      <c r="Z15" s="227" t="s">
        <v>38</v>
      </c>
      <c r="AA15" s="228"/>
      <c r="AB15" s="227" t="s">
        <v>37</v>
      </c>
      <c r="AC15" s="228"/>
      <c r="AD15" s="227" t="s">
        <v>38</v>
      </c>
      <c r="AE15" s="228"/>
      <c r="AF15" s="227" t="s">
        <v>37</v>
      </c>
      <c r="AG15" s="228"/>
      <c r="AH15" s="227" t="s">
        <v>38</v>
      </c>
      <c r="AI15" s="228"/>
      <c r="AJ15" s="227" t="s">
        <v>37</v>
      </c>
      <c r="AK15" s="228"/>
      <c r="AL15" s="227" t="s">
        <v>38</v>
      </c>
      <c r="AM15" s="228"/>
      <c r="AN15" s="227" t="s">
        <v>37</v>
      </c>
      <c r="AO15" s="228"/>
      <c r="AP15" s="225" t="s">
        <v>38</v>
      </c>
      <c r="AQ15" s="228"/>
      <c r="AR15" s="225" t="s">
        <v>37</v>
      </c>
      <c r="AS15" s="228"/>
      <c r="AT15" s="225" t="s">
        <v>38</v>
      </c>
      <c r="AU15" s="225"/>
      <c r="AV15" s="229" t="s">
        <v>37</v>
      </c>
      <c r="AW15" s="228"/>
      <c r="AX15" s="225" t="s">
        <v>38</v>
      </c>
      <c r="AY15" s="226"/>
      <c r="BG15" s="116"/>
      <c r="BH15" s="117"/>
    </row>
    <row r="16" spans="1:60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  <c r="BG16" s="118"/>
      <c r="BH16" s="118"/>
    </row>
    <row r="17" spans="1:60" x14ac:dyDescent="0.25">
      <c r="A17" s="48" t="s">
        <v>41</v>
      </c>
      <c r="B17" s="49"/>
      <c r="C17" s="49"/>
      <c r="D17" s="50">
        <v>2730920</v>
      </c>
      <c r="E17" s="51">
        <f t="shared" ref="E17:E26" si="0">D17*$C$7</f>
        <v>18024.072</v>
      </c>
      <c r="F17" s="50">
        <v>1937676</v>
      </c>
      <c r="G17" s="51">
        <f t="shared" ref="G17:G26" si="1">F17*$C$8</f>
        <v>6394.3307999999997</v>
      </c>
      <c r="H17" s="50">
        <v>4017158</v>
      </c>
      <c r="I17" s="51">
        <f t="shared" ref="I17:I26" si="2">H17*$C$7</f>
        <v>26513.2428</v>
      </c>
      <c r="J17" s="50">
        <v>3008539</v>
      </c>
      <c r="K17" s="51">
        <f t="shared" ref="K17:K26" si="3">J17*$C$8</f>
        <v>9928.1787000000004</v>
      </c>
      <c r="L17" s="50">
        <v>2731255</v>
      </c>
      <c r="M17" s="51">
        <f t="shared" ref="M17:M26" si="4">L17*$C$7</f>
        <v>18026.282999999999</v>
      </c>
      <c r="N17" s="50">
        <v>1810197</v>
      </c>
      <c r="O17" s="51">
        <f t="shared" ref="O17:O26" si="5">N17*$C$8</f>
        <v>5973.6500999999998</v>
      </c>
      <c r="P17" s="50">
        <v>2700538</v>
      </c>
      <c r="Q17" s="51">
        <f t="shared" ref="Q17:Q26" si="6">P17*$C$7</f>
        <v>17823.550800000001</v>
      </c>
      <c r="R17" s="50">
        <v>2006676</v>
      </c>
      <c r="S17" s="51">
        <f t="shared" ref="S17:S26" si="7">R17*$C$8</f>
        <v>6622.0307999999995</v>
      </c>
      <c r="T17" s="50">
        <v>2661050</v>
      </c>
      <c r="U17" s="51">
        <f t="shared" ref="U17:U26" si="8">T17*$C$7</f>
        <v>17562.93</v>
      </c>
      <c r="V17" s="50">
        <v>1841200</v>
      </c>
      <c r="W17" s="51">
        <f t="shared" ref="W17:W26" si="9">V17*$C$8</f>
        <v>6075.96</v>
      </c>
      <c r="X17" s="50">
        <v>3089856</v>
      </c>
      <c r="Y17" s="51">
        <f t="shared" ref="Y17:Y26" si="10">X17*$C$7</f>
        <v>20393.049599999998</v>
      </c>
      <c r="Z17" s="50">
        <v>1912045</v>
      </c>
      <c r="AA17" s="51">
        <f t="shared" ref="AA17:AA26" si="11">Z17*$C$8</f>
        <v>6309.7484999999997</v>
      </c>
      <c r="AB17" s="50">
        <v>2802412</v>
      </c>
      <c r="AC17" s="51">
        <f t="shared" ref="AC17:AC26" si="12">AB17*$C$7</f>
        <v>18495.9192</v>
      </c>
      <c r="AD17" s="50">
        <v>1886697</v>
      </c>
      <c r="AE17" s="51">
        <f t="shared" ref="AE17:AE26" si="13">AD17*$C$8</f>
        <v>6226.1000999999997</v>
      </c>
      <c r="AF17" s="50">
        <v>2769914</v>
      </c>
      <c r="AG17" s="51">
        <f t="shared" ref="AG17:AG26" si="14">AF17*$C$7</f>
        <v>18281.432400000002</v>
      </c>
      <c r="AH17" s="50">
        <v>1886224</v>
      </c>
      <c r="AI17" s="51">
        <f t="shared" ref="AI17:AI26" si="15">AH17*$C$8</f>
        <v>6224.5392000000002</v>
      </c>
      <c r="AJ17" s="50">
        <v>3150156</v>
      </c>
      <c r="AK17" s="51">
        <f t="shared" ref="AK17:AK26" si="16">AJ17*$C$7</f>
        <v>20791.029600000002</v>
      </c>
      <c r="AL17" s="50">
        <v>2686115</v>
      </c>
      <c r="AM17" s="51">
        <f t="shared" ref="AM17:AM26" si="17">AL17*$C$8</f>
        <v>8864.1795000000002</v>
      </c>
      <c r="AN17" s="50">
        <v>2029789</v>
      </c>
      <c r="AO17" s="51">
        <f t="shared" ref="AO17:AO26" si="18">AN17*$C$7</f>
        <v>13396.607400000001</v>
      </c>
      <c r="AP17" s="52">
        <v>4059577</v>
      </c>
      <c r="AQ17" s="51">
        <f t="shared" ref="AQ17:AQ26" si="19">AP17*$C$8</f>
        <v>13396.6041</v>
      </c>
      <c r="AR17" s="52">
        <v>2572489</v>
      </c>
      <c r="AS17" s="51">
        <f t="shared" ref="AS17:AS26" si="20">AR17*$C$7</f>
        <v>16978.4274</v>
      </c>
      <c r="AT17" s="52">
        <v>2763936</v>
      </c>
      <c r="AU17" s="53">
        <f t="shared" ref="AU17:AU26" si="21">AT17*$C$8</f>
        <v>9120.9887999999992</v>
      </c>
      <c r="AV17" s="54">
        <v>2333485</v>
      </c>
      <c r="AW17" s="51">
        <f t="shared" ref="AW17:AW26" si="22">AV17*$C$7</f>
        <v>15401.001</v>
      </c>
      <c r="AX17" s="52">
        <v>2815155</v>
      </c>
      <c r="AY17" s="55">
        <f t="shared" ref="AY17:AY26" si="23">AX17*$C$8</f>
        <v>9290.0115000000005</v>
      </c>
      <c r="AZ17" s="53"/>
      <c r="BG17" s="53"/>
      <c r="BH17" s="53"/>
    </row>
    <row r="18" spans="1:60" x14ac:dyDescent="0.25">
      <c r="A18" s="48" t="s">
        <v>42</v>
      </c>
      <c r="B18" s="49"/>
      <c r="C18" s="49"/>
      <c r="D18" s="50"/>
      <c r="E18" s="51">
        <f t="shared" si="0"/>
        <v>0</v>
      </c>
      <c r="F18" s="50"/>
      <c r="G18" s="51">
        <f t="shared" si="1"/>
        <v>0</v>
      </c>
      <c r="H18" s="50"/>
      <c r="I18" s="51">
        <f t="shared" si="2"/>
        <v>0</v>
      </c>
      <c r="J18" s="50"/>
      <c r="K18" s="51">
        <f t="shared" si="3"/>
        <v>0</v>
      </c>
      <c r="L18" s="50"/>
      <c r="M18" s="51">
        <f t="shared" si="4"/>
        <v>0</v>
      </c>
      <c r="N18" s="50"/>
      <c r="O18" s="51">
        <f t="shared" si="5"/>
        <v>0</v>
      </c>
      <c r="P18" s="50"/>
      <c r="Q18" s="51">
        <f t="shared" si="6"/>
        <v>0</v>
      </c>
      <c r="R18" s="50"/>
      <c r="S18" s="51">
        <f t="shared" si="7"/>
        <v>0</v>
      </c>
      <c r="T18" s="50"/>
      <c r="U18" s="51">
        <f t="shared" si="8"/>
        <v>0</v>
      </c>
      <c r="V18" s="50"/>
      <c r="W18" s="51">
        <f t="shared" si="9"/>
        <v>0</v>
      </c>
      <c r="X18" s="50"/>
      <c r="Y18" s="51">
        <f t="shared" si="10"/>
        <v>0</v>
      </c>
      <c r="Z18" s="50"/>
      <c r="AA18" s="51">
        <f t="shared" si="11"/>
        <v>0</v>
      </c>
      <c r="AB18" s="50"/>
      <c r="AC18" s="51">
        <f t="shared" si="12"/>
        <v>0</v>
      </c>
      <c r="AD18" s="50"/>
      <c r="AE18" s="51">
        <f t="shared" si="13"/>
        <v>0</v>
      </c>
      <c r="AF18" s="50"/>
      <c r="AG18" s="51">
        <f t="shared" si="14"/>
        <v>0</v>
      </c>
      <c r="AH18" s="50"/>
      <c r="AI18" s="51">
        <f t="shared" si="15"/>
        <v>0</v>
      </c>
      <c r="AJ18" s="50"/>
      <c r="AK18" s="51">
        <f t="shared" si="16"/>
        <v>0</v>
      </c>
      <c r="AL18" s="50"/>
      <c r="AM18" s="51">
        <f t="shared" si="17"/>
        <v>0</v>
      </c>
      <c r="AN18" s="50"/>
      <c r="AO18" s="51">
        <f t="shared" si="18"/>
        <v>0</v>
      </c>
      <c r="AP18" s="52"/>
      <c r="AQ18" s="51">
        <f t="shared" si="19"/>
        <v>0</v>
      </c>
      <c r="AR18" s="52"/>
      <c r="AS18" s="51">
        <f t="shared" si="20"/>
        <v>0</v>
      </c>
      <c r="AT18" s="52"/>
      <c r="AU18" s="53">
        <f t="shared" si="21"/>
        <v>0</v>
      </c>
      <c r="AV18" s="54"/>
      <c r="AW18" s="51">
        <f t="shared" si="22"/>
        <v>0</v>
      </c>
      <c r="AX18" s="52"/>
      <c r="AY18" s="55">
        <f t="shared" si="23"/>
        <v>0</v>
      </c>
      <c r="AZ18" s="53"/>
      <c r="BG18" s="53"/>
      <c r="BH18" s="53"/>
    </row>
    <row r="19" spans="1:60" x14ac:dyDescent="0.25">
      <c r="A19" s="48" t="s">
        <v>43</v>
      </c>
      <c r="B19" s="49"/>
      <c r="C19" s="49"/>
      <c r="D19" s="50">
        <v>1273048</v>
      </c>
      <c r="E19" s="51">
        <f t="shared" si="0"/>
        <v>8402.1167999999998</v>
      </c>
      <c r="F19" s="50">
        <v>597451</v>
      </c>
      <c r="G19" s="51">
        <f t="shared" si="1"/>
        <v>1971.5882999999999</v>
      </c>
      <c r="H19" s="50">
        <v>1348181</v>
      </c>
      <c r="I19" s="51">
        <f t="shared" si="2"/>
        <v>8897.9946</v>
      </c>
      <c r="J19" s="50">
        <v>657371</v>
      </c>
      <c r="K19" s="51">
        <f t="shared" si="3"/>
        <v>2169.3242999999998</v>
      </c>
      <c r="L19" s="50">
        <v>1326436</v>
      </c>
      <c r="M19" s="51">
        <f t="shared" si="4"/>
        <v>8754.4776000000002</v>
      </c>
      <c r="N19" s="50">
        <v>726401</v>
      </c>
      <c r="O19" s="51">
        <f t="shared" si="5"/>
        <v>2397.1233000000002</v>
      </c>
      <c r="P19" s="50">
        <v>1488316</v>
      </c>
      <c r="Q19" s="51">
        <f t="shared" si="6"/>
        <v>9822.8855999999996</v>
      </c>
      <c r="R19" s="50">
        <v>875110</v>
      </c>
      <c r="S19" s="51">
        <f t="shared" si="7"/>
        <v>2887.8629999999998</v>
      </c>
      <c r="T19" s="50">
        <v>1540559</v>
      </c>
      <c r="U19" s="51">
        <f t="shared" si="8"/>
        <v>10167.689399999999</v>
      </c>
      <c r="V19" s="50">
        <v>882530</v>
      </c>
      <c r="W19" s="51">
        <f t="shared" si="9"/>
        <v>2912.3490000000002</v>
      </c>
      <c r="X19" s="50">
        <v>1579370</v>
      </c>
      <c r="Y19" s="51">
        <f t="shared" si="10"/>
        <v>10423.842000000001</v>
      </c>
      <c r="Z19" s="50">
        <v>837429</v>
      </c>
      <c r="AA19" s="51">
        <f t="shared" si="11"/>
        <v>2763.5156999999999</v>
      </c>
      <c r="AB19" s="50">
        <v>1494469</v>
      </c>
      <c r="AC19" s="51">
        <f t="shared" si="12"/>
        <v>9863.4953999999998</v>
      </c>
      <c r="AD19" s="50">
        <v>875527</v>
      </c>
      <c r="AE19" s="51">
        <f t="shared" si="13"/>
        <v>2889.2390999999998</v>
      </c>
      <c r="AF19" s="50">
        <v>1423353</v>
      </c>
      <c r="AG19" s="51">
        <f t="shared" si="14"/>
        <v>9394.1298000000006</v>
      </c>
      <c r="AH19" s="50">
        <v>917097</v>
      </c>
      <c r="AI19" s="51">
        <f t="shared" si="15"/>
        <v>3026.4200999999998</v>
      </c>
      <c r="AJ19" s="50">
        <v>1631687</v>
      </c>
      <c r="AK19" s="51">
        <f t="shared" si="16"/>
        <v>10769.1342</v>
      </c>
      <c r="AL19" s="50">
        <v>1009527</v>
      </c>
      <c r="AM19" s="51">
        <f t="shared" si="17"/>
        <v>3331.4391000000001</v>
      </c>
      <c r="AN19" s="50">
        <v>1375423</v>
      </c>
      <c r="AO19" s="51">
        <f t="shared" si="18"/>
        <v>9077.7917999999991</v>
      </c>
      <c r="AP19" s="52">
        <v>824284</v>
      </c>
      <c r="AQ19" s="51">
        <f t="shared" si="19"/>
        <v>2720.1372000000001</v>
      </c>
      <c r="AR19" s="52">
        <v>1516788</v>
      </c>
      <c r="AS19" s="51">
        <f t="shared" si="20"/>
        <v>10010.800799999999</v>
      </c>
      <c r="AT19" s="52">
        <v>892798</v>
      </c>
      <c r="AU19" s="53">
        <f t="shared" si="21"/>
        <v>2946.2334000000001</v>
      </c>
      <c r="AV19" s="54">
        <v>1421885</v>
      </c>
      <c r="AW19" s="51">
        <f t="shared" si="22"/>
        <v>9384.4410000000007</v>
      </c>
      <c r="AX19" s="52">
        <v>778121</v>
      </c>
      <c r="AY19" s="55">
        <f t="shared" si="23"/>
        <v>2567.7993000000001</v>
      </c>
      <c r="AZ19" s="53"/>
      <c r="BG19" s="53"/>
      <c r="BH19" s="53"/>
    </row>
    <row r="20" spans="1:60" x14ac:dyDescent="0.25">
      <c r="A20" s="48" t="s">
        <v>44</v>
      </c>
      <c r="B20" s="49"/>
      <c r="C20" s="49"/>
      <c r="D20" s="50">
        <v>2659843.84</v>
      </c>
      <c r="E20" s="51">
        <f t="shared" si="0"/>
        <v>17554.969343999997</v>
      </c>
      <c r="F20" s="50">
        <v>3520993.05</v>
      </c>
      <c r="G20" s="51">
        <f t="shared" si="1"/>
        <v>11619.277065</v>
      </c>
      <c r="H20" s="50">
        <v>2878173.9</v>
      </c>
      <c r="I20" s="51">
        <f t="shared" si="2"/>
        <v>18995.94774</v>
      </c>
      <c r="J20" s="50">
        <v>3934075.65</v>
      </c>
      <c r="K20" s="51">
        <f t="shared" si="3"/>
        <v>12982.449644999999</v>
      </c>
      <c r="L20" s="50">
        <v>2820967.64</v>
      </c>
      <c r="M20" s="51">
        <f t="shared" si="4"/>
        <v>18618.386424</v>
      </c>
      <c r="N20" s="50">
        <v>3939270.62</v>
      </c>
      <c r="O20" s="51">
        <f t="shared" si="5"/>
        <v>12999.593046</v>
      </c>
      <c r="P20" s="50">
        <v>3070167.56</v>
      </c>
      <c r="Q20" s="51">
        <f t="shared" si="6"/>
        <v>20263.105896000001</v>
      </c>
      <c r="R20" s="50">
        <v>4170906.78</v>
      </c>
      <c r="S20" s="51">
        <f t="shared" si="7"/>
        <v>13763.992373999999</v>
      </c>
      <c r="T20" s="50">
        <v>2981336.59</v>
      </c>
      <c r="U20" s="51">
        <f t="shared" si="8"/>
        <v>19676.821494</v>
      </c>
      <c r="V20" s="50">
        <v>4422723.1500000004</v>
      </c>
      <c r="W20" s="51">
        <f t="shared" si="9"/>
        <v>14594.986395000002</v>
      </c>
      <c r="X20" s="50">
        <v>3227754.91</v>
      </c>
      <c r="Y20" s="51">
        <f t="shared" si="10"/>
        <v>21303.182406</v>
      </c>
      <c r="Z20" s="50">
        <v>3774480</v>
      </c>
      <c r="AA20" s="51">
        <f t="shared" si="11"/>
        <v>12455.784</v>
      </c>
      <c r="AB20" s="50">
        <v>2947038.59</v>
      </c>
      <c r="AC20" s="51">
        <f t="shared" si="12"/>
        <v>19450.454694</v>
      </c>
      <c r="AD20" s="50">
        <v>3653618.54</v>
      </c>
      <c r="AE20" s="51">
        <f t="shared" si="13"/>
        <v>12056.941182</v>
      </c>
      <c r="AF20" s="50">
        <v>2920101.53</v>
      </c>
      <c r="AG20" s="51">
        <f t="shared" si="14"/>
        <v>19272.670097999999</v>
      </c>
      <c r="AH20" s="50">
        <v>3582300.54</v>
      </c>
      <c r="AI20" s="51">
        <f t="shared" si="15"/>
        <v>11821.591782</v>
      </c>
      <c r="AJ20" s="50">
        <v>3226622.72</v>
      </c>
      <c r="AK20" s="51">
        <f t="shared" si="16"/>
        <v>21295.709952000001</v>
      </c>
      <c r="AL20" s="50">
        <v>3813755.25</v>
      </c>
      <c r="AM20" s="51">
        <f t="shared" si="17"/>
        <v>12585.392325000001</v>
      </c>
      <c r="AN20" s="50">
        <v>2894142.39</v>
      </c>
      <c r="AO20" s="51">
        <f t="shared" si="18"/>
        <v>19101.339774</v>
      </c>
      <c r="AP20" s="52">
        <v>3654765.32</v>
      </c>
      <c r="AQ20" s="51">
        <f t="shared" si="19"/>
        <v>12060.725555999999</v>
      </c>
      <c r="AR20" s="52">
        <v>2929316.16</v>
      </c>
      <c r="AS20" s="51">
        <f t="shared" si="20"/>
        <v>19333.486656000001</v>
      </c>
      <c r="AT20" s="52">
        <v>4039258.24</v>
      </c>
      <c r="AU20" s="53">
        <f t="shared" si="21"/>
        <v>13329.552192000001</v>
      </c>
      <c r="AV20" s="54">
        <v>2700941.48</v>
      </c>
      <c r="AW20" s="51">
        <f t="shared" si="22"/>
        <v>17826.213768000001</v>
      </c>
      <c r="AX20" s="52">
        <v>3567673</v>
      </c>
      <c r="AY20" s="55">
        <f t="shared" si="23"/>
        <v>11773.320900000001</v>
      </c>
      <c r="AZ20" s="53"/>
      <c r="BG20" s="53"/>
      <c r="BH20" s="53"/>
    </row>
    <row r="21" spans="1:60" x14ac:dyDescent="0.25">
      <c r="A21" s="48" t="s">
        <v>45</v>
      </c>
      <c r="B21" s="49"/>
      <c r="C21" s="49"/>
      <c r="D21" s="50">
        <v>793893</v>
      </c>
      <c r="E21" s="51">
        <f t="shared" si="0"/>
        <v>5239.6938</v>
      </c>
      <c r="F21" s="50">
        <v>2580863</v>
      </c>
      <c r="G21" s="51">
        <f t="shared" si="1"/>
        <v>8516.8479000000007</v>
      </c>
      <c r="H21" s="50">
        <v>904560</v>
      </c>
      <c r="I21" s="51">
        <f t="shared" si="2"/>
        <v>5970.0959999999995</v>
      </c>
      <c r="J21" s="50">
        <v>3175015</v>
      </c>
      <c r="K21" s="51">
        <f t="shared" si="3"/>
        <v>10477.549499999999</v>
      </c>
      <c r="L21" s="50">
        <v>907006</v>
      </c>
      <c r="M21" s="51">
        <f t="shared" si="4"/>
        <v>5986.2395999999999</v>
      </c>
      <c r="N21" s="50">
        <v>3194473</v>
      </c>
      <c r="O21" s="51">
        <f t="shared" si="5"/>
        <v>10541.760899999999</v>
      </c>
      <c r="P21" s="50">
        <v>1065898</v>
      </c>
      <c r="Q21" s="51">
        <f t="shared" si="6"/>
        <v>7034.9268000000002</v>
      </c>
      <c r="R21" s="50">
        <v>3846871</v>
      </c>
      <c r="S21" s="51">
        <f t="shared" si="7"/>
        <v>12694.674300000001</v>
      </c>
      <c r="T21" s="50">
        <v>982423</v>
      </c>
      <c r="U21" s="51">
        <f t="shared" si="8"/>
        <v>6483.9917999999998</v>
      </c>
      <c r="V21" s="50">
        <v>4057047</v>
      </c>
      <c r="W21" s="51">
        <f t="shared" si="9"/>
        <v>13388.2551</v>
      </c>
      <c r="X21" s="50">
        <v>1033406</v>
      </c>
      <c r="Y21" s="51">
        <f t="shared" si="10"/>
        <v>6820.4795999999997</v>
      </c>
      <c r="Z21" s="50">
        <v>3316939</v>
      </c>
      <c r="AA21" s="51">
        <f t="shared" si="11"/>
        <v>10945.8987</v>
      </c>
      <c r="AB21" s="50">
        <v>1098953</v>
      </c>
      <c r="AC21" s="51">
        <f t="shared" si="12"/>
        <v>7253.0897999999997</v>
      </c>
      <c r="AD21" s="50">
        <v>3432439</v>
      </c>
      <c r="AE21" s="51">
        <f t="shared" si="13"/>
        <v>11327.048699999999</v>
      </c>
      <c r="AF21" s="50">
        <v>990671</v>
      </c>
      <c r="AG21" s="51">
        <f t="shared" si="14"/>
        <v>6538.4286000000002</v>
      </c>
      <c r="AH21" s="50">
        <v>3134224</v>
      </c>
      <c r="AI21" s="51">
        <f t="shared" si="15"/>
        <v>10342.939200000001</v>
      </c>
      <c r="AJ21" s="50">
        <v>938077</v>
      </c>
      <c r="AK21" s="51">
        <f t="shared" si="16"/>
        <v>6191.3082000000004</v>
      </c>
      <c r="AL21" s="50">
        <v>3408172</v>
      </c>
      <c r="AM21" s="51">
        <f t="shared" si="17"/>
        <v>11246.9676</v>
      </c>
      <c r="AN21" s="50">
        <v>984407</v>
      </c>
      <c r="AO21" s="51">
        <f t="shared" si="18"/>
        <v>6497.0861999999997</v>
      </c>
      <c r="AP21" s="52">
        <v>3104432</v>
      </c>
      <c r="AQ21" s="51">
        <f t="shared" si="19"/>
        <v>10244.625599999999</v>
      </c>
      <c r="AR21" s="52">
        <v>900743</v>
      </c>
      <c r="AS21" s="51">
        <f t="shared" si="20"/>
        <v>5944.9038</v>
      </c>
      <c r="AT21" s="52">
        <v>3225602</v>
      </c>
      <c r="AU21" s="53">
        <f t="shared" si="21"/>
        <v>10644.4866</v>
      </c>
      <c r="AV21" s="54">
        <v>831431</v>
      </c>
      <c r="AW21" s="51">
        <f t="shared" si="22"/>
        <v>5487.4445999999998</v>
      </c>
      <c r="AX21" s="52">
        <v>2809463</v>
      </c>
      <c r="AY21" s="55">
        <f t="shared" si="23"/>
        <v>9271.2278999999999</v>
      </c>
      <c r="AZ21" s="53"/>
      <c r="BG21" s="53"/>
      <c r="BH21" s="53"/>
    </row>
    <row r="22" spans="1:60" x14ac:dyDescent="0.25">
      <c r="A22" s="48" t="s">
        <v>46</v>
      </c>
      <c r="B22" s="49"/>
      <c r="C22" s="49"/>
      <c r="D22" s="50">
        <v>74249</v>
      </c>
      <c r="E22" s="51">
        <f t="shared" si="0"/>
        <v>490.04340000000002</v>
      </c>
      <c r="F22" s="50">
        <v>785746</v>
      </c>
      <c r="G22" s="51">
        <f t="shared" si="1"/>
        <v>2592.9618</v>
      </c>
      <c r="H22" s="50">
        <v>84899.1</v>
      </c>
      <c r="I22" s="51">
        <f t="shared" si="2"/>
        <v>560.33406000000002</v>
      </c>
      <c r="J22" s="50">
        <v>958644.71</v>
      </c>
      <c r="K22" s="51">
        <f t="shared" si="3"/>
        <v>3163.5275429999997</v>
      </c>
      <c r="L22" s="50">
        <v>92700.1</v>
      </c>
      <c r="M22" s="51">
        <f t="shared" si="4"/>
        <v>611.82066000000009</v>
      </c>
      <c r="N22" s="50">
        <v>868112.78</v>
      </c>
      <c r="O22" s="51">
        <f t="shared" si="5"/>
        <v>2864.7721740000002</v>
      </c>
      <c r="P22" s="50">
        <v>304434</v>
      </c>
      <c r="Q22" s="51">
        <f t="shared" si="6"/>
        <v>2009.2644</v>
      </c>
      <c r="R22" s="50">
        <v>608868</v>
      </c>
      <c r="S22" s="51">
        <f t="shared" si="7"/>
        <v>2009.2644</v>
      </c>
      <c r="T22" s="50">
        <v>119276.2</v>
      </c>
      <c r="U22" s="51">
        <f t="shared" si="8"/>
        <v>787.22291999999993</v>
      </c>
      <c r="V22" s="50">
        <v>1039611.27</v>
      </c>
      <c r="W22" s="51">
        <f t="shared" si="9"/>
        <v>3430.7171910000002</v>
      </c>
      <c r="X22" s="50">
        <v>125660.23</v>
      </c>
      <c r="Y22" s="51">
        <f t="shared" si="10"/>
        <v>829.35751799999991</v>
      </c>
      <c r="Z22" s="50">
        <v>938628.3</v>
      </c>
      <c r="AA22" s="51">
        <f t="shared" si="11"/>
        <v>3097.4733900000001</v>
      </c>
      <c r="AB22" s="50">
        <v>134242.82</v>
      </c>
      <c r="AC22" s="51">
        <f t="shared" si="12"/>
        <v>886.002612</v>
      </c>
      <c r="AD22" s="50">
        <v>805532.65</v>
      </c>
      <c r="AE22" s="51">
        <f t="shared" si="13"/>
        <v>2658.2577449999999</v>
      </c>
      <c r="AF22" s="50">
        <v>115247.3</v>
      </c>
      <c r="AG22" s="51">
        <f t="shared" si="14"/>
        <v>760.63218000000006</v>
      </c>
      <c r="AH22" s="50">
        <v>847190.78</v>
      </c>
      <c r="AI22" s="51">
        <f t="shared" si="15"/>
        <v>2795.729574</v>
      </c>
      <c r="AJ22" s="50">
        <v>132259.70000000001</v>
      </c>
      <c r="AK22" s="51">
        <f t="shared" si="16"/>
        <v>872.91402000000005</v>
      </c>
      <c r="AL22" s="50">
        <v>810229.63</v>
      </c>
      <c r="AM22" s="51">
        <f t="shared" si="17"/>
        <v>2673.757779</v>
      </c>
      <c r="AN22" s="50">
        <v>105054.94</v>
      </c>
      <c r="AO22" s="51">
        <f t="shared" si="18"/>
        <v>693.36260400000003</v>
      </c>
      <c r="AP22" s="52">
        <v>745451.45</v>
      </c>
      <c r="AQ22" s="51">
        <f t="shared" si="19"/>
        <v>2459.9897849999998</v>
      </c>
      <c r="AR22" s="52">
        <v>96621.81</v>
      </c>
      <c r="AS22" s="51">
        <f t="shared" si="20"/>
        <v>637.70394599999997</v>
      </c>
      <c r="AT22" s="52">
        <v>918224.04</v>
      </c>
      <c r="AU22" s="53">
        <f t="shared" si="21"/>
        <v>3030.1393320000002</v>
      </c>
      <c r="AV22" s="54">
        <v>104010.18</v>
      </c>
      <c r="AW22" s="51">
        <f t="shared" si="22"/>
        <v>686.46718799999996</v>
      </c>
      <c r="AX22" s="52">
        <v>814056.16</v>
      </c>
      <c r="AY22" s="55">
        <f t="shared" si="23"/>
        <v>2686.3853280000003</v>
      </c>
      <c r="AZ22" s="53"/>
      <c r="BG22" s="53"/>
      <c r="BH22" s="53"/>
    </row>
    <row r="23" spans="1:60" x14ac:dyDescent="0.25">
      <c r="A23" s="48" t="s">
        <v>47</v>
      </c>
      <c r="B23" s="49"/>
      <c r="C23" s="49"/>
      <c r="D23" s="50">
        <v>299047.90000000002</v>
      </c>
      <c r="E23" s="51">
        <f t="shared" si="0"/>
        <v>1973.7161400000002</v>
      </c>
      <c r="F23" s="50">
        <v>579665.1</v>
      </c>
      <c r="G23" s="51">
        <f t="shared" si="1"/>
        <v>1912.89483</v>
      </c>
      <c r="H23" s="50">
        <v>344376.5</v>
      </c>
      <c r="I23" s="51">
        <f t="shared" si="2"/>
        <v>2272.8849</v>
      </c>
      <c r="J23" s="50">
        <v>686254.9</v>
      </c>
      <c r="K23" s="51">
        <f t="shared" si="3"/>
        <v>2264.6411699999999</v>
      </c>
      <c r="L23" s="50">
        <v>337335.8</v>
      </c>
      <c r="M23" s="51">
        <f t="shared" si="4"/>
        <v>2226.4162799999999</v>
      </c>
      <c r="N23" s="50">
        <v>689273.4</v>
      </c>
      <c r="O23" s="51">
        <f t="shared" si="5"/>
        <v>2274.6022200000002</v>
      </c>
      <c r="P23" s="50">
        <v>405285.7</v>
      </c>
      <c r="Q23" s="51">
        <f t="shared" si="6"/>
        <v>2674.88562</v>
      </c>
      <c r="R23" s="50">
        <v>900953.8</v>
      </c>
      <c r="S23" s="51">
        <f t="shared" si="7"/>
        <v>2973.1475399999999</v>
      </c>
      <c r="T23" s="50">
        <v>409151</v>
      </c>
      <c r="U23" s="51">
        <f t="shared" si="8"/>
        <v>2700.3966</v>
      </c>
      <c r="V23" s="50">
        <v>919755.7</v>
      </c>
      <c r="W23" s="51">
        <f t="shared" si="9"/>
        <v>3035.1938099999998</v>
      </c>
      <c r="X23" s="50">
        <v>426395.4</v>
      </c>
      <c r="Y23" s="51">
        <f t="shared" si="10"/>
        <v>2814.20964</v>
      </c>
      <c r="Z23" s="50">
        <v>700450.3</v>
      </c>
      <c r="AA23" s="51">
        <f t="shared" si="11"/>
        <v>2311.4859900000001</v>
      </c>
      <c r="AB23" s="50">
        <v>393953.2</v>
      </c>
      <c r="AC23" s="51">
        <f t="shared" si="12"/>
        <v>2600.09112</v>
      </c>
      <c r="AD23" s="50">
        <v>735023</v>
      </c>
      <c r="AE23" s="51">
        <f t="shared" si="13"/>
        <v>2425.5758999999998</v>
      </c>
      <c r="AF23" s="50">
        <v>416677.8</v>
      </c>
      <c r="AG23" s="51">
        <f t="shared" si="14"/>
        <v>2750.07348</v>
      </c>
      <c r="AH23" s="50">
        <v>686593.7</v>
      </c>
      <c r="AI23" s="51">
        <f t="shared" si="15"/>
        <v>2265.7592099999997</v>
      </c>
      <c r="AJ23" s="50">
        <v>449022.8</v>
      </c>
      <c r="AK23" s="51">
        <f t="shared" si="16"/>
        <v>2963.5504799999999</v>
      </c>
      <c r="AL23" s="50">
        <v>799948.5</v>
      </c>
      <c r="AM23" s="51">
        <f t="shared" si="17"/>
        <v>2639.83005</v>
      </c>
      <c r="AN23" s="50">
        <v>337001.3</v>
      </c>
      <c r="AO23" s="51">
        <f t="shared" si="18"/>
        <v>2224.20858</v>
      </c>
      <c r="AP23" s="52">
        <v>610835.9</v>
      </c>
      <c r="AQ23" s="51">
        <f t="shared" si="19"/>
        <v>2015.75847</v>
      </c>
      <c r="AR23" s="52">
        <v>394302.6</v>
      </c>
      <c r="AS23" s="51">
        <f t="shared" si="20"/>
        <v>2602.39716</v>
      </c>
      <c r="AT23" s="52">
        <v>648231.6</v>
      </c>
      <c r="AU23" s="53">
        <f t="shared" si="21"/>
        <v>2139.16428</v>
      </c>
      <c r="AV23" s="54">
        <v>318349.3</v>
      </c>
      <c r="AW23" s="51">
        <f t="shared" si="22"/>
        <v>2101.10538</v>
      </c>
      <c r="AX23" s="52">
        <v>504504.9</v>
      </c>
      <c r="AY23" s="55">
        <f t="shared" si="23"/>
        <v>1664.86617</v>
      </c>
      <c r="AZ23" s="53"/>
      <c r="BG23" s="53"/>
      <c r="BH23" s="53"/>
    </row>
    <row r="24" spans="1:60" x14ac:dyDescent="0.25">
      <c r="A24" s="48" t="s">
        <v>48</v>
      </c>
      <c r="B24" s="49"/>
      <c r="C24" s="49"/>
      <c r="D24" s="50">
        <v>133280</v>
      </c>
      <c r="E24" s="51">
        <f t="shared" si="0"/>
        <v>879.64800000000002</v>
      </c>
      <c r="F24" s="50">
        <v>819967</v>
      </c>
      <c r="G24" s="51">
        <f t="shared" si="1"/>
        <v>2705.8910999999998</v>
      </c>
      <c r="H24" s="50">
        <v>140764</v>
      </c>
      <c r="I24" s="51">
        <f t="shared" si="2"/>
        <v>929.04240000000004</v>
      </c>
      <c r="J24" s="50">
        <v>1089128</v>
      </c>
      <c r="K24" s="51">
        <f t="shared" si="3"/>
        <v>3594.1224000000002</v>
      </c>
      <c r="L24" s="50">
        <v>152534</v>
      </c>
      <c r="M24" s="51">
        <f t="shared" si="4"/>
        <v>1006.7243999999999</v>
      </c>
      <c r="N24" s="50">
        <v>1029023</v>
      </c>
      <c r="O24" s="51">
        <f t="shared" si="5"/>
        <v>3395.7759000000001</v>
      </c>
      <c r="P24" s="50">
        <v>184440</v>
      </c>
      <c r="Q24" s="51">
        <f t="shared" si="6"/>
        <v>1217.3040000000001</v>
      </c>
      <c r="R24" s="50">
        <v>1445718</v>
      </c>
      <c r="S24" s="51">
        <f t="shared" si="7"/>
        <v>4770.8693999999996</v>
      </c>
      <c r="T24" s="50">
        <v>178965</v>
      </c>
      <c r="U24" s="51">
        <f t="shared" si="8"/>
        <v>1181.1690000000001</v>
      </c>
      <c r="V24" s="50">
        <v>1329054</v>
      </c>
      <c r="W24" s="51">
        <f t="shared" si="9"/>
        <v>4385.8782000000001</v>
      </c>
      <c r="X24" s="50">
        <v>206805</v>
      </c>
      <c r="Y24" s="51">
        <f t="shared" si="10"/>
        <v>1364.913</v>
      </c>
      <c r="Z24" s="50">
        <v>1133922</v>
      </c>
      <c r="AA24" s="51">
        <f t="shared" si="11"/>
        <v>3741.9425999999999</v>
      </c>
      <c r="AB24" s="50">
        <v>218454</v>
      </c>
      <c r="AC24" s="51">
        <f t="shared" si="12"/>
        <v>1441.7963999999999</v>
      </c>
      <c r="AD24" s="50">
        <v>1129319</v>
      </c>
      <c r="AE24" s="51">
        <f t="shared" si="13"/>
        <v>3726.7527</v>
      </c>
      <c r="AF24" s="50">
        <v>184760</v>
      </c>
      <c r="AG24" s="51">
        <f t="shared" si="14"/>
        <v>1219.4159999999999</v>
      </c>
      <c r="AH24" s="50">
        <v>1003627</v>
      </c>
      <c r="AI24" s="51">
        <f t="shared" si="15"/>
        <v>3311.9690999999998</v>
      </c>
      <c r="AJ24" s="50">
        <v>185758</v>
      </c>
      <c r="AK24" s="51">
        <f t="shared" si="16"/>
        <v>1226.0028</v>
      </c>
      <c r="AL24" s="50">
        <v>1063307</v>
      </c>
      <c r="AM24" s="51">
        <f t="shared" si="17"/>
        <v>3508.9130999999998</v>
      </c>
      <c r="AN24" s="50">
        <v>171076</v>
      </c>
      <c r="AO24" s="51">
        <f t="shared" si="18"/>
        <v>1129.1016</v>
      </c>
      <c r="AP24" s="52">
        <v>1027172</v>
      </c>
      <c r="AQ24" s="51">
        <f t="shared" si="19"/>
        <v>3389.6675999999998</v>
      </c>
      <c r="AR24" s="52">
        <v>139809</v>
      </c>
      <c r="AS24" s="51">
        <f t="shared" si="20"/>
        <v>922.73940000000005</v>
      </c>
      <c r="AT24" s="52">
        <v>1167565</v>
      </c>
      <c r="AU24" s="53">
        <f t="shared" si="21"/>
        <v>3852.9645</v>
      </c>
      <c r="AV24" s="54">
        <v>137578</v>
      </c>
      <c r="AW24" s="51">
        <f t="shared" si="22"/>
        <v>908.01480000000004</v>
      </c>
      <c r="AX24" s="52">
        <v>1048121</v>
      </c>
      <c r="AY24" s="55">
        <f t="shared" si="23"/>
        <v>3458.7993000000001</v>
      </c>
      <c r="AZ24" s="53"/>
      <c r="BG24" s="53"/>
      <c r="BH24" s="53"/>
    </row>
    <row r="25" spans="1:60" x14ac:dyDescent="0.25">
      <c r="A25" s="48" t="s">
        <v>49</v>
      </c>
      <c r="B25" s="49"/>
      <c r="C25" s="49"/>
      <c r="D25" s="50"/>
      <c r="E25" s="51">
        <f t="shared" si="0"/>
        <v>0</v>
      </c>
      <c r="F25" s="50"/>
      <c r="G25" s="51">
        <f t="shared" si="1"/>
        <v>0</v>
      </c>
      <c r="H25" s="50"/>
      <c r="I25" s="51">
        <f t="shared" si="2"/>
        <v>0</v>
      </c>
      <c r="J25" s="50"/>
      <c r="K25" s="51">
        <f t="shared" si="3"/>
        <v>0</v>
      </c>
      <c r="L25" s="50"/>
      <c r="M25" s="51">
        <f t="shared" si="4"/>
        <v>0</v>
      </c>
      <c r="N25" s="50"/>
      <c r="O25" s="51">
        <f t="shared" si="5"/>
        <v>0</v>
      </c>
      <c r="P25" s="50"/>
      <c r="Q25" s="51">
        <f t="shared" si="6"/>
        <v>0</v>
      </c>
      <c r="R25" s="50"/>
      <c r="S25" s="51">
        <f t="shared" si="7"/>
        <v>0</v>
      </c>
      <c r="T25" s="50"/>
      <c r="U25" s="51">
        <f t="shared" si="8"/>
        <v>0</v>
      </c>
      <c r="V25" s="50"/>
      <c r="W25" s="51">
        <f t="shared" si="9"/>
        <v>0</v>
      </c>
      <c r="X25" s="50"/>
      <c r="Y25" s="51">
        <f t="shared" si="10"/>
        <v>0</v>
      </c>
      <c r="Z25" s="50"/>
      <c r="AA25" s="51">
        <f t="shared" si="11"/>
        <v>0</v>
      </c>
      <c r="AB25" s="50"/>
      <c r="AC25" s="51">
        <f t="shared" si="12"/>
        <v>0</v>
      </c>
      <c r="AD25" s="50"/>
      <c r="AE25" s="51">
        <f t="shared" si="13"/>
        <v>0</v>
      </c>
      <c r="AF25" s="50"/>
      <c r="AG25" s="51">
        <f t="shared" si="14"/>
        <v>0</v>
      </c>
      <c r="AH25" s="50"/>
      <c r="AI25" s="51">
        <f t="shared" si="15"/>
        <v>0</v>
      </c>
      <c r="AJ25" s="50"/>
      <c r="AK25" s="51">
        <f t="shared" si="16"/>
        <v>0</v>
      </c>
      <c r="AL25" s="50"/>
      <c r="AM25" s="51">
        <f t="shared" si="17"/>
        <v>0</v>
      </c>
      <c r="AN25" s="50"/>
      <c r="AO25" s="51">
        <f t="shared" si="18"/>
        <v>0</v>
      </c>
      <c r="AP25" s="52"/>
      <c r="AQ25" s="51">
        <f t="shared" si="19"/>
        <v>0</v>
      </c>
      <c r="AR25" s="52"/>
      <c r="AS25" s="51">
        <f t="shared" si="20"/>
        <v>0</v>
      </c>
      <c r="AT25" s="52"/>
      <c r="AU25" s="53">
        <f t="shared" si="21"/>
        <v>0</v>
      </c>
      <c r="AV25" s="54">
        <v>0</v>
      </c>
      <c r="AW25" s="51">
        <f t="shared" si="22"/>
        <v>0</v>
      </c>
      <c r="AX25" s="52">
        <v>0</v>
      </c>
      <c r="AY25" s="55">
        <f t="shared" si="23"/>
        <v>0</v>
      </c>
      <c r="AZ25" s="53"/>
      <c r="BG25" s="53"/>
      <c r="BH25" s="53"/>
    </row>
    <row r="26" spans="1:60" x14ac:dyDescent="0.25">
      <c r="A26" s="48" t="s">
        <v>50</v>
      </c>
      <c r="B26" s="49"/>
      <c r="C26" s="49"/>
      <c r="D26" s="50">
        <v>272868</v>
      </c>
      <c r="E26" s="51">
        <f t="shared" si="0"/>
        <v>1800.9287999999999</v>
      </c>
      <c r="F26" s="50">
        <v>236761</v>
      </c>
      <c r="G26" s="51">
        <f t="shared" si="1"/>
        <v>781.31129999999996</v>
      </c>
      <c r="H26" s="50">
        <v>333255</v>
      </c>
      <c r="I26" s="51">
        <f t="shared" si="2"/>
        <v>2199.4830000000002</v>
      </c>
      <c r="J26" s="50">
        <v>252619</v>
      </c>
      <c r="K26" s="51">
        <f t="shared" si="3"/>
        <v>833.64269999999999</v>
      </c>
      <c r="L26" s="50">
        <v>298509</v>
      </c>
      <c r="M26" s="51">
        <f t="shared" si="4"/>
        <v>1970.1594</v>
      </c>
      <c r="N26" s="50">
        <v>219240</v>
      </c>
      <c r="O26" s="51">
        <f t="shared" si="5"/>
        <v>723.49199999999996</v>
      </c>
      <c r="P26" s="50">
        <v>393775</v>
      </c>
      <c r="Q26" s="51">
        <f t="shared" si="6"/>
        <v>2598.915</v>
      </c>
      <c r="R26" s="50">
        <v>379213</v>
      </c>
      <c r="S26" s="51">
        <f t="shared" si="7"/>
        <v>1251.4029</v>
      </c>
      <c r="T26" s="50">
        <v>553924</v>
      </c>
      <c r="U26" s="51">
        <f t="shared" si="8"/>
        <v>3655.8984</v>
      </c>
      <c r="V26" s="50">
        <v>437101</v>
      </c>
      <c r="W26" s="51">
        <f t="shared" si="9"/>
        <v>1442.4332999999999</v>
      </c>
      <c r="X26" s="50">
        <v>670272</v>
      </c>
      <c r="Y26" s="51">
        <f t="shared" si="10"/>
        <v>4423.7951999999996</v>
      </c>
      <c r="Z26" s="50">
        <v>468716</v>
      </c>
      <c r="AA26" s="51">
        <f t="shared" si="11"/>
        <v>1546.7628</v>
      </c>
      <c r="AB26" s="50">
        <v>596412</v>
      </c>
      <c r="AC26" s="51">
        <f t="shared" si="12"/>
        <v>3936.3191999999999</v>
      </c>
      <c r="AD26" s="50">
        <v>414621</v>
      </c>
      <c r="AE26" s="51">
        <f t="shared" si="13"/>
        <v>1368.2492999999999</v>
      </c>
      <c r="AF26" s="50">
        <v>567562</v>
      </c>
      <c r="AG26" s="51">
        <f t="shared" si="14"/>
        <v>3745.9092000000001</v>
      </c>
      <c r="AH26" s="50">
        <v>440994</v>
      </c>
      <c r="AI26" s="51">
        <f t="shared" si="15"/>
        <v>1455.2801999999999</v>
      </c>
      <c r="AJ26" s="50">
        <v>683060</v>
      </c>
      <c r="AK26" s="51">
        <f t="shared" si="16"/>
        <v>4508.1959999999999</v>
      </c>
      <c r="AL26" s="50">
        <v>534346</v>
      </c>
      <c r="AM26" s="51">
        <f t="shared" si="17"/>
        <v>1763.3417999999999</v>
      </c>
      <c r="AN26" s="50">
        <v>518381</v>
      </c>
      <c r="AO26" s="51">
        <f t="shared" si="18"/>
        <v>3421.3146000000002</v>
      </c>
      <c r="AP26" s="52">
        <v>427157</v>
      </c>
      <c r="AQ26" s="51">
        <f t="shared" si="19"/>
        <v>1409.6180999999999</v>
      </c>
      <c r="AR26" s="52">
        <v>509198</v>
      </c>
      <c r="AS26" s="51">
        <f t="shared" si="20"/>
        <v>3360.7067999999999</v>
      </c>
      <c r="AT26" s="52">
        <v>459417</v>
      </c>
      <c r="AU26" s="53">
        <f t="shared" si="21"/>
        <v>1516.0761</v>
      </c>
      <c r="AV26" s="54">
        <v>492581</v>
      </c>
      <c r="AW26" s="51">
        <f t="shared" si="22"/>
        <v>3251.0346</v>
      </c>
      <c r="AX26" s="52">
        <v>436333</v>
      </c>
      <c r="AY26" s="55">
        <f t="shared" si="23"/>
        <v>1439.8988999999999</v>
      </c>
      <c r="AZ26" s="53"/>
      <c r="BG26" s="53"/>
      <c r="BH26" s="53"/>
    </row>
    <row r="27" spans="1:60" ht="15.75" thickBot="1" x14ac:dyDescent="0.3">
      <c r="A27" s="56" t="s">
        <v>51</v>
      </c>
      <c r="B27" s="57"/>
      <c r="C27" s="57"/>
      <c r="D27" s="58">
        <f t="shared" ref="D27:AY27" si="24">SUM(D17:D26)</f>
        <v>8237149.7400000002</v>
      </c>
      <c r="E27" s="59">
        <f t="shared" si="24"/>
        <v>54365.188284000003</v>
      </c>
      <c r="F27" s="58">
        <f t="shared" si="24"/>
        <v>11059122.15</v>
      </c>
      <c r="G27" s="59">
        <f t="shared" si="24"/>
        <v>36495.103095000006</v>
      </c>
      <c r="H27" s="58">
        <f t="shared" si="24"/>
        <v>10051367.5</v>
      </c>
      <c r="I27" s="59">
        <f t="shared" si="24"/>
        <v>66339.025499999989</v>
      </c>
      <c r="J27" s="58">
        <f t="shared" si="24"/>
        <v>13761647.26</v>
      </c>
      <c r="K27" s="59">
        <f t="shared" si="24"/>
        <v>45413.435957999995</v>
      </c>
      <c r="L27" s="58">
        <f t="shared" si="24"/>
        <v>8666743.5399999991</v>
      </c>
      <c r="M27" s="59">
        <f t="shared" si="24"/>
        <v>57200.507363999997</v>
      </c>
      <c r="N27" s="58">
        <f t="shared" si="24"/>
        <v>12475990.800000001</v>
      </c>
      <c r="O27" s="59">
        <f t="shared" si="24"/>
        <v>41170.769639999999</v>
      </c>
      <c r="P27" s="58">
        <f t="shared" si="24"/>
        <v>9612854.2599999998</v>
      </c>
      <c r="Q27" s="59">
        <f t="shared" si="24"/>
        <v>63444.838116000006</v>
      </c>
      <c r="R27" s="58">
        <f t="shared" si="24"/>
        <v>14234316.58</v>
      </c>
      <c r="S27" s="59">
        <f t="shared" si="24"/>
        <v>46973.244714</v>
      </c>
      <c r="T27" s="58">
        <f t="shared" si="24"/>
        <v>9426684.7899999991</v>
      </c>
      <c r="U27" s="59">
        <f t="shared" si="24"/>
        <v>62216.119614000003</v>
      </c>
      <c r="V27" s="58">
        <f t="shared" si="24"/>
        <v>14929022.119999999</v>
      </c>
      <c r="W27" s="59">
        <f t="shared" si="24"/>
        <v>49265.772996</v>
      </c>
      <c r="X27" s="58">
        <f t="shared" si="24"/>
        <v>10359519.540000001</v>
      </c>
      <c r="Y27" s="59">
        <f t="shared" si="24"/>
        <v>68372.828963999986</v>
      </c>
      <c r="Z27" s="58">
        <f t="shared" si="24"/>
        <v>13082609.600000001</v>
      </c>
      <c r="AA27" s="59">
        <f t="shared" si="24"/>
        <v>43172.611679999995</v>
      </c>
      <c r="AB27" s="58">
        <f t="shared" si="24"/>
        <v>9685934.6099999994</v>
      </c>
      <c r="AC27" s="59">
        <f t="shared" si="24"/>
        <v>63927.168425999997</v>
      </c>
      <c r="AD27" s="58">
        <f t="shared" si="24"/>
        <v>12932777.189999999</v>
      </c>
      <c r="AE27" s="59">
        <f t="shared" si="24"/>
        <v>42678.164727000003</v>
      </c>
      <c r="AF27" s="58">
        <f t="shared" si="24"/>
        <v>9388286.629999999</v>
      </c>
      <c r="AG27" s="59">
        <f t="shared" si="24"/>
        <v>61962.691758000001</v>
      </c>
      <c r="AH27" s="58">
        <f t="shared" si="24"/>
        <v>12498251.019999998</v>
      </c>
      <c r="AI27" s="59">
        <f t="shared" si="24"/>
        <v>41244.228365999996</v>
      </c>
      <c r="AJ27" s="58">
        <f t="shared" si="24"/>
        <v>10396643.220000001</v>
      </c>
      <c r="AK27" s="59">
        <f t="shared" si="24"/>
        <v>68617.845251999999</v>
      </c>
      <c r="AL27" s="58">
        <f t="shared" si="24"/>
        <v>14125400.380000001</v>
      </c>
      <c r="AM27" s="59">
        <f t="shared" si="24"/>
        <v>46613.821253999995</v>
      </c>
      <c r="AN27" s="58">
        <f t="shared" si="24"/>
        <v>8415274.6300000008</v>
      </c>
      <c r="AO27" s="59">
        <f t="shared" si="24"/>
        <v>55540.812557999998</v>
      </c>
      <c r="AP27" s="60">
        <f t="shared" si="24"/>
        <v>14453674.67</v>
      </c>
      <c r="AQ27" s="59">
        <f t="shared" si="24"/>
        <v>47697.126410999997</v>
      </c>
      <c r="AR27" s="60">
        <f t="shared" si="24"/>
        <v>9059267.5700000003</v>
      </c>
      <c r="AS27" s="59">
        <f t="shared" si="24"/>
        <v>59791.165961999999</v>
      </c>
      <c r="AT27" s="60">
        <f t="shared" si="24"/>
        <v>14115031.880000001</v>
      </c>
      <c r="AU27" s="60">
        <f t="shared" si="24"/>
        <v>46579.605203999992</v>
      </c>
      <c r="AV27" s="61">
        <f t="shared" si="24"/>
        <v>8340260.96</v>
      </c>
      <c r="AW27" s="59">
        <f t="shared" si="24"/>
        <v>55045.722336000006</v>
      </c>
      <c r="AX27" s="60">
        <f t="shared" si="24"/>
        <v>12773427.060000001</v>
      </c>
      <c r="AY27" s="62">
        <f t="shared" si="24"/>
        <v>42152.309298</v>
      </c>
    </row>
    <row r="28" spans="1:60" x14ac:dyDescent="0.25">
      <c r="D28" s="223"/>
      <c r="E28" s="224"/>
    </row>
    <row r="29" spans="1:60" ht="15.75" thickBot="1" x14ac:dyDescent="0.3">
      <c r="D29" s="63"/>
      <c r="E29" s="64"/>
      <c r="F29" s="65"/>
      <c r="G29" s="65"/>
      <c r="H29" s="65"/>
      <c r="I29" s="65"/>
      <c r="J29" s="65"/>
    </row>
    <row r="30" spans="1:60" ht="15.75" thickBot="1" x14ac:dyDescent="0.3">
      <c r="A30" s="37" t="s">
        <v>52</v>
      </c>
      <c r="B30" s="38"/>
      <c r="C30" s="38"/>
      <c r="D30" s="66" t="s">
        <v>35</v>
      </c>
      <c r="E30" s="67" t="s">
        <v>36</v>
      </c>
      <c r="F30" s="67" t="s">
        <v>5</v>
      </c>
      <c r="G30" s="67" t="s">
        <v>26</v>
      </c>
      <c r="H30" s="67" t="s">
        <v>27</v>
      </c>
      <c r="I30" s="67" t="s">
        <v>28</v>
      </c>
      <c r="J30" s="67" t="s">
        <v>29</v>
      </c>
      <c r="K30" s="67" t="s">
        <v>30</v>
      </c>
      <c r="L30" s="67" t="s">
        <v>31</v>
      </c>
      <c r="M30" s="67" t="s">
        <v>32</v>
      </c>
      <c r="N30" s="67" t="s">
        <v>33</v>
      </c>
      <c r="O30" s="67" t="s">
        <v>34</v>
      </c>
      <c r="P30" s="68" t="s">
        <v>51</v>
      </c>
      <c r="T30" s="69" t="s">
        <v>53</v>
      </c>
      <c r="U30" s="70"/>
      <c r="V30" s="70"/>
      <c r="W30" s="217" t="s">
        <v>51</v>
      </c>
      <c r="X30" s="218"/>
      <c r="Y30" s="218"/>
      <c r="Z30" s="218"/>
      <c r="AA30" s="218"/>
      <c r="AB30" s="219"/>
    </row>
    <row r="31" spans="1:60" x14ac:dyDescent="0.25">
      <c r="A31" s="48" t="s">
        <v>41</v>
      </c>
      <c r="B31" s="49"/>
      <c r="C31" s="49"/>
      <c r="D31" s="71">
        <f>'[2]2017'!AS17+'[2]2017'!AU17</f>
        <v>25298.879100000002</v>
      </c>
      <c r="E31" s="72">
        <f>'[2]2017'!AW17+'[2]2017'!AY17</f>
        <v>23932.788</v>
      </c>
      <c r="F31" s="73">
        <f>E17+G17</f>
        <v>24418.4028</v>
      </c>
      <c r="G31" s="73">
        <f>I17+K17</f>
        <v>36441.421499999997</v>
      </c>
      <c r="H31" s="73">
        <f>M17+O17</f>
        <v>23999.933099999998</v>
      </c>
      <c r="I31" s="73">
        <f>Q17+S17</f>
        <v>24445.581600000001</v>
      </c>
      <c r="J31" s="73">
        <f>U17+W17</f>
        <v>23638.89</v>
      </c>
      <c r="K31" s="73">
        <f>Y17+AA17</f>
        <v>26702.7981</v>
      </c>
      <c r="L31" s="73">
        <f>AC17+AE17</f>
        <v>24722.0193</v>
      </c>
      <c r="M31" s="73">
        <f>AG17+AI17</f>
        <v>24505.971600000001</v>
      </c>
      <c r="N31" s="73">
        <f>AK17+AM17</f>
        <v>29655.2091</v>
      </c>
      <c r="O31" s="74">
        <f>AO17+AQ17</f>
        <v>26793.211500000001</v>
      </c>
      <c r="P31" s="75">
        <f>SUM(D31:O31)</f>
        <v>314555.10569999996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60" x14ac:dyDescent="0.25">
      <c r="A32" s="48" t="s">
        <v>42</v>
      </c>
      <c r="B32" s="49"/>
      <c r="C32" s="49"/>
      <c r="D32" s="71">
        <f>'[2]2017'!AS18+'[2]2017'!AU18</f>
        <v>0</v>
      </c>
      <c r="E32" s="72">
        <f>'[2]2017'!AW18+'[2]2017'!AY18</f>
        <v>0</v>
      </c>
      <c r="F32" s="73">
        <f t="shared" ref="F32:F40" si="25">E18+G18</f>
        <v>0</v>
      </c>
      <c r="G32" s="73">
        <f t="shared" ref="G32:G40" si="26">I18+K18</f>
        <v>0</v>
      </c>
      <c r="H32" s="73">
        <f t="shared" ref="H32:H40" si="27">M18+O18</f>
        <v>0</v>
      </c>
      <c r="I32" s="73">
        <f t="shared" ref="I32:I40" si="28">Q18+S18</f>
        <v>0</v>
      </c>
      <c r="J32" s="73">
        <f t="shared" ref="J32:J40" si="29">U18+W18</f>
        <v>0</v>
      </c>
      <c r="K32" s="73">
        <f t="shared" ref="K32:K40" si="30">Y18+AA18</f>
        <v>0</v>
      </c>
      <c r="L32" s="73">
        <f t="shared" ref="L32:L40" si="31">AC18+AE18</f>
        <v>0</v>
      </c>
      <c r="M32" s="73">
        <f t="shared" ref="M32:M40" si="32">AG18+AI18</f>
        <v>0</v>
      </c>
      <c r="N32" s="73">
        <f t="shared" ref="N32:N40" si="33">AK18+AM18</f>
        <v>0</v>
      </c>
      <c r="O32" s="74">
        <f t="shared" ref="O32:O40" si="34">AO18+AQ18</f>
        <v>0</v>
      </c>
      <c r="P32" s="75">
        <f t="shared" ref="P32:P41" si="35">SUM(D32:O32)</f>
        <v>0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>
        <f>'[2]2017'!AS19+'[2]2017'!AU19</f>
        <v>11815.742399999999</v>
      </c>
      <c r="E33" s="72">
        <f>'[2]2017'!AW19+'[2]2017'!AY19</f>
        <v>11127.5406</v>
      </c>
      <c r="F33" s="73">
        <f t="shared" si="25"/>
        <v>10373.705099999999</v>
      </c>
      <c r="G33" s="73">
        <f t="shared" si="26"/>
        <v>11067.3189</v>
      </c>
      <c r="H33" s="73">
        <f t="shared" si="27"/>
        <v>11151.600900000001</v>
      </c>
      <c r="I33" s="73">
        <f t="shared" si="28"/>
        <v>12710.748599999999</v>
      </c>
      <c r="J33" s="73">
        <f t="shared" si="29"/>
        <v>13080.038399999999</v>
      </c>
      <c r="K33" s="73">
        <f t="shared" si="30"/>
        <v>13187.3577</v>
      </c>
      <c r="L33" s="73">
        <f t="shared" si="31"/>
        <v>12752.734499999999</v>
      </c>
      <c r="M33" s="73">
        <f t="shared" si="32"/>
        <v>12420.5499</v>
      </c>
      <c r="N33" s="73">
        <f t="shared" si="33"/>
        <v>14100.5733</v>
      </c>
      <c r="O33" s="74">
        <f t="shared" si="34"/>
        <v>11797.929</v>
      </c>
      <c r="P33" s="75">
        <f t="shared" si="35"/>
        <v>145585.83930000002</v>
      </c>
      <c r="T33" s="85" t="s">
        <v>41</v>
      </c>
      <c r="U33" s="86"/>
      <c r="V33" s="86"/>
      <c r="W33" s="87">
        <f>D17+H17+L17+P17+T17+X17+AB17+AF17+AJ17+AN17+AR17+AV17</f>
        <v>33589022</v>
      </c>
      <c r="X33" s="88">
        <f t="shared" ref="W33:Z42" si="36">E17+I17+M17+Q17+U17+Y17+AC17+AG17+AK17+AO17+AS17+AW17</f>
        <v>221687.54519999999</v>
      </c>
      <c r="Y33" s="89">
        <f t="shared" si="36"/>
        <v>28614037</v>
      </c>
      <c r="Z33" s="88">
        <f t="shared" si="36"/>
        <v>94426.32209999999</v>
      </c>
      <c r="AA33" s="90">
        <f>W33+Y33</f>
        <v>62203059</v>
      </c>
      <c r="AB33" s="91">
        <f>X33+Z33</f>
        <v>316113.86729999998</v>
      </c>
    </row>
    <row r="34" spans="1:28" x14ac:dyDescent="0.25">
      <c r="A34" s="48" t="s">
        <v>44</v>
      </c>
      <c r="B34" s="49"/>
      <c r="C34" s="49"/>
      <c r="D34" s="71">
        <f>'[2]2017'!AS20+'[2]2017'!AU20</f>
        <v>32426.762180999998</v>
      </c>
      <c r="E34" s="72">
        <f>'[2]2017'!AW20+'[2]2017'!AY20</f>
        <v>30008.986524</v>
      </c>
      <c r="F34" s="73">
        <f t="shared" si="25"/>
        <v>29174.246408999999</v>
      </c>
      <c r="G34" s="73">
        <f t="shared" si="26"/>
        <v>31978.397384999997</v>
      </c>
      <c r="H34" s="73">
        <f t="shared" si="27"/>
        <v>31617.979469999998</v>
      </c>
      <c r="I34" s="73">
        <f t="shared" si="28"/>
        <v>34027.098270000002</v>
      </c>
      <c r="J34" s="73">
        <f t="shared" si="29"/>
        <v>34271.807889000003</v>
      </c>
      <c r="K34" s="73">
        <f t="shared" si="30"/>
        <v>33758.966406</v>
      </c>
      <c r="L34" s="73">
        <f t="shared" si="31"/>
        <v>31507.395876000002</v>
      </c>
      <c r="M34" s="73">
        <f t="shared" si="32"/>
        <v>31094.261879999998</v>
      </c>
      <c r="N34" s="73">
        <f t="shared" si="33"/>
        <v>33881.102276999998</v>
      </c>
      <c r="O34" s="74">
        <f t="shared" si="34"/>
        <v>31162.065329999998</v>
      </c>
      <c r="P34" s="75">
        <f t="shared" si="35"/>
        <v>384909.06989699998</v>
      </c>
      <c r="T34" s="85" t="s">
        <v>42</v>
      </c>
      <c r="U34" s="86"/>
      <c r="V34" s="86"/>
      <c r="W34" s="87">
        <f t="shared" si="36"/>
        <v>0</v>
      </c>
      <c r="X34" s="92">
        <f t="shared" si="36"/>
        <v>0</v>
      </c>
      <c r="Y34" s="90">
        <f t="shared" si="36"/>
        <v>0</v>
      </c>
      <c r="Z34" s="92">
        <f t="shared" si="36"/>
        <v>0</v>
      </c>
      <c r="AA34" s="90">
        <f t="shared" ref="AA34:AB42" si="37">W34+Y34</f>
        <v>0</v>
      </c>
      <c r="AB34" s="91">
        <f t="shared" si="37"/>
        <v>0</v>
      </c>
    </row>
    <row r="35" spans="1:28" x14ac:dyDescent="0.25">
      <c r="A35" s="48" t="s">
        <v>45</v>
      </c>
      <c r="B35" s="49"/>
      <c r="C35" s="49"/>
      <c r="D35" s="71">
        <f>'[2]2017'!AS21+'[2]2017'!AU21</f>
        <v>16257.2124</v>
      </c>
      <c r="E35" s="72">
        <f>'[2]2017'!AW21+'[2]2017'!AY21</f>
        <v>14920.6497</v>
      </c>
      <c r="F35" s="73">
        <f t="shared" si="25"/>
        <v>13756.541700000002</v>
      </c>
      <c r="G35" s="73">
        <f t="shared" si="26"/>
        <v>16447.645499999999</v>
      </c>
      <c r="H35" s="73">
        <f t="shared" si="27"/>
        <v>16528.000499999998</v>
      </c>
      <c r="I35" s="73">
        <f t="shared" si="28"/>
        <v>19729.6011</v>
      </c>
      <c r="J35" s="73">
        <f t="shared" si="29"/>
        <v>19872.246899999998</v>
      </c>
      <c r="K35" s="73">
        <f t="shared" si="30"/>
        <v>17766.3783</v>
      </c>
      <c r="L35" s="73">
        <f t="shared" si="31"/>
        <v>18580.138500000001</v>
      </c>
      <c r="M35" s="73">
        <f t="shared" si="32"/>
        <v>16881.3678</v>
      </c>
      <c r="N35" s="73">
        <f t="shared" si="33"/>
        <v>17438.275799999999</v>
      </c>
      <c r="O35" s="74">
        <f t="shared" si="34"/>
        <v>16741.711799999997</v>
      </c>
      <c r="P35" s="75">
        <f t="shared" si="35"/>
        <v>204919.77</v>
      </c>
      <c r="T35" s="85" t="s">
        <v>43</v>
      </c>
      <c r="U35" s="86"/>
      <c r="V35" s="86"/>
      <c r="W35" s="87">
        <f t="shared" si="36"/>
        <v>17419515</v>
      </c>
      <c r="X35" s="93">
        <f t="shared" si="36"/>
        <v>114968.79900000001</v>
      </c>
      <c r="Y35" s="92">
        <f t="shared" si="36"/>
        <v>9873646</v>
      </c>
      <c r="Z35" s="92">
        <f t="shared" si="36"/>
        <v>32583.031800000001</v>
      </c>
      <c r="AA35" s="90">
        <f t="shared" si="37"/>
        <v>27293161</v>
      </c>
      <c r="AB35" s="91">
        <f t="shared" si="37"/>
        <v>147551.83080000003</v>
      </c>
    </row>
    <row r="36" spans="1:28" x14ac:dyDescent="0.25">
      <c r="A36" s="48" t="s">
        <v>46</v>
      </c>
      <c r="B36" s="49"/>
      <c r="C36" s="49"/>
      <c r="D36" s="71">
        <f>'[2]2017'!AS22+'[2]2017'!AU22</f>
        <v>4142.8435949999994</v>
      </c>
      <c r="E36" s="72">
        <f>'[2]2017'!AW22+'[2]2017'!AY22</f>
        <v>3444.4354559999997</v>
      </c>
      <c r="F36" s="73">
        <f t="shared" si="25"/>
        <v>3083.0052000000001</v>
      </c>
      <c r="G36" s="73">
        <f t="shared" si="26"/>
        <v>3723.8616029999998</v>
      </c>
      <c r="H36" s="73">
        <f t="shared" si="27"/>
        <v>3476.592834</v>
      </c>
      <c r="I36" s="73">
        <f t="shared" si="28"/>
        <v>4018.5288</v>
      </c>
      <c r="J36" s="73">
        <f t="shared" si="29"/>
        <v>4217.9401109999999</v>
      </c>
      <c r="K36" s="73">
        <f t="shared" si="30"/>
        <v>3926.8309079999999</v>
      </c>
      <c r="L36" s="73">
        <f t="shared" si="31"/>
        <v>3544.2603570000001</v>
      </c>
      <c r="M36" s="73">
        <f t="shared" si="32"/>
        <v>3556.361754</v>
      </c>
      <c r="N36" s="73">
        <f t="shared" si="33"/>
        <v>3546.6717990000002</v>
      </c>
      <c r="O36" s="74">
        <f t="shared" si="34"/>
        <v>3153.3523889999997</v>
      </c>
      <c r="P36" s="75">
        <f t="shared" si="35"/>
        <v>43834.684805999997</v>
      </c>
      <c r="T36" s="85" t="s">
        <v>44</v>
      </c>
      <c r="U36" s="86"/>
      <c r="V36" s="86"/>
      <c r="W36" s="87">
        <f t="shared" si="36"/>
        <v>35256407.310000002</v>
      </c>
      <c r="X36" s="93">
        <f t="shared" si="36"/>
        <v>232692.28824600001</v>
      </c>
      <c r="Y36" s="92">
        <f t="shared" si="36"/>
        <v>46073820.140000001</v>
      </c>
      <c r="Z36" s="92">
        <f t="shared" si="36"/>
        <v>152043.606462</v>
      </c>
      <c r="AA36" s="90">
        <f t="shared" si="37"/>
        <v>81330227.450000003</v>
      </c>
      <c r="AB36" s="91">
        <f t="shared" si="37"/>
        <v>384735.89470800001</v>
      </c>
    </row>
    <row r="37" spans="1:28" x14ac:dyDescent="0.25">
      <c r="A37" s="48" t="s">
        <v>47</v>
      </c>
      <c r="B37" s="49"/>
      <c r="C37" s="49"/>
      <c r="D37" s="71">
        <f>'[2]2017'!AS23+'[2]2017'!AU23</f>
        <v>4903.1855400000004</v>
      </c>
      <c r="E37" s="72">
        <f>'[2]2017'!AW23+'[2]2017'!AY23</f>
        <v>3945.6202499999999</v>
      </c>
      <c r="F37" s="73">
        <f t="shared" si="25"/>
        <v>3886.6109700000002</v>
      </c>
      <c r="G37" s="73">
        <f t="shared" si="26"/>
        <v>4537.5260699999999</v>
      </c>
      <c r="H37" s="73">
        <f t="shared" si="27"/>
        <v>4501.0185000000001</v>
      </c>
      <c r="I37" s="73">
        <f t="shared" si="28"/>
        <v>5648.03316</v>
      </c>
      <c r="J37" s="73">
        <f t="shared" si="29"/>
        <v>5735.5904099999998</v>
      </c>
      <c r="K37" s="73">
        <f t="shared" si="30"/>
        <v>5125.6956300000002</v>
      </c>
      <c r="L37" s="73">
        <f t="shared" si="31"/>
        <v>5025.6670199999999</v>
      </c>
      <c r="M37" s="73">
        <f t="shared" si="32"/>
        <v>5015.8326899999993</v>
      </c>
      <c r="N37" s="73">
        <f t="shared" si="33"/>
        <v>5603.3805300000004</v>
      </c>
      <c r="O37" s="74">
        <f t="shared" si="34"/>
        <v>4239.9670500000002</v>
      </c>
      <c r="P37" s="75">
        <f t="shared" si="35"/>
        <v>58168.127819999994</v>
      </c>
      <c r="T37" s="85" t="s">
        <v>45</v>
      </c>
      <c r="U37" s="86"/>
      <c r="V37" s="86"/>
      <c r="W37" s="87">
        <f t="shared" si="36"/>
        <v>11431468</v>
      </c>
      <c r="X37" s="93">
        <f t="shared" si="36"/>
        <v>75447.688800000004</v>
      </c>
      <c r="Y37" s="92">
        <f t="shared" si="36"/>
        <v>39285540</v>
      </c>
      <c r="Z37" s="92">
        <f t="shared" si="36"/>
        <v>129642.28200000001</v>
      </c>
      <c r="AA37" s="90">
        <f t="shared" si="37"/>
        <v>50717008</v>
      </c>
      <c r="AB37" s="91">
        <f t="shared" si="37"/>
        <v>205089.97080000001</v>
      </c>
    </row>
    <row r="38" spans="1:28" x14ac:dyDescent="0.25">
      <c r="A38" s="48" t="s">
        <v>48</v>
      </c>
      <c r="B38" s="49"/>
      <c r="C38" s="49"/>
      <c r="D38" s="71">
        <f>'[2]2017'!AS24+'[2]2017'!AU24</f>
        <v>4346.6840999999995</v>
      </c>
      <c r="E38" s="72">
        <f>'[2]2017'!AW24+'[2]2017'!AY24</f>
        <v>4011.9057000000003</v>
      </c>
      <c r="F38" s="73">
        <f t="shared" si="25"/>
        <v>3585.5391</v>
      </c>
      <c r="G38" s="73">
        <f t="shared" si="26"/>
        <v>4523.1648000000005</v>
      </c>
      <c r="H38" s="73">
        <f t="shared" si="27"/>
        <v>4402.5002999999997</v>
      </c>
      <c r="I38" s="73">
        <f t="shared" si="28"/>
        <v>5988.1733999999997</v>
      </c>
      <c r="J38" s="73">
        <f t="shared" si="29"/>
        <v>5567.0472</v>
      </c>
      <c r="K38" s="73">
        <f t="shared" si="30"/>
        <v>5106.8555999999999</v>
      </c>
      <c r="L38" s="73">
        <f t="shared" si="31"/>
        <v>5168.5491000000002</v>
      </c>
      <c r="M38" s="73">
        <f t="shared" si="32"/>
        <v>4531.3850999999995</v>
      </c>
      <c r="N38" s="73">
        <f t="shared" si="33"/>
        <v>4734.9159</v>
      </c>
      <c r="O38" s="74">
        <f t="shared" si="34"/>
        <v>4518.7691999999997</v>
      </c>
      <c r="P38" s="75">
        <f t="shared" si="35"/>
        <v>56485.489500000011</v>
      </c>
      <c r="T38" s="85" t="s">
        <v>46</v>
      </c>
      <c r="U38" s="86"/>
      <c r="V38" s="86"/>
      <c r="W38" s="87">
        <f t="shared" si="36"/>
        <v>1488655.38</v>
      </c>
      <c r="X38" s="93">
        <f t="shared" si="36"/>
        <v>9825.125508000001</v>
      </c>
      <c r="Y38" s="92">
        <f t="shared" si="36"/>
        <v>10140295.77</v>
      </c>
      <c r="Z38" s="92">
        <f t="shared" si="36"/>
        <v>33462.976041000002</v>
      </c>
      <c r="AA38" s="90">
        <f t="shared" si="37"/>
        <v>11628951.149999999</v>
      </c>
      <c r="AB38" s="91">
        <f t="shared" si="37"/>
        <v>43288.101548999999</v>
      </c>
    </row>
    <row r="39" spans="1:28" x14ac:dyDescent="0.25">
      <c r="A39" s="48" t="s">
        <v>49</v>
      </c>
      <c r="B39" s="49"/>
      <c r="C39" s="49"/>
      <c r="D39" s="71">
        <f>'[2]2017'!AS25+'[2]2017'!AU25</f>
        <v>0</v>
      </c>
      <c r="E39" s="72">
        <f>'[2]2017'!AW25+'[2]2017'!AY25</f>
        <v>0</v>
      </c>
      <c r="F39" s="73">
        <f t="shared" si="25"/>
        <v>0</v>
      </c>
      <c r="G39" s="73">
        <f t="shared" si="26"/>
        <v>0</v>
      </c>
      <c r="H39" s="73">
        <f t="shared" si="27"/>
        <v>0</v>
      </c>
      <c r="I39" s="73">
        <f t="shared" si="28"/>
        <v>0</v>
      </c>
      <c r="J39" s="73">
        <f t="shared" si="29"/>
        <v>0</v>
      </c>
      <c r="K39" s="73">
        <f t="shared" si="30"/>
        <v>0</v>
      </c>
      <c r="L39" s="73">
        <f t="shared" si="31"/>
        <v>0</v>
      </c>
      <c r="M39" s="73">
        <f t="shared" si="32"/>
        <v>0</v>
      </c>
      <c r="N39" s="73">
        <f t="shared" si="33"/>
        <v>0</v>
      </c>
      <c r="O39" s="74">
        <f t="shared" si="34"/>
        <v>0</v>
      </c>
      <c r="P39" s="75">
        <f t="shared" si="35"/>
        <v>0</v>
      </c>
      <c r="T39" s="85" t="s">
        <v>47</v>
      </c>
      <c r="U39" s="86"/>
      <c r="V39" s="86"/>
      <c r="W39" s="87">
        <f t="shared" si="36"/>
        <v>4530899.2999999989</v>
      </c>
      <c r="X39" s="93">
        <f t="shared" si="36"/>
        <v>29903.935380000003</v>
      </c>
      <c r="Y39" s="92">
        <f t="shared" si="36"/>
        <v>8461490.8000000007</v>
      </c>
      <c r="Z39" s="92">
        <f t="shared" si="36"/>
        <v>27922.919640000004</v>
      </c>
      <c r="AA39" s="90">
        <f t="shared" si="37"/>
        <v>12992390.1</v>
      </c>
      <c r="AB39" s="91">
        <f t="shared" si="37"/>
        <v>57826.855020000003</v>
      </c>
    </row>
    <row r="40" spans="1:28" x14ac:dyDescent="0.25">
      <c r="A40" s="48" t="s">
        <v>50</v>
      </c>
      <c r="B40" s="49"/>
      <c r="C40" s="49"/>
      <c r="D40" s="71">
        <f>'[2]2017'!AS26+'[2]2017'!AU26</f>
        <v>2903.1617999999999</v>
      </c>
      <c r="E40" s="72">
        <f>'[2]2017'!AW26+'[2]2017'!AY26</f>
        <v>2846.2731000000003</v>
      </c>
      <c r="F40" s="73">
        <f t="shared" si="25"/>
        <v>2582.2401</v>
      </c>
      <c r="G40" s="73">
        <f t="shared" si="26"/>
        <v>3033.1257000000001</v>
      </c>
      <c r="H40" s="73">
        <f t="shared" si="27"/>
        <v>2693.6513999999997</v>
      </c>
      <c r="I40" s="73">
        <f t="shared" si="28"/>
        <v>3850.3179</v>
      </c>
      <c r="J40" s="73">
        <f t="shared" si="29"/>
        <v>5098.3316999999997</v>
      </c>
      <c r="K40" s="73">
        <f t="shared" si="30"/>
        <v>5970.5579999999991</v>
      </c>
      <c r="L40" s="73">
        <f t="shared" si="31"/>
        <v>5304.5684999999994</v>
      </c>
      <c r="M40" s="73">
        <f t="shared" si="32"/>
        <v>5201.1894000000002</v>
      </c>
      <c r="N40" s="73">
        <f t="shared" si="33"/>
        <v>6271.5378000000001</v>
      </c>
      <c r="O40" s="74">
        <f t="shared" si="34"/>
        <v>4830.9327000000003</v>
      </c>
      <c r="P40" s="75">
        <f t="shared" si="35"/>
        <v>50585.888099999996</v>
      </c>
      <c r="T40" s="85" t="s">
        <v>48</v>
      </c>
      <c r="U40" s="86"/>
      <c r="V40" s="86"/>
      <c r="W40" s="87">
        <f t="shared" si="36"/>
        <v>2034223</v>
      </c>
      <c r="X40" s="93">
        <f t="shared" si="36"/>
        <v>13425.871800000003</v>
      </c>
      <c r="Y40" s="92">
        <f t="shared" si="36"/>
        <v>13285923</v>
      </c>
      <c r="Z40" s="92">
        <f t="shared" si="36"/>
        <v>43843.545899999997</v>
      </c>
      <c r="AA40" s="90">
        <f t="shared" si="37"/>
        <v>15320146</v>
      </c>
      <c r="AB40" s="91">
        <f t="shared" si="37"/>
        <v>57269.417699999998</v>
      </c>
    </row>
    <row r="41" spans="1:28" x14ac:dyDescent="0.25">
      <c r="A41" s="48" t="s">
        <v>24</v>
      </c>
      <c r="B41" s="49"/>
      <c r="C41" s="49"/>
      <c r="D41" s="71">
        <f>-C12</f>
        <v>-2000</v>
      </c>
      <c r="E41" s="72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P41" s="75">
        <f t="shared" si="35"/>
        <v>-2000</v>
      </c>
      <c r="T41" s="85" t="s">
        <v>49</v>
      </c>
      <c r="U41" s="86"/>
      <c r="V41" s="86"/>
      <c r="W41" s="87">
        <f t="shared" si="36"/>
        <v>0</v>
      </c>
      <c r="X41" s="93">
        <f t="shared" si="36"/>
        <v>0</v>
      </c>
      <c r="Y41" s="92">
        <f t="shared" si="36"/>
        <v>0</v>
      </c>
      <c r="Z41" s="92">
        <f t="shared" si="36"/>
        <v>0</v>
      </c>
      <c r="AA41" s="90">
        <f t="shared" si="37"/>
        <v>0</v>
      </c>
      <c r="AB41" s="91">
        <f t="shared" si="37"/>
        <v>0</v>
      </c>
    </row>
    <row r="42" spans="1:28" ht="15.75" thickBot="1" x14ac:dyDescent="0.3">
      <c r="A42" s="56" t="s">
        <v>51</v>
      </c>
      <c r="B42" s="57"/>
      <c r="C42" s="57"/>
      <c r="D42" s="94">
        <f>SUM(D31:D41)</f>
        <v>100094.47111600002</v>
      </c>
      <c r="E42" s="95">
        <f>SUM(E31:E41)</f>
        <v>94238.199330000018</v>
      </c>
      <c r="F42" s="95">
        <f t="shared" ref="F42:O42" si="38">SUM(F31:F41)</f>
        <v>90860.291378999988</v>
      </c>
      <c r="G42" s="95">
        <f t="shared" si="38"/>
        <v>111752.46145800001</v>
      </c>
      <c r="H42" s="95">
        <f t="shared" si="38"/>
        <v>98371.277004000003</v>
      </c>
      <c r="I42" s="95">
        <f t="shared" si="38"/>
        <v>110418.08283</v>
      </c>
      <c r="J42" s="95">
        <f t="shared" si="38"/>
        <v>111481.89261</v>
      </c>
      <c r="K42" s="95">
        <f t="shared" si="38"/>
        <v>111545.440644</v>
      </c>
      <c r="L42" s="95">
        <f t="shared" si="38"/>
        <v>106605.333153</v>
      </c>
      <c r="M42" s="95">
        <f t="shared" si="38"/>
        <v>103206.92012400001</v>
      </c>
      <c r="N42" s="95">
        <f t="shared" si="38"/>
        <v>115231.66650599999</v>
      </c>
      <c r="O42" s="95">
        <f t="shared" si="38"/>
        <v>103237.938969</v>
      </c>
      <c r="P42" s="96">
        <f>SUM(P31:P41)</f>
        <v>1257043.9751229999</v>
      </c>
      <c r="T42" s="85" t="s">
        <v>50</v>
      </c>
      <c r="U42" s="86"/>
      <c r="V42" s="86"/>
      <c r="W42" s="87">
        <f t="shared" si="36"/>
        <v>5889797</v>
      </c>
      <c r="X42" s="93">
        <f t="shared" si="36"/>
        <v>38872.660199999998</v>
      </c>
      <c r="Y42" s="92">
        <f t="shared" si="36"/>
        <v>4706518</v>
      </c>
      <c r="Z42" s="92">
        <f t="shared" si="36"/>
        <v>15531.509399999999</v>
      </c>
      <c r="AA42" s="90">
        <f t="shared" si="37"/>
        <v>10596315</v>
      </c>
      <c r="AB42" s="91">
        <f t="shared" si="37"/>
        <v>54404.169599999994</v>
      </c>
    </row>
    <row r="43" spans="1:28" ht="15.75" thickBot="1" x14ac:dyDescent="0.3">
      <c r="A43" s="97"/>
      <c r="B43" s="97"/>
      <c r="C43" s="97"/>
      <c r="T43" s="98" t="s">
        <v>51</v>
      </c>
      <c r="U43" s="99"/>
      <c r="V43" s="99"/>
      <c r="W43" s="100">
        <f t="shared" ref="W43:AB43" si="39">SUM(W33:W42)</f>
        <v>111639986.98999999</v>
      </c>
      <c r="X43" s="101">
        <f t="shared" si="39"/>
        <v>736823.91413400008</v>
      </c>
      <c r="Y43" s="102">
        <f t="shared" si="39"/>
        <v>160441270.71000001</v>
      </c>
      <c r="Z43" s="102">
        <f t="shared" si="39"/>
        <v>529456.1933429999</v>
      </c>
      <c r="AA43" s="103">
        <f t="shared" si="39"/>
        <v>272081257.69999999</v>
      </c>
      <c r="AB43" s="104">
        <f t="shared" si="39"/>
        <v>1266280.107477</v>
      </c>
    </row>
    <row r="44" spans="1:28" ht="15.75" thickBot="1" x14ac:dyDescent="0.3">
      <c r="A44" s="97"/>
      <c r="B44" s="97"/>
      <c r="C44" s="97"/>
    </row>
    <row r="45" spans="1:28" ht="15.75" thickBot="1" x14ac:dyDescent="0.3">
      <c r="A45" s="37" t="s">
        <v>67</v>
      </c>
      <c r="B45" s="38"/>
      <c r="C45" s="38"/>
      <c r="D45" s="140" t="s">
        <v>5</v>
      </c>
      <c r="E45" s="67" t="s">
        <v>68</v>
      </c>
      <c r="F45" s="67" t="s">
        <v>27</v>
      </c>
      <c r="G45" s="67" t="s">
        <v>28</v>
      </c>
      <c r="H45" s="67" t="s">
        <v>29</v>
      </c>
      <c r="I45" s="67" t="s">
        <v>30</v>
      </c>
      <c r="J45" s="67" t="s">
        <v>31</v>
      </c>
      <c r="K45" s="67" t="s">
        <v>32</v>
      </c>
      <c r="L45" s="67" t="s">
        <v>33</v>
      </c>
      <c r="M45" s="67" t="s">
        <v>34</v>
      </c>
      <c r="N45" s="67" t="s">
        <v>35</v>
      </c>
      <c r="O45" s="141" t="s">
        <v>36</v>
      </c>
      <c r="P45" s="68" t="s">
        <v>51</v>
      </c>
    </row>
    <row r="46" spans="1:28" x14ac:dyDescent="0.25">
      <c r="A46" s="40"/>
      <c r="B46" s="36"/>
      <c r="C46" s="36"/>
      <c r="D46" s="142"/>
      <c r="O46" s="143"/>
      <c r="P46" s="144"/>
    </row>
    <row r="47" spans="1:28" x14ac:dyDescent="0.25">
      <c r="A47" s="142" t="s">
        <v>69</v>
      </c>
      <c r="D47" s="145">
        <f t="shared" ref="D47:O49" si="40">IF(COUNTBLANK(D$31:D$40)=0,D$42*$C9,0)</f>
        <v>70508.020924274359</v>
      </c>
      <c r="E47" s="73">
        <f t="shared" si="40"/>
        <v>66382.776752226171</v>
      </c>
      <c r="F47" s="73">
        <f t="shared" si="40"/>
        <v>64003.328598557753</v>
      </c>
      <c r="G47" s="73">
        <f t="shared" si="40"/>
        <v>78720.081169001816</v>
      </c>
      <c r="H47" s="73">
        <f t="shared" si="40"/>
        <v>69294.177590563384</v>
      </c>
      <c r="I47" s="73">
        <f t="shared" si="40"/>
        <v>77780.125193662345</v>
      </c>
      <c r="J47" s="73">
        <f t="shared" si="40"/>
        <v>78529.48848407586</v>
      </c>
      <c r="K47" s="73">
        <f t="shared" si="40"/>
        <v>78574.252655972799</v>
      </c>
      <c r="L47" s="73">
        <f t="shared" si="40"/>
        <v>75094.368118295126</v>
      </c>
      <c r="M47" s="73">
        <f t="shared" si="40"/>
        <v>72700.475885422784</v>
      </c>
      <c r="N47" s="73">
        <f t="shared" si="40"/>
        <v>81170.884490994809</v>
      </c>
      <c r="O47" s="74">
        <f t="shared" si="40"/>
        <v>72722.326017082611</v>
      </c>
      <c r="P47" s="75">
        <f>SUM(D47:O47)</f>
        <v>885480.3058801298</v>
      </c>
    </row>
    <row r="48" spans="1:28" x14ac:dyDescent="0.25">
      <c r="A48" s="142" t="s">
        <v>70</v>
      </c>
      <c r="D48" s="145">
        <f t="shared" si="40"/>
        <v>16384.239088458799</v>
      </c>
      <c r="E48" s="73">
        <f t="shared" si="40"/>
        <v>15425.639117461178</v>
      </c>
      <c r="F48" s="73">
        <f t="shared" si="40"/>
        <v>14872.716954319405</v>
      </c>
      <c r="G48" s="73">
        <f t="shared" si="40"/>
        <v>18292.509334803493</v>
      </c>
      <c r="H48" s="73">
        <f t="shared" si="40"/>
        <v>16102.173315873686</v>
      </c>
      <c r="I48" s="73">
        <f t="shared" si="40"/>
        <v>18074.087895218236</v>
      </c>
      <c r="J48" s="73">
        <f t="shared" si="40"/>
        <v>18248.220527978352</v>
      </c>
      <c r="K48" s="73">
        <f t="shared" si="40"/>
        <v>18258.622562886467</v>
      </c>
      <c r="L48" s="73">
        <f t="shared" si="40"/>
        <v>17449.987466933675</v>
      </c>
      <c r="M48" s="73">
        <f t="shared" si="40"/>
        <v>16893.708873644133</v>
      </c>
      <c r="N48" s="73">
        <f t="shared" si="40"/>
        <v>18862.012592162657</v>
      </c>
      <c r="O48" s="74">
        <f t="shared" si="40"/>
        <v>16898.786278690197</v>
      </c>
      <c r="P48" s="75">
        <f>SUM(D48:O48)</f>
        <v>205762.70400843024</v>
      </c>
    </row>
    <row r="49" spans="1:58" x14ac:dyDescent="0.25">
      <c r="A49" s="142" t="s">
        <v>71</v>
      </c>
      <c r="D49" s="145">
        <f t="shared" si="40"/>
        <v>13202.211103266847</v>
      </c>
      <c r="E49" s="73">
        <f>IF(COUNTBLANK(E$31:E$40)=0,E$42*$C11,0)</f>
        <v>12429.783460312663</v>
      </c>
      <c r="F49" s="73">
        <f t="shared" si="40"/>
        <v>11984.245826122822</v>
      </c>
      <c r="G49" s="73">
        <f t="shared" si="40"/>
        <v>14739.87095419469</v>
      </c>
      <c r="H49" s="73">
        <f t="shared" si="40"/>
        <v>12974.926097562929</v>
      </c>
      <c r="I49" s="73">
        <f t="shared" si="40"/>
        <v>14563.869741119421</v>
      </c>
      <c r="J49" s="73">
        <f t="shared" si="40"/>
        <v>14704.183597945772</v>
      </c>
      <c r="K49" s="73">
        <f t="shared" si="40"/>
        <v>14712.565425140736</v>
      </c>
      <c r="L49" s="73">
        <f t="shared" si="40"/>
        <v>14060.977567771193</v>
      </c>
      <c r="M49" s="73">
        <f t="shared" si="40"/>
        <v>13612.735364933094</v>
      </c>
      <c r="N49" s="73">
        <f t="shared" si="40"/>
        <v>15198.769422842528</v>
      </c>
      <c r="O49" s="74">
        <f t="shared" si="40"/>
        <v>13616.826673227182</v>
      </c>
      <c r="P49" s="75">
        <f>SUM(D49:O49)</f>
        <v>165800.96523443988</v>
      </c>
    </row>
    <row r="50" spans="1:58" x14ac:dyDescent="0.25">
      <c r="A50" s="142"/>
      <c r="D50" s="145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4"/>
      <c r="P50" s="75"/>
    </row>
    <row r="51" spans="1:58" x14ac:dyDescent="0.25">
      <c r="A51" s="146" t="s">
        <v>51</v>
      </c>
      <c r="B51" s="147"/>
      <c r="C51" s="147"/>
      <c r="D51" s="148">
        <f>SUM(D47:D49)</f>
        <v>100094.471116</v>
      </c>
      <c r="E51" s="149">
        <f t="shared" ref="E51:O51" si="41">SUM(E47:E49)</f>
        <v>94238.199330000018</v>
      </c>
      <c r="F51" s="149">
        <f t="shared" si="41"/>
        <v>90860.291378999973</v>
      </c>
      <c r="G51" s="149">
        <f t="shared" si="41"/>
        <v>111752.46145800001</v>
      </c>
      <c r="H51" s="149">
        <f t="shared" si="41"/>
        <v>98371.277004000003</v>
      </c>
      <c r="I51" s="149">
        <f t="shared" si="41"/>
        <v>110418.08283</v>
      </c>
      <c r="J51" s="149">
        <f t="shared" si="41"/>
        <v>111481.89260999998</v>
      </c>
      <c r="K51" s="149">
        <f t="shared" si="41"/>
        <v>111545.440644</v>
      </c>
      <c r="L51" s="149">
        <f t="shared" si="41"/>
        <v>106605.33315299999</v>
      </c>
      <c r="M51" s="149">
        <f t="shared" si="41"/>
        <v>103206.92012400001</v>
      </c>
      <c r="N51" s="149">
        <f t="shared" si="41"/>
        <v>115231.66650599999</v>
      </c>
      <c r="O51" s="150">
        <f t="shared" si="41"/>
        <v>103237.938969</v>
      </c>
      <c r="P51" s="151">
        <f>SUM(P47:P49)</f>
        <v>1257043.9751229999</v>
      </c>
    </row>
    <row r="52" spans="1:58" x14ac:dyDescent="0.25">
      <c r="A52" s="40"/>
      <c r="B52" s="36"/>
      <c r="C52" s="36"/>
      <c r="D52" s="152"/>
      <c r="E52" s="153">
        <v>0</v>
      </c>
      <c r="F52" s="153"/>
      <c r="G52" s="153"/>
      <c r="H52" s="153"/>
      <c r="I52" s="153"/>
      <c r="J52" s="153"/>
      <c r="K52" s="153"/>
      <c r="L52" s="153"/>
      <c r="M52" s="153"/>
      <c r="N52" s="153"/>
      <c r="O52" s="154"/>
      <c r="P52" s="155"/>
    </row>
    <row r="53" spans="1:58" ht="15.75" thickBot="1" x14ac:dyDescent="0.3">
      <c r="A53" s="156" t="s">
        <v>72</v>
      </c>
      <c r="B53" s="157"/>
      <c r="C53" s="157"/>
      <c r="D53" s="158">
        <f t="shared" ref="D53:O53" si="42">D42-D51</f>
        <v>0</v>
      </c>
      <c r="E53" s="159"/>
      <c r="F53" s="159"/>
      <c r="G53" s="159">
        <f t="shared" si="42"/>
        <v>0</v>
      </c>
      <c r="H53" s="159">
        <f t="shared" si="42"/>
        <v>0</v>
      </c>
      <c r="I53" s="159">
        <f t="shared" si="42"/>
        <v>0</v>
      </c>
      <c r="J53" s="159">
        <f t="shared" si="42"/>
        <v>0</v>
      </c>
      <c r="K53" s="159">
        <f t="shared" si="42"/>
        <v>0</v>
      </c>
      <c r="L53" s="159">
        <f t="shared" si="42"/>
        <v>0</v>
      </c>
      <c r="M53" s="159">
        <f t="shared" si="42"/>
        <v>0</v>
      </c>
      <c r="N53" s="159">
        <f t="shared" si="42"/>
        <v>0</v>
      </c>
      <c r="O53" s="159">
        <f t="shared" si="42"/>
        <v>0</v>
      </c>
      <c r="P53" s="160">
        <f>ROUND(P42-P51,2)</f>
        <v>0</v>
      </c>
    </row>
    <row r="54" spans="1:58" x14ac:dyDescent="0.25"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58" ht="15.75" thickBot="1" x14ac:dyDescent="0.3"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</row>
    <row r="56" spans="1:58" ht="16.5" thickBot="1" x14ac:dyDescent="0.3">
      <c r="A56" s="162" t="s">
        <v>73</v>
      </c>
      <c r="B56" s="163"/>
      <c r="C56" s="163"/>
      <c r="D56" s="164" t="s">
        <v>5</v>
      </c>
      <c r="E56" s="165" t="s">
        <v>26</v>
      </c>
      <c r="F56" s="165" t="s">
        <v>27</v>
      </c>
      <c r="G56" s="165" t="s">
        <v>28</v>
      </c>
      <c r="H56" s="165" t="s">
        <v>29</v>
      </c>
      <c r="I56" s="165" t="s">
        <v>30</v>
      </c>
      <c r="J56" s="165" t="s">
        <v>31</v>
      </c>
      <c r="K56" s="165" t="s">
        <v>32</v>
      </c>
      <c r="L56" s="165" t="s">
        <v>33</v>
      </c>
      <c r="M56" s="165" t="s">
        <v>34</v>
      </c>
      <c r="N56" s="165" t="s">
        <v>35</v>
      </c>
      <c r="O56" s="165" t="s">
        <v>36</v>
      </c>
      <c r="P56" s="166" t="s">
        <v>51</v>
      </c>
      <c r="Q56" s="161"/>
      <c r="R56" s="161"/>
      <c r="S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</row>
    <row r="57" spans="1:58" ht="15.75" x14ac:dyDescent="0.25">
      <c r="A57" s="167"/>
      <c r="B57" s="125"/>
      <c r="C57" s="125"/>
      <c r="D57" s="168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70"/>
      <c r="Q57" s="161"/>
      <c r="R57" s="161"/>
      <c r="S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</row>
    <row r="58" spans="1:58" x14ac:dyDescent="0.25">
      <c r="A58" s="142" t="str">
        <f>"Opening Balance "</f>
        <v xml:space="preserve">Opening Balance </v>
      </c>
      <c r="D58" s="145">
        <f>'[2]2017'!O77</f>
        <v>112556.18559999998</v>
      </c>
      <c r="E58" s="73">
        <f>D77</f>
        <v>116670.18559999998</v>
      </c>
      <c r="F58" s="73">
        <f t="shared" ref="F58:N58" si="43">E77</f>
        <v>107694.92559999997</v>
      </c>
      <c r="G58" s="73">
        <f t="shared" si="43"/>
        <v>105651.47559999996</v>
      </c>
      <c r="H58" s="73">
        <f t="shared" si="43"/>
        <v>157968.63559999998</v>
      </c>
      <c r="I58" s="73">
        <f t="shared" si="43"/>
        <v>115100.55559999996</v>
      </c>
      <c r="J58" s="73">
        <f t="shared" si="43"/>
        <v>127716.05559999995</v>
      </c>
      <c r="K58" s="73">
        <f t="shared" si="43"/>
        <v>133721.78559999994</v>
      </c>
      <c r="L58" s="73">
        <f t="shared" si="43"/>
        <v>127842.44559999995</v>
      </c>
      <c r="M58" s="73">
        <f t="shared" si="43"/>
        <v>122582.24559999995</v>
      </c>
      <c r="N58" s="73">
        <f t="shared" si="43"/>
        <v>120854.15559999994</v>
      </c>
      <c r="O58" s="73">
        <f>N77</f>
        <v>130182.94559999993</v>
      </c>
      <c r="P58" s="170"/>
      <c r="Q58" s="161"/>
      <c r="R58" s="161"/>
      <c r="S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</row>
    <row r="59" spans="1:58" x14ac:dyDescent="0.25">
      <c r="A59" s="142"/>
      <c r="D59" s="145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70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</row>
    <row r="60" spans="1:58" x14ac:dyDescent="0.25">
      <c r="A60" s="142" t="s">
        <v>74</v>
      </c>
      <c r="D60" s="145">
        <f>C12</f>
        <v>2000</v>
      </c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23">
        <f>SUM(D60:O60)</f>
        <v>2000</v>
      </c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</row>
    <row r="61" spans="1:58" x14ac:dyDescent="0.25">
      <c r="A61" s="142"/>
      <c r="D61" s="14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23">
        <f t="shared" ref="P61:P74" si="44">SUM(D61:O61)</f>
        <v>0</v>
      </c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</row>
    <row r="62" spans="1:58" x14ac:dyDescent="0.25">
      <c r="A62" s="142" t="s">
        <v>75</v>
      </c>
      <c r="D62" s="145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23">
        <f t="shared" si="44"/>
        <v>0</v>
      </c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</row>
    <row r="63" spans="1:58" x14ac:dyDescent="0.25">
      <c r="A63" s="171">
        <v>42491</v>
      </c>
      <c r="D63" s="145">
        <v>84135.89</v>
      </c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23">
        <f t="shared" si="44"/>
        <v>84135.89</v>
      </c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</row>
    <row r="64" spans="1:58" x14ac:dyDescent="0.25">
      <c r="A64" s="171">
        <v>42522</v>
      </c>
      <c r="D64" s="173">
        <v>14571.97</v>
      </c>
      <c r="E64" s="73">
        <v>79666.23</v>
      </c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23">
        <f t="shared" si="44"/>
        <v>94238.2</v>
      </c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</row>
    <row r="65" spans="1:58" x14ac:dyDescent="0.25">
      <c r="A65" s="171">
        <v>42552</v>
      </c>
      <c r="D65" s="145">
        <v>-96593.86</v>
      </c>
      <c r="E65" s="172">
        <v>13456.72</v>
      </c>
      <c r="F65" s="73">
        <v>77403.58</v>
      </c>
      <c r="G65" s="172"/>
      <c r="H65" s="172"/>
      <c r="I65" s="172"/>
      <c r="J65" s="172"/>
      <c r="K65" s="172"/>
      <c r="L65" s="172"/>
      <c r="M65" s="172"/>
      <c r="N65" s="172"/>
      <c r="O65" s="172"/>
      <c r="P65" s="123">
        <f t="shared" si="44"/>
        <v>-5733.5599999999977</v>
      </c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</row>
    <row r="66" spans="1:58" x14ac:dyDescent="0.25">
      <c r="A66" s="171">
        <v>42583</v>
      </c>
      <c r="D66" s="145"/>
      <c r="E66" s="73">
        <v>-102098.21</v>
      </c>
      <c r="F66" s="172">
        <v>14791.18</v>
      </c>
      <c r="G66" s="73">
        <v>96961.29</v>
      </c>
      <c r="H66" s="172"/>
      <c r="I66" s="172"/>
      <c r="J66" s="172"/>
      <c r="K66" s="172"/>
      <c r="L66" s="172"/>
      <c r="M66" s="172"/>
      <c r="N66" s="172"/>
      <c r="O66" s="172"/>
      <c r="P66" s="123">
        <f t="shared" si="44"/>
        <v>9654.2599999999948</v>
      </c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</row>
    <row r="67" spans="1:58" x14ac:dyDescent="0.25">
      <c r="A67" s="171">
        <v>42614</v>
      </c>
      <c r="D67" s="145"/>
      <c r="E67" s="73"/>
      <c r="F67" s="73">
        <v>-94238.21</v>
      </c>
      <c r="G67" s="172">
        <v>46246.17</v>
      </c>
      <c r="H67" s="73">
        <v>52125.11</v>
      </c>
      <c r="I67" s="172"/>
      <c r="J67" s="172"/>
      <c r="K67" s="172"/>
      <c r="L67" s="172"/>
      <c r="M67" s="172"/>
      <c r="N67" s="172"/>
      <c r="O67" s="172"/>
      <c r="P67" s="123">
        <f t="shared" si="44"/>
        <v>4133.0699999999924</v>
      </c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</row>
    <row r="68" spans="1:58" x14ac:dyDescent="0.25">
      <c r="A68" s="171">
        <v>42644</v>
      </c>
      <c r="D68" s="145"/>
      <c r="E68" s="73"/>
      <c r="F68" s="73"/>
      <c r="G68" s="73">
        <v>-90890.3</v>
      </c>
      <c r="H68" s="172">
        <v>16729.28</v>
      </c>
      <c r="I68" s="73">
        <v>93688.8</v>
      </c>
      <c r="J68" s="172"/>
      <c r="K68" s="172"/>
      <c r="L68" s="172"/>
      <c r="M68" s="172"/>
      <c r="N68" s="172"/>
      <c r="O68" s="172"/>
      <c r="P68" s="123">
        <f t="shared" si="44"/>
        <v>19527.78</v>
      </c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</row>
    <row r="69" spans="1:58" x14ac:dyDescent="0.25">
      <c r="A69" s="171">
        <v>42675</v>
      </c>
      <c r="D69" s="145"/>
      <c r="E69" s="73"/>
      <c r="F69" s="73"/>
      <c r="G69" s="73"/>
      <c r="H69" s="73">
        <v>-111722.47</v>
      </c>
      <c r="I69" s="172">
        <f>17297.98-0.01</f>
        <v>17297.97</v>
      </c>
      <c r="J69" s="73">
        <v>94183.92</v>
      </c>
      <c r="K69" s="172"/>
      <c r="L69" s="172"/>
      <c r="M69" s="172"/>
      <c r="N69" s="172"/>
      <c r="O69" s="172"/>
      <c r="P69" s="123">
        <f t="shared" si="44"/>
        <v>-240.58000000000175</v>
      </c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</row>
    <row r="70" spans="1:58" x14ac:dyDescent="0.25">
      <c r="A70" s="171">
        <v>42705</v>
      </c>
      <c r="D70" s="145"/>
      <c r="E70" s="73"/>
      <c r="F70" s="73"/>
      <c r="G70" s="73"/>
      <c r="H70" s="73"/>
      <c r="I70" s="73">
        <v>-98371.27</v>
      </c>
      <c r="J70" s="172">
        <v>22239.89</v>
      </c>
      <c r="K70" s="73">
        <v>89305.57</v>
      </c>
      <c r="L70" s="172"/>
      <c r="M70" s="172"/>
      <c r="N70" s="172"/>
      <c r="O70" s="172"/>
      <c r="P70" s="123">
        <f t="shared" si="44"/>
        <v>13174.190000000002</v>
      </c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</row>
    <row r="71" spans="1:58" x14ac:dyDescent="0.25">
      <c r="A71" s="171">
        <v>42736</v>
      </c>
      <c r="D71" s="145"/>
      <c r="E71" s="73"/>
      <c r="F71" s="73"/>
      <c r="G71" s="73"/>
      <c r="H71" s="73"/>
      <c r="I71" s="73"/>
      <c r="J71" s="73">
        <v>-110418.08</v>
      </c>
      <c r="K71" s="172">
        <v>16296.99</v>
      </c>
      <c r="L71" s="73">
        <v>90308.35</v>
      </c>
      <c r="M71" s="172"/>
      <c r="N71" s="172"/>
      <c r="O71" s="172"/>
      <c r="P71" s="123">
        <f t="shared" si="44"/>
        <v>-3812.7399999999907</v>
      </c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</row>
    <row r="72" spans="1:58" x14ac:dyDescent="0.25">
      <c r="A72" s="171">
        <v>42767</v>
      </c>
      <c r="D72" s="145"/>
      <c r="E72" s="73"/>
      <c r="F72" s="73"/>
      <c r="G72" s="73"/>
      <c r="H72" s="73"/>
      <c r="I72" s="73"/>
      <c r="J72" s="73"/>
      <c r="K72" s="73">
        <v>-111481.9</v>
      </c>
      <c r="L72" s="172">
        <v>15976.91</v>
      </c>
      <c r="M72" s="73">
        <v>87230.01</v>
      </c>
      <c r="N72" s="172"/>
      <c r="O72" s="172"/>
      <c r="P72" s="123">
        <f t="shared" si="44"/>
        <v>-8274.9799999999959</v>
      </c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</row>
    <row r="73" spans="1:58" x14ac:dyDescent="0.25">
      <c r="A73" s="171">
        <v>42795</v>
      </c>
      <c r="D73" s="145"/>
      <c r="E73" s="73"/>
      <c r="F73" s="73"/>
      <c r="G73" s="73"/>
      <c r="H73" s="73"/>
      <c r="I73" s="73"/>
      <c r="J73" s="73"/>
      <c r="K73" s="73"/>
      <c r="L73" s="73">
        <v>-111545.46</v>
      </c>
      <c r="M73" s="172">
        <v>17647.240000000002</v>
      </c>
      <c r="N73" s="73">
        <v>97584.43</v>
      </c>
      <c r="O73" s="172"/>
      <c r="P73" s="123">
        <f t="shared" si="44"/>
        <v>3686.2099999999919</v>
      </c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</row>
    <row r="74" spans="1:58" x14ac:dyDescent="0.25">
      <c r="A74" s="171">
        <v>42826</v>
      </c>
      <c r="D74" s="145"/>
      <c r="E74" s="73"/>
      <c r="F74" s="73"/>
      <c r="G74" s="73"/>
      <c r="H74" s="73"/>
      <c r="I74" s="73"/>
      <c r="J74" s="73"/>
      <c r="K74" s="73"/>
      <c r="L74" s="73"/>
      <c r="M74" s="73">
        <v>-106605.34</v>
      </c>
      <c r="N74" s="172">
        <v>14951.28</v>
      </c>
      <c r="O74" s="73">
        <v>88286.66</v>
      </c>
      <c r="P74" s="123">
        <f t="shared" si="44"/>
        <v>-3367.3999999999942</v>
      </c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</row>
    <row r="75" spans="1:58" x14ac:dyDescent="0.25">
      <c r="A75" s="171">
        <v>42856</v>
      </c>
      <c r="D75" s="145"/>
      <c r="E75" s="73"/>
      <c r="F75" s="73" t="s">
        <v>76</v>
      </c>
      <c r="G75" s="73"/>
      <c r="H75" s="73"/>
      <c r="I75" s="73"/>
      <c r="J75" s="73"/>
      <c r="K75" s="73"/>
      <c r="L75" s="73"/>
      <c r="M75" s="73"/>
      <c r="N75" s="73">
        <v>-103206.92</v>
      </c>
      <c r="O75" s="172">
        <v>16624.87</v>
      </c>
      <c r="P75" s="123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</row>
    <row r="76" spans="1:58" x14ac:dyDescent="0.25">
      <c r="A76" s="171" t="s">
        <v>77</v>
      </c>
      <c r="D76" s="173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>
        <v>-115231.67</v>
      </c>
      <c r="P76" s="123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</row>
    <row r="77" spans="1:58" x14ac:dyDescent="0.25">
      <c r="A77" s="174" t="s">
        <v>78</v>
      </c>
      <c r="B77" s="175"/>
      <c r="C77" s="175"/>
      <c r="D77" s="176">
        <f>SUM(D58:D76)</f>
        <v>116670.18559999998</v>
      </c>
      <c r="E77" s="177">
        <f t="shared" ref="E77:O77" si="45">SUM(E58:E76)</f>
        <v>107694.92559999997</v>
      </c>
      <c r="F77" s="177">
        <f t="shared" si="45"/>
        <v>105651.47559999996</v>
      </c>
      <c r="G77" s="177">
        <f t="shared" si="45"/>
        <v>157968.63559999998</v>
      </c>
      <c r="H77" s="177">
        <f t="shared" si="45"/>
        <v>115100.55559999996</v>
      </c>
      <c r="I77" s="177">
        <f t="shared" si="45"/>
        <v>127716.05559999995</v>
      </c>
      <c r="J77" s="177">
        <f t="shared" si="45"/>
        <v>133721.78559999994</v>
      </c>
      <c r="K77" s="177">
        <f t="shared" si="45"/>
        <v>127842.44559999995</v>
      </c>
      <c r="L77" s="177">
        <f t="shared" si="45"/>
        <v>122582.24559999995</v>
      </c>
      <c r="M77" s="177">
        <f t="shared" si="45"/>
        <v>120854.15559999994</v>
      </c>
      <c r="N77" s="177">
        <f t="shared" si="45"/>
        <v>130182.94559999993</v>
      </c>
      <c r="O77" s="177">
        <f t="shared" si="45"/>
        <v>119862.80559999995</v>
      </c>
      <c r="P77" s="178">
        <f>SUM(P60:P76)</f>
        <v>209120.34000000003</v>
      </c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</row>
    <row r="78" spans="1:58" x14ac:dyDescent="0.25">
      <c r="A78" s="142"/>
      <c r="D78" s="145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170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</row>
    <row r="79" spans="1:58" x14ac:dyDescent="0.25">
      <c r="A79" s="174" t="s">
        <v>79</v>
      </c>
      <c r="B79" s="175"/>
      <c r="C79" s="175"/>
      <c r="D79" s="179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78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</row>
    <row r="80" spans="1:58" x14ac:dyDescent="0.25">
      <c r="A80" s="142"/>
      <c r="D80" s="145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170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</row>
    <row r="81" spans="1:59" ht="15.75" thickBot="1" x14ac:dyDescent="0.3">
      <c r="A81" s="156" t="s">
        <v>72</v>
      </c>
      <c r="B81" s="157"/>
      <c r="C81" s="157"/>
      <c r="D81" s="159">
        <f t="shared" ref="D81:E81" si="46">IF(D79=0,0,ROUND(D77-D79,2))</f>
        <v>0</v>
      </c>
      <c r="E81" s="159">
        <f t="shared" si="46"/>
        <v>0</v>
      </c>
      <c r="F81" s="159">
        <f>IF(F79=0,0,ROUND(F77-F79,2))</f>
        <v>0</v>
      </c>
      <c r="G81" s="159">
        <f t="shared" ref="G81:O81" si="47">IF(G79=0,0,ROUND(G77-G79,2))</f>
        <v>0</v>
      </c>
      <c r="H81" s="159">
        <f t="shared" si="47"/>
        <v>0</v>
      </c>
      <c r="I81" s="159">
        <f t="shared" si="47"/>
        <v>0</v>
      </c>
      <c r="J81" s="159">
        <f t="shared" si="47"/>
        <v>0</v>
      </c>
      <c r="K81" s="159">
        <f t="shared" si="47"/>
        <v>0</v>
      </c>
      <c r="L81" s="159">
        <f t="shared" si="47"/>
        <v>0</v>
      </c>
      <c r="M81" s="159">
        <f t="shared" si="47"/>
        <v>0</v>
      </c>
      <c r="N81" s="159">
        <f t="shared" si="47"/>
        <v>0</v>
      </c>
      <c r="O81" s="159">
        <f t="shared" si="47"/>
        <v>0</v>
      </c>
      <c r="P81" s="18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</row>
    <row r="82" spans="1:59" x14ac:dyDescent="0.25"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</row>
    <row r="83" spans="1:59" x14ac:dyDescent="0.25"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</row>
    <row r="84" spans="1:59" x14ac:dyDescent="0.25">
      <c r="A84" s="161" t="s">
        <v>80</v>
      </c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</row>
    <row r="85" spans="1:59" x14ac:dyDescent="0.25"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</row>
    <row r="86" spans="1:59" x14ac:dyDescent="0.25"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</row>
    <row r="87" spans="1:59" x14ac:dyDescent="0.25"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</row>
  </sheetData>
  <mergeCells count="41">
    <mergeCell ref="AV14:AY14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Q14"/>
    <mergeCell ref="AR14:AU14"/>
    <mergeCell ref="Z15:AA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AX15:AY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D28:E28"/>
    <mergeCell ref="W30:AB30"/>
    <mergeCell ref="W31:X31"/>
    <mergeCell ref="Y31:Z31"/>
    <mergeCell ref="AA31:AB31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headerFooter>
    <oddFooter>&amp;L&amp;Z&amp;F&amp;RDate Printed: &amp;D</oddFooter>
  </headerFooter>
  <colBreaks count="1" manualBreakCount="1">
    <brk id="16" min="29" max="74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BH87"/>
  <sheetViews>
    <sheetView zoomScale="80" zoomScaleNormal="80" workbookViewId="0">
      <pane xSplit="3" topLeftCell="G1" activePane="topRight" state="frozen"/>
      <selection pane="topRight" activeCell="S18" sqref="S18"/>
    </sheetView>
  </sheetViews>
  <sheetFormatPr defaultColWidth="8.85546875" defaultRowHeight="15" x14ac:dyDescent="0.25"/>
  <cols>
    <col min="1" max="1" width="23.140625" customWidth="1"/>
    <col min="2" max="2" width="13" bestFit="1" customWidth="1"/>
    <col min="3" max="3" width="9.28515625" customWidth="1"/>
    <col min="4" max="4" width="13" bestFit="1" customWidth="1"/>
    <col min="5" max="11" width="12.7109375" customWidth="1"/>
    <col min="12" max="12" width="13.85546875" bestFit="1" customWidth="1"/>
    <col min="13" max="15" width="12.7109375" customWidth="1"/>
    <col min="16" max="16" width="13.85546875" bestFit="1" customWidth="1"/>
    <col min="17" max="17" width="10.42578125" customWidth="1"/>
    <col min="18" max="18" width="10.85546875" customWidth="1"/>
    <col min="19" max="19" width="10.42578125" customWidth="1"/>
    <col min="20" max="20" width="12.7109375" customWidth="1"/>
    <col min="21" max="21" width="10.42578125" customWidth="1"/>
    <col min="22" max="22" width="11.28515625" bestFit="1" customWidth="1"/>
    <col min="23" max="23" width="13.42578125" bestFit="1" customWidth="1"/>
    <col min="24" max="24" width="12.28515625" bestFit="1" customWidth="1"/>
    <col min="25" max="25" width="13.42578125" bestFit="1" customWidth="1"/>
    <col min="26" max="26" width="12.28515625" bestFit="1" customWidth="1"/>
    <col min="27" max="27" width="13.42578125" bestFit="1" customWidth="1"/>
    <col min="28" max="28" width="11.7109375" customWidth="1"/>
    <col min="29" max="29" width="11.7109375" bestFit="1" customWidth="1"/>
    <col min="30" max="30" width="12.28515625" bestFit="1" customWidth="1"/>
    <col min="31" max="31" width="11.7109375" customWidth="1"/>
    <col min="32" max="32" width="11.28515625" bestFit="1" customWidth="1"/>
    <col min="33" max="33" width="11.7109375" bestFit="1" customWidth="1"/>
    <col min="34" max="34" width="12.28515625" bestFit="1" customWidth="1"/>
    <col min="35" max="35" width="11.7109375" bestFit="1" customWidth="1"/>
    <col min="36" max="36" width="11.28515625" bestFit="1" customWidth="1"/>
    <col min="37" max="37" width="11.7109375" bestFit="1" customWidth="1"/>
    <col min="38" max="38" width="12.28515625" bestFit="1" customWidth="1"/>
    <col min="39" max="39" width="11.7109375" bestFit="1" customWidth="1"/>
    <col min="40" max="40" width="11.28515625" bestFit="1" customWidth="1"/>
    <col min="41" max="41" width="11.7109375" bestFit="1" customWidth="1"/>
    <col min="42" max="42" width="12.28515625" bestFit="1" customWidth="1"/>
    <col min="43" max="43" width="11.7109375" bestFit="1" customWidth="1"/>
    <col min="44" max="44" width="11.28515625" bestFit="1" customWidth="1"/>
    <col min="45" max="45" width="11.7109375" customWidth="1"/>
    <col min="46" max="46" width="11.28515625" bestFit="1" customWidth="1"/>
    <col min="47" max="47" width="11.7109375" bestFit="1" customWidth="1"/>
    <col min="48" max="48" width="10.42578125" customWidth="1"/>
    <col min="49" max="49" width="11.7109375" bestFit="1" customWidth="1"/>
    <col min="50" max="50" width="10.42578125" customWidth="1"/>
    <col min="51" max="51" width="11.7109375" customWidth="1"/>
    <col min="52" max="52" width="10.42578125" customWidth="1"/>
    <col min="53" max="53" width="11.42578125" bestFit="1" customWidth="1"/>
    <col min="54" max="54" width="12.7109375" bestFit="1" customWidth="1"/>
    <col min="55" max="55" width="11.42578125" bestFit="1" customWidth="1"/>
    <col min="56" max="56" width="12.7109375" bestFit="1" customWidth="1"/>
    <col min="57" max="57" width="11.42578125" bestFit="1" customWidth="1"/>
    <col min="58" max="58" width="12.7109375" bestFit="1" customWidth="1"/>
    <col min="59" max="61" width="10.42578125" customWidth="1"/>
  </cols>
  <sheetData>
    <row r="1" spans="1:60" ht="18.75" x14ac:dyDescent="0.3">
      <c r="A1" s="1" t="s">
        <v>0</v>
      </c>
      <c r="B1" s="1"/>
      <c r="C1" s="1"/>
    </row>
    <row r="2" spans="1:60" ht="18.75" x14ac:dyDescent="0.3">
      <c r="A2" s="1" t="str">
        <f>"For the year ended 30 June "&amp;YEAR(C6)</f>
        <v>For the year ended 30 June 2019</v>
      </c>
      <c r="B2" s="1"/>
      <c r="C2" s="1"/>
    </row>
    <row r="3" spans="1:60" ht="3" customHeight="1" thickBot="1" x14ac:dyDescent="0.3"/>
    <row r="4" spans="1:60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60" x14ac:dyDescent="0.25">
      <c r="A5" s="11" t="s">
        <v>4</v>
      </c>
      <c r="B5" s="12"/>
      <c r="C5" s="13" t="s">
        <v>5</v>
      </c>
      <c r="E5" s="14" t="s">
        <v>6</v>
      </c>
      <c r="F5" s="15"/>
      <c r="G5" s="15"/>
      <c r="H5" s="16"/>
      <c r="J5" s="17" t="s">
        <v>7</v>
      </c>
      <c r="K5" s="18"/>
      <c r="L5" s="18"/>
      <c r="M5" s="18"/>
      <c r="N5" s="18"/>
      <c r="O5" s="18"/>
      <c r="P5" s="18"/>
      <c r="Q5" s="18"/>
      <c r="R5" s="19"/>
    </row>
    <row r="6" spans="1:60" x14ac:dyDescent="0.25">
      <c r="A6" s="11" t="s">
        <v>8</v>
      </c>
      <c r="B6" s="12"/>
      <c r="C6" s="20">
        <v>43646</v>
      </c>
      <c r="E6" s="21" t="s">
        <v>9</v>
      </c>
      <c r="F6" s="15"/>
      <c r="G6" s="22">
        <v>5469.56</v>
      </c>
      <c r="H6" s="16"/>
      <c r="J6" s="17" t="s">
        <v>10</v>
      </c>
      <c r="K6" s="18"/>
      <c r="L6" s="18"/>
      <c r="M6" s="18"/>
      <c r="N6" s="18"/>
      <c r="O6" s="18"/>
      <c r="P6" s="18"/>
      <c r="Q6" s="18"/>
      <c r="R6" s="19"/>
    </row>
    <row r="7" spans="1:60" x14ac:dyDescent="0.25">
      <c r="A7" s="11" t="s">
        <v>11</v>
      </c>
      <c r="B7" s="12"/>
      <c r="C7" s="23">
        <v>6.6E-3</v>
      </c>
      <c r="E7" s="21"/>
      <c r="F7" s="15"/>
      <c r="G7" s="15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60" x14ac:dyDescent="0.25">
      <c r="A8" s="11" t="s">
        <v>13</v>
      </c>
      <c r="B8" s="12"/>
      <c r="C8" s="23">
        <v>3.3E-3</v>
      </c>
      <c r="E8" s="21" t="s">
        <v>14</v>
      </c>
      <c r="F8" s="15"/>
      <c r="G8" s="139">
        <f>G6*0.5/C7</f>
        <v>414360.60606060608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60" x14ac:dyDescent="0.25">
      <c r="A9" s="11" t="s">
        <v>16</v>
      </c>
      <c r="B9" s="24">
        <v>125394000</v>
      </c>
      <c r="C9" s="25">
        <f>B9/SUM($B$9:$B$11)</f>
        <v>0.70441474077586408</v>
      </c>
      <c r="E9" s="21" t="s">
        <v>17</v>
      </c>
      <c r="F9" s="15"/>
      <c r="G9" s="139">
        <f>(G6*0.5)/C8</f>
        <v>828721.21212121216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60" x14ac:dyDescent="0.25">
      <c r="A10" s="11" t="s">
        <v>19</v>
      </c>
      <c r="B10" s="24">
        <v>29138320</v>
      </c>
      <c r="C10" s="25">
        <f>B10/SUM($B$9:$B$11)</f>
        <v>0.1636877532373493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60" x14ac:dyDescent="0.25">
      <c r="A11" s="11" t="s">
        <v>22</v>
      </c>
      <c r="B11" s="24">
        <v>23479287</v>
      </c>
      <c r="C11" s="25">
        <f>B11/SUM($B$9:$B$11)</f>
        <v>0.13189750598678657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60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33"/>
      <c r="K12" s="34"/>
      <c r="L12" s="34"/>
      <c r="M12" s="34"/>
      <c r="N12" s="34"/>
      <c r="O12" s="34"/>
      <c r="P12" s="34"/>
      <c r="Q12" s="34"/>
      <c r="R12" s="35"/>
    </row>
    <row r="13" spans="1:60" ht="15.75" thickBot="1" x14ac:dyDescent="0.3">
      <c r="A13" s="36"/>
      <c r="B13" s="36"/>
      <c r="C13" s="36"/>
    </row>
    <row r="14" spans="1:60" ht="15.75" thickBot="1" x14ac:dyDescent="0.3">
      <c r="A14" s="37" t="s">
        <v>25</v>
      </c>
      <c r="B14" s="38"/>
      <c r="C14" s="39"/>
      <c r="D14" s="237" t="s">
        <v>5</v>
      </c>
      <c r="E14" s="238"/>
      <c r="F14" s="238"/>
      <c r="G14" s="238"/>
      <c r="H14" s="239" t="s">
        <v>26</v>
      </c>
      <c r="I14" s="238"/>
      <c r="J14" s="238"/>
      <c r="K14" s="240"/>
      <c r="L14" s="235" t="s">
        <v>27</v>
      </c>
      <c r="M14" s="235"/>
      <c r="N14" s="235"/>
      <c r="O14" s="235"/>
      <c r="P14" s="235" t="s">
        <v>28</v>
      </c>
      <c r="Q14" s="235"/>
      <c r="R14" s="235"/>
      <c r="S14" s="235"/>
      <c r="T14" s="235" t="s">
        <v>29</v>
      </c>
      <c r="U14" s="235"/>
      <c r="V14" s="235"/>
      <c r="W14" s="235"/>
      <c r="X14" s="235" t="s">
        <v>30</v>
      </c>
      <c r="Y14" s="235"/>
      <c r="Z14" s="235"/>
      <c r="AA14" s="235"/>
      <c r="AB14" s="235" t="s">
        <v>31</v>
      </c>
      <c r="AC14" s="235"/>
      <c r="AD14" s="235"/>
      <c r="AE14" s="235"/>
      <c r="AF14" s="235" t="s">
        <v>32</v>
      </c>
      <c r="AG14" s="235"/>
      <c r="AH14" s="235"/>
      <c r="AI14" s="235"/>
      <c r="AJ14" s="235" t="s">
        <v>33</v>
      </c>
      <c r="AK14" s="235"/>
      <c r="AL14" s="235"/>
      <c r="AM14" s="235"/>
      <c r="AN14" s="235" t="s">
        <v>34</v>
      </c>
      <c r="AO14" s="235"/>
      <c r="AP14" s="235"/>
      <c r="AQ14" s="235"/>
      <c r="AR14" s="235" t="s">
        <v>35</v>
      </c>
      <c r="AS14" s="235"/>
      <c r="AT14" s="235"/>
      <c r="AU14" s="239"/>
      <c r="AV14" s="234" t="s">
        <v>36</v>
      </c>
      <c r="AW14" s="235"/>
      <c r="AX14" s="235"/>
      <c r="AY14" s="236"/>
      <c r="BG14" s="105"/>
      <c r="BH14" s="105"/>
    </row>
    <row r="15" spans="1:60" x14ac:dyDescent="0.25">
      <c r="A15" s="40"/>
      <c r="B15" s="36"/>
      <c r="C15" s="36"/>
      <c r="D15" s="227" t="s">
        <v>37</v>
      </c>
      <c r="E15" s="228"/>
      <c r="F15" s="227" t="s">
        <v>38</v>
      </c>
      <c r="G15" s="228"/>
      <c r="H15" s="227" t="s">
        <v>37</v>
      </c>
      <c r="I15" s="228"/>
      <c r="J15" s="227" t="s">
        <v>38</v>
      </c>
      <c r="K15" s="228"/>
      <c r="L15" s="227" t="s">
        <v>37</v>
      </c>
      <c r="M15" s="228"/>
      <c r="N15" s="227" t="s">
        <v>38</v>
      </c>
      <c r="O15" s="228"/>
      <c r="P15" s="227" t="s">
        <v>37</v>
      </c>
      <c r="Q15" s="228"/>
      <c r="R15" s="227" t="s">
        <v>38</v>
      </c>
      <c r="S15" s="228"/>
      <c r="T15" s="227" t="s">
        <v>37</v>
      </c>
      <c r="U15" s="228"/>
      <c r="V15" s="227" t="s">
        <v>38</v>
      </c>
      <c r="W15" s="228"/>
      <c r="X15" s="227" t="s">
        <v>37</v>
      </c>
      <c r="Y15" s="228"/>
      <c r="Z15" s="227" t="s">
        <v>38</v>
      </c>
      <c r="AA15" s="228"/>
      <c r="AB15" s="227" t="s">
        <v>37</v>
      </c>
      <c r="AC15" s="228"/>
      <c r="AD15" s="227" t="s">
        <v>38</v>
      </c>
      <c r="AE15" s="228"/>
      <c r="AF15" s="227" t="s">
        <v>37</v>
      </c>
      <c r="AG15" s="228"/>
      <c r="AH15" s="227" t="s">
        <v>38</v>
      </c>
      <c r="AI15" s="228"/>
      <c r="AJ15" s="227" t="s">
        <v>37</v>
      </c>
      <c r="AK15" s="228"/>
      <c r="AL15" s="227" t="s">
        <v>38</v>
      </c>
      <c r="AM15" s="228"/>
      <c r="AN15" s="227" t="s">
        <v>37</v>
      </c>
      <c r="AO15" s="228"/>
      <c r="AP15" s="225" t="s">
        <v>38</v>
      </c>
      <c r="AQ15" s="228"/>
      <c r="AR15" s="225" t="s">
        <v>37</v>
      </c>
      <c r="AS15" s="228"/>
      <c r="AT15" s="225" t="s">
        <v>38</v>
      </c>
      <c r="AU15" s="225"/>
      <c r="AV15" s="229" t="s">
        <v>37</v>
      </c>
      <c r="AW15" s="228"/>
      <c r="AX15" s="225" t="s">
        <v>38</v>
      </c>
      <c r="AY15" s="226"/>
      <c r="BG15" s="116"/>
      <c r="BH15" s="117"/>
    </row>
    <row r="16" spans="1:60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  <c r="BG16" s="118"/>
      <c r="BH16" s="118"/>
    </row>
    <row r="17" spans="1:60" x14ac:dyDescent="0.25">
      <c r="A17" s="48" t="s">
        <v>41</v>
      </c>
      <c r="B17" s="49"/>
      <c r="C17" s="49"/>
      <c r="D17" s="50">
        <v>2587144</v>
      </c>
      <c r="E17" s="51">
        <f t="shared" ref="E17:E26" si="0">D17*$C$7</f>
        <v>17075.150399999999</v>
      </c>
      <c r="F17" s="50">
        <v>3202478</v>
      </c>
      <c r="G17" s="51">
        <f t="shared" ref="G17:G26" si="1">F17*$C$8</f>
        <v>10568.1774</v>
      </c>
      <c r="H17" s="50">
        <v>2699407</v>
      </c>
      <c r="I17" s="51">
        <f t="shared" ref="I17:I26" si="2">H17*$C$7</f>
        <v>17816.086200000002</v>
      </c>
      <c r="J17" s="50">
        <v>2774972</v>
      </c>
      <c r="K17" s="51">
        <f t="shared" ref="K17:K26" si="3">J17*$C$8</f>
        <v>9157.4076000000005</v>
      </c>
      <c r="L17" s="50">
        <v>2660227</v>
      </c>
      <c r="M17" s="51">
        <f t="shared" ref="M17:M26" si="4">L17*$C$7</f>
        <v>17557.498199999998</v>
      </c>
      <c r="N17" s="50">
        <v>3183415</v>
      </c>
      <c r="O17" s="51">
        <f t="shared" ref="O17:O26" si="5">N17*$C$8</f>
        <v>10505.2695</v>
      </c>
      <c r="P17" s="50">
        <v>2726671</v>
      </c>
      <c r="Q17" s="51">
        <f t="shared" ref="Q17:AY26" si="6">P17*$C$7</f>
        <v>17996.028600000001</v>
      </c>
      <c r="R17" s="50">
        <v>2943534</v>
      </c>
      <c r="S17" s="51">
        <f t="shared" ref="S17:S26" si="7">R17*$C$8</f>
        <v>9713.6622000000007</v>
      </c>
      <c r="T17" s="50">
        <v>2776289</v>
      </c>
      <c r="U17" s="51">
        <v>18324</v>
      </c>
      <c r="V17" s="50">
        <v>2734546</v>
      </c>
      <c r="W17" s="51">
        <v>9024</v>
      </c>
      <c r="X17" s="50">
        <v>2824473</v>
      </c>
      <c r="Y17" s="51">
        <v>18642</v>
      </c>
      <c r="Z17" s="50">
        <v>3075423</v>
      </c>
      <c r="AA17" s="51">
        <v>10149</v>
      </c>
      <c r="AB17" s="50">
        <v>2522991</v>
      </c>
      <c r="AC17" s="51">
        <v>16652</v>
      </c>
      <c r="AD17" s="50">
        <v>2871109</v>
      </c>
      <c r="AE17" s="51">
        <v>9475</v>
      </c>
      <c r="AF17" s="50">
        <v>2492748</v>
      </c>
      <c r="AG17" s="51">
        <v>16452</v>
      </c>
      <c r="AH17" s="50">
        <v>2875809</v>
      </c>
      <c r="AI17" s="51">
        <v>9490</v>
      </c>
      <c r="AJ17" s="50">
        <v>2755897</v>
      </c>
      <c r="AK17" s="51">
        <v>18189</v>
      </c>
      <c r="AL17" s="50">
        <v>3424285</v>
      </c>
      <c r="AM17" s="51">
        <v>11300</v>
      </c>
      <c r="AN17" s="50">
        <v>2635097</v>
      </c>
      <c r="AO17" s="51">
        <v>17392</v>
      </c>
      <c r="AP17" s="52">
        <v>2560782</v>
      </c>
      <c r="AQ17" s="51">
        <v>8451</v>
      </c>
      <c r="AR17" s="52">
        <v>2552502</v>
      </c>
      <c r="AS17" s="51">
        <v>16847</v>
      </c>
      <c r="AT17" s="52">
        <v>3407881</v>
      </c>
      <c r="AU17" s="53">
        <v>11246</v>
      </c>
      <c r="AV17" s="54">
        <v>2229348</v>
      </c>
      <c r="AW17" s="51">
        <v>14714</v>
      </c>
      <c r="AX17" s="52">
        <v>3057030</v>
      </c>
      <c r="AY17" s="55">
        <v>10088</v>
      </c>
      <c r="AZ17" s="53"/>
      <c r="BG17" s="53"/>
      <c r="BH17" s="53"/>
    </row>
    <row r="18" spans="1:60" x14ac:dyDescent="0.25">
      <c r="A18" s="48" t="s">
        <v>42</v>
      </c>
      <c r="B18" s="49"/>
      <c r="C18" s="49"/>
      <c r="D18" s="50"/>
      <c r="E18" s="51">
        <f t="shared" si="0"/>
        <v>0</v>
      </c>
      <c r="F18" s="50"/>
      <c r="G18" s="51">
        <f t="shared" si="1"/>
        <v>0</v>
      </c>
      <c r="H18" s="50"/>
      <c r="I18" s="51">
        <f t="shared" si="2"/>
        <v>0</v>
      </c>
      <c r="J18" s="50"/>
      <c r="K18" s="51">
        <f t="shared" si="3"/>
        <v>0</v>
      </c>
      <c r="L18" s="50"/>
      <c r="M18" s="51">
        <f t="shared" si="4"/>
        <v>0</v>
      </c>
      <c r="N18" s="50"/>
      <c r="O18" s="51">
        <f t="shared" si="5"/>
        <v>0</v>
      </c>
      <c r="P18" s="50"/>
      <c r="Q18" s="51">
        <f t="shared" si="6"/>
        <v>0</v>
      </c>
      <c r="R18" s="50"/>
      <c r="S18" s="51">
        <f t="shared" si="7"/>
        <v>0</v>
      </c>
      <c r="T18" s="50"/>
      <c r="U18" s="51">
        <f t="shared" si="6"/>
        <v>0</v>
      </c>
      <c r="V18" s="192"/>
      <c r="W18" s="51">
        <f t="shared" si="6"/>
        <v>0</v>
      </c>
      <c r="X18" s="192"/>
      <c r="Y18" s="51">
        <f t="shared" si="6"/>
        <v>0</v>
      </c>
      <c r="Z18" s="192"/>
      <c r="AA18" s="51">
        <f t="shared" si="6"/>
        <v>0</v>
      </c>
      <c r="AB18" s="192"/>
      <c r="AC18" s="51">
        <f t="shared" si="6"/>
        <v>0</v>
      </c>
      <c r="AD18" s="192"/>
      <c r="AE18" s="51">
        <f t="shared" si="6"/>
        <v>0</v>
      </c>
      <c r="AF18" s="192"/>
      <c r="AG18" s="51">
        <f t="shared" si="6"/>
        <v>0</v>
      </c>
      <c r="AH18" s="192"/>
      <c r="AI18" s="51">
        <f t="shared" si="6"/>
        <v>0</v>
      </c>
      <c r="AJ18" s="192"/>
      <c r="AK18" s="51">
        <f t="shared" si="6"/>
        <v>0</v>
      </c>
      <c r="AL18" s="192"/>
      <c r="AM18" s="51">
        <f t="shared" si="6"/>
        <v>0</v>
      </c>
      <c r="AN18" s="192"/>
      <c r="AO18" s="51">
        <f t="shared" si="6"/>
        <v>0</v>
      </c>
      <c r="AP18" s="193"/>
      <c r="AQ18" s="51">
        <f t="shared" si="6"/>
        <v>0</v>
      </c>
      <c r="AR18" s="193"/>
      <c r="AS18" s="51">
        <f t="shared" si="6"/>
        <v>0</v>
      </c>
      <c r="AT18" s="193"/>
      <c r="AU18" s="51">
        <f t="shared" si="6"/>
        <v>0</v>
      </c>
      <c r="AV18" s="194"/>
      <c r="AW18" s="51">
        <f t="shared" si="6"/>
        <v>0</v>
      </c>
      <c r="AX18" s="193"/>
      <c r="AY18" s="51">
        <f t="shared" si="6"/>
        <v>0</v>
      </c>
      <c r="AZ18" s="53"/>
      <c r="BG18" s="53"/>
      <c r="BH18" s="53"/>
    </row>
    <row r="19" spans="1:60" x14ac:dyDescent="0.25">
      <c r="A19" s="48" t="s">
        <v>43</v>
      </c>
      <c r="B19" s="49"/>
      <c r="C19" s="49"/>
      <c r="D19" s="50">
        <v>1426293</v>
      </c>
      <c r="E19" s="51">
        <f t="shared" si="0"/>
        <v>9413.5337999999992</v>
      </c>
      <c r="F19" s="50">
        <v>771194</v>
      </c>
      <c r="G19" s="51">
        <f t="shared" si="1"/>
        <v>2544.9402</v>
      </c>
      <c r="H19" s="50">
        <v>1445780</v>
      </c>
      <c r="I19" s="51">
        <f t="shared" si="2"/>
        <v>9542.1479999999992</v>
      </c>
      <c r="J19" s="50">
        <v>803572</v>
      </c>
      <c r="K19" s="51">
        <f t="shared" si="3"/>
        <v>2651.7876000000001</v>
      </c>
      <c r="L19" s="50">
        <v>1071065</v>
      </c>
      <c r="M19" s="51">
        <f t="shared" si="4"/>
        <v>7069.0289999999995</v>
      </c>
      <c r="N19" s="50">
        <v>719906</v>
      </c>
      <c r="O19" s="51">
        <f t="shared" si="5"/>
        <v>2375.6898000000001</v>
      </c>
      <c r="P19" s="50">
        <v>976548</v>
      </c>
      <c r="Q19" s="51">
        <f t="shared" si="6"/>
        <v>6445.2168000000001</v>
      </c>
      <c r="R19" s="50">
        <v>763309</v>
      </c>
      <c r="S19" s="51">
        <f t="shared" si="7"/>
        <v>2518.9196999999999</v>
      </c>
      <c r="T19" s="50">
        <v>1137811</v>
      </c>
      <c r="U19" s="51">
        <v>7510</v>
      </c>
      <c r="V19" s="50">
        <v>792812</v>
      </c>
      <c r="W19" s="51">
        <v>2616</v>
      </c>
      <c r="X19" s="50">
        <v>1122092</v>
      </c>
      <c r="Y19" s="51">
        <v>7406</v>
      </c>
      <c r="Z19" s="50">
        <v>702782</v>
      </c>
      <c r="AA19" s="51">
        <v>2319</v>
      </c>
      <c r="AB19" s="50">
        <v>1081060</v>
      </c>
      <c r="AC19" s="51">
        <v>7135</v>
      </c>
      <c r="AD19" s="50">
        <v>758707</v>
      </c>
      <c r="AE19" s="51">
        <v>2504</v>
      </c>
      <c r="AF19" s="50">
        <v>1103024</v>
      </c>
      <c r="AG19" s="51">
        <v>7280</v>
      </c>
      <c r="AH19" s="50">
        <v>788597</v>
      </c>
      <c r="AI19" s="51">
        <v>2602</v>
      </c>
      <c r="AJ19" s="50">
        <v>755362</v>
      </c>
      <c r="AK19" s="51">
        <v>4985</v>
      </c>
      <c r="AL19" s="50">
        <v>1510724</v>
      </c>
      <c r="AM19" s="51">
        <v>4985</v>
      </c>
      <c r="AN19" s="50">
        <v>1090151</v>
      </c>
      <c r="AO19" s="51">
        <v>7195</v>
      </c>
      <c r="AP19" s="52">
        <v>734358</v>
      </c>
      <c r="AQ19" s="51">
        <v>2423</v>
      </c>
      <c r="AR19" s="52">
        <v>956764</v>
      </c>
      <c r="AS19" s="51">
        <v>6315</v>
      </c>
      <c r="AT19" s="52">
        <v>712199</v>
      </c>
      <c r="AU19" s="53">
        <v>2350</v>
      </c>
      <c r="AV19" s="54">
        <v>772672</v>
      </c>
      <c r="AW19" s="51">
        <v>5100</v>
      </c>
      <c r="AX19" s="52">
        <v>561781</v>
      </c>
      <c r="AY19" s="55">
        <v>1854</v>
      </c>
      <c r="AZ19" s="53"/>
      <c r="BG19" s="53"/>
      <c r="BH19" s="53"/>
    </row>
    <row r="20" spans="1:60" x14ac:dyDescent="0.25">
      <c r="A20" s="48" t="s">
        <v>44</v>
      </c>
      <c r="B20" s="49"/>
      <c r="C20" s="49"/>
      <c r="D20" s="50">
        <v>2662108.2200000002</v>
      </c>
      <c r="E20" s="51">
        <f t="shared" si="0"/>
        <v>17569.914252000002</v>
      </c>
      <c r="F20" s="50">
        <v>3659156.66</v>
      </c>
      <c r="G20" s="51">
        <f t="shared" si="1"/>
        <v>12075.216978</v>
      </c>
      <c r="H20" s="50">
        <v>2608583.21</v>
      </c>
      <c r="I20" s="51">
        <f t="shared" si="2"/>
        <v>17216.649185999999</v>
      </c>
      <c r="J20" s="50">
        <v>3712115.22</v>
      </c>
      <c r="K20" s="51">
        <f t="shared" si="3"/>
        <v>12249.980226000001</v>
      </c>
      <c r="L20" s="50">
        <v>3024925.1</v>
      </c>
      <c r="M20" s="51">
        <f t="shared" si="4"/>
        <v>19964.505659999999</v>
      </c>
      <c r="N20" s="50">
        <v>4372894</v>
      </c>
      <c r="O20" s="51">
        <f t="shared" si="5"/>
        <v>14430.5502</v>
      </c>
      <c r="P20" s="50">
        <v>3039324.92</v>
      </c>
      <c r="Q20" s="51">
        <f t="shared" si="6"/>
        <v>20059.544471999998</v>
      </c>
      <c r="R20" s="50">
        <v>4748969.92</v>
      </c>
      <c r="S20" s="51">
        <f t="shared" si="7"/>
        <v>15671.600736</v>
      </c>
      <c r="T20" s="50">
        <v>3008443</v>
      </c>
      <c r="U20" s="51">
        <v>19856</v>
      </c>
      <c r="V20" s="50">
        <v>4765772</v>
      </c>
      <c r="W20" s="51">
        <v>15727</v>
      </c>
      <c r="X20" s="50">
        <v>3231602</v>
      </c>
      <c r="Y20" s="51">
        <v>21329</v>
      </c>
      <c r="Z20" s="50">
        <v>3531865</v>
      </c>
      <c r="AA20" s="51">
        <v>11655</v>
      </c>
      <c r="AB20" s="50">
        <v>3095207</v>
      </c>
      <c r="AC20" s="51">
        <v>20428</v>
      </c>
      <c r="AD20" s="50">
        <v>3972227</v>
      </c>
      <c r="AE20" s="51">
        <v>13108</v>
      </c>
      <c r="AF20" s="50">
        <v>3098170</v>
      </c>
      <c r="AG20" s="51">
        <v>20448</v>
      </c>
      <c r="AH20" s="50">
        <v>3455912</v>
      </c>
      <c r="AI20" s="51">
        <v>11405</v>
      </c>
      <c r="AJ20" s="50">
        <v>3317204</v>
      </c>
      <c r="AK20" s="51">
        <v>21894</v>
      </c>
      <c r="AL20" s="50">
        <v>4516319</v>
      </c>
      <c r="AM20" s="51">
        <v>14904</v>
      </c>
      <c r="AN20" s="50">
        <v>3044416</v>
      </c>
      <c r="AO20" s="51">
        <v>20093</v>
      </c>
      <c r="AP20" s="52">
        <v>3900861</v>
      </c>
      <c r="AQ20" s="51">
        <v>12873</v>
      </c>
      <c r="AR20" s="52">
        <v>3039163</v>
      </c>
      <c r="AS20" s="51">
        <v>20058</v>
      </c>
      <c r="AT20" s="52">
        <v>4230927</v>
      </c>
      <c r="AU20" s="53">
        <v>13962</v>
      </c>
      <c r="AV20" s="54">
        <v>2837153</v>
      </c>
      <c r="AW20" s="51">
        <v>18725</v>
      </c>
      <c r="AX20" s="52">
        <v>3518708</v>
      </c>
      <c r="AY20" s="55">
        <v>11612</v>
      </c>
      <c r="AZ20" s="53"/>
      <c r="BG20" s="53"/>
      <c r="BH20" s="53"/>
    </row>
    <row r="21" spans="1:60" x14ac:dyDescent="0.25">
      <c r="A21" s="48" t="s">
        <v>45</v>
      </c>
      <c r="B21" s="49"/>
      <c r="C21" s="49"/>
      <c r="D21" s="50">
        <v>848592</v>
      </c>
      <c r="E21" s="51">
        <f t="shared" si="0"/>
        <v>5600.7071999999998</v>
      </c>
      <c r="F21" s="50">
        <v>3018894</v>
      </c>
      <c r="G21" s="51">
        <f t="shared" si="1"/>
        <v>9962.3502000000008</v>
      </c>
      <c r="H21" s="50">
        <v>989383</v>
      </c>
      <c r="I21" s="51">
        <f t="shared" si="2"/>
        <v>6529.9278000000004</v>
      </c>
      <c r="J21" s="50">
        <v>3335272</v>
      </c>
      <c r="K21" s="51">
        <f t="shared" si="3"/>
        <v>11006.3976</v>
      </c>
      <c r="L21" s="50">
        <v>915726</v>
      </c>
      <c r="M21" s="51">
        <f t="shared" si="4"/>
        <v>6043.7915999999996</v>
      </c>
      <c r="N21" s="50">
        <v>3426927</v>
      </c>
      <c r="O21" s="51">
        <f t="shared" si="5"/>
        <v>11308.8591</v>
      </c>
      <c r="P21" s="50">
        <v>1143088</v>
      </c>
      <c r="Q21" s="51">
        <f t="shared" si="6"/>
        <v>7544.3807999999999</v>
      </c>
      <c r="R21" s="50">
        <v>4351208</v>
      </c>
      <c r="S21" s="51">
        <f t="shared" si="7"/>
        <v>14358.9864</v>
      </c>
      <c r="T21" s="50">
        <v>984675</v>
      </c>
      <c r="U21" s="51">
        <v>6499</v>
      </c>
      <c r="V21" s="50">
        <v>4346683</v>
      </c>
      <c r="W21" s="51">
        <v>14344</v>
      </c>
      <c r="X21" s="50">
        <v>1256136</v>
      </c>
      <c r="Y21" s="51">
        <v>8290</v>
      </c>
      <c r="Z21" s="50">
        <v>4400345</v>
      </c>
      <c r="AA21" s="51">
        <v>14521</v>
      </c>
      <c r="AB21" s="50">
        <v>1270882</v>
      </c>
      <c r="AC21" s="51">
        <v>8388</v>
      </c>
      <c r="AD21" s="50">
        <v>4279479</v>
      </c>
      <c r="AE21" s="51">
        <v>14122</v>
      </c>
      <c r="AF21" s="50">
        <v>1128502</v>
      </c>
      <c r="AG21" s="51">
        <v>7448</v>
      </c>
      <c r="AH21" s="50">
        <v>3997018</v>
      </c>
      <c r="AI21" s="51">
        <v>13190</v>
      </c>
      <c r="AJ21" s="50">
        <v>1123736</v>
      </c>
      <c r="AK21" s="51">
        <v>7417</v>
      </c>
      <c r="AL21" s="50">
        <v>4054179</v>
      </c>
      <c r="AM21" s="51">
        <v>13379</v>
      </c>
      <c r="AN21" s="50">
        <v>1106630</v>
      </c>
      <c r="AO21" s="51">
        <v>7304</v>
      </c>
      <c r="AP21" s="52">
        <v>3911344</v>
      </c>
      <c r="AQ21" s="51">
        <v>12907</v>
      </c>
      <c r="AR21" s="52">
        <v>1048669</v>
      </c>
      <c r="AS21" s="51">
        <v>6921</v>
      </c>
      <c r="AT21" s="52">
        <v>4071008</v>
      </c>
      <c r="AU21" s="53">
        <v>13434</v>
      </c>
      <c r="AV21" s="54">
        <v>844404</v>
      </c>
      <c r="AW21" s="51">
        <v>5573</v>
      </c>
      <c r="AX21" s="52">
        <v>3163174</v>
      </c>
      <c r="AY21" s="55">
        <v>10438</v>
      </c>
      <c r="AZ21" s="53"/>
      <c r="BG21" s="53"/>
      <c r="BH21" s="53"/>
    </row>
    <row r="22" spans="1:60" x14ac:dyDescent="0.25">
      <c r="A22" s="48" t="s">
        <v>46</v>
      </c>
      <c r="B22" s="49"/>
      <c r="C22" s="49"/>
      <c r="D22" s="50">
        <v>80968.23</v>
      </c>
      <c r="E22" s="51">
        <f t="shared" si="0"/>
        <v>534.39031799999998</v>
      </c>
      <c r="F22" s="50">
        <v>768829.36</v>
      </c>
      <c r="G22" s="51">
        <f t="shared" si="1"/>
        <v>2537.136888</v>
      </c>
      <c r="H22" s="50">
        <v>121431.25</v>
      </c>
      <c r="I22" s="51">
        <f t="shared" si="2"/>
        <v>801.44624999999996</v>
      </c>
      <c r="J22" s="50">
        <v>824532.3</v>
      </c>
      <c r="K22" s="51">
        <f t="shared" si="3"/>
        <v>2720.9565900000002</v>
      </c>
      <c r="L22" s="50">
        <v>108564</v>
      </c>
      <c r="M22" s="51">
        <f t="shared" si="4"/>
        <v>716.52239999999995</v>
      </c>
      <c r="N22" s="50">
        <v>768538</v>
      </c>
      <c r="O22" s="51">
        <f t="shared" si="5"/>
        <v>2536.1754000000001</v>
      </c>
      <c r="P22" s="50">
        <v>130791.01</v>
      </c>
      <c r="Q22" s="51">
        <f t="shared" si="6"/>
        <v>863.22066599999994</v>
      </c>
      <c r="R22" s="50">
        <v>929595.77</v>
      </c>
      <c r="S22" s="51">
        <f t="shared" si="7"/>
        <v>3067.666041</v>
      </c>
      <c r="T22" s="50">
        <v>132693</v>
      </c>
      <c r="U22" s="51">
        <v>876</v>
      </c>
      <c r="V22" s="50">
        <v>1030768</v>
      </c>
      <c r="W22" s="51">
        <v>3402</v>
      </c>
      <c r="X22" s="50">
        <v>131012</v>
      </c>
      <c r="Y22" s="51">
        <v>865</v>
      </c>
      <c r="Z22" s="50">
        <v>889195</v>
      </c>
      <c r="AA22" s="51">
        <v>2934</v>
      </c>
      <c r="AB22" s="50">
        <v>133613</v>
      </c>
      <c r="AC22" s="51">
        <v>882</v>
      </c>
      <c r="AD22" s="50">
        <v>868099</v>
      </c>
      <c r="AE22" s="51">
        <v>2865</v>
      </c>
      <c r="AF22" s="50">
        <v>150686</v>
      </c>
      <c r="AG22" s="51">
        <v>995</v>
      </c>
      <c r="AH22" s="50">
        <v>855878</v>
      </c>
      <c r="AI22" s="51">
        <v>2824</v>
      </c>
      <c r="AJ22" s="50">
        <v>147310</v>
      </c>
      <c r="AK22" s="51">
        <v>972</v>
      </c>
      <c r="AL22" s="50">
        <v>978869</v>
      </c>
      <c r="AM22" s="51">
        <v>3230</v>
      </c>
      <c r="AN22" s="50">
        <v>121996</v>
      </c>
      <c r="AO22" s="51">
        <v>805</v>
      </c>
      <c r="AP22" s="52">
        <v>865072</v>
      </c>
      <c r="AQ22" s="51">
        <v>2855</v>
      </c>
      <c r="AR22" s="52">
        <v>117266</v>
      </c>
      <c r="AS22" s="51">
        <v>774</v>
      </c>
      <c r="AT22" s="52">
        <v>960229</v>
      </c>
      <c r="AU22" s="53">
        <v>3169</v>
      </c>
      <c r="AV22" s="54">
        <v>78191</v>
      </c>
      <c r="AW22" s="51">
        <v>516</v>
      </c>
      <c r="AX22" s="52">
        <v>810914</v>
      </c>
      <c r="AY22" s="55">
        <v>2676</v>
      </c>
      <c r="AZ22" s="53"/>
      <c r="BG22" s="53"/>
      <c r="BH22" s="53"/>
    </row>
    <row r="23" spans="1:60" x14ac:dyDescent="0.25">
      <c r="A23" s="48" t="s">
        <v>47</v>
      </c>
      <c r="B23" s="49"/>
      <c r="C23" s="49"/>
      <c r="D23" s="50">
        <v>353205.9</v>
      </c>
      <c r="E23" s="51">
        <f t="shared" si="0"/>
        <v>2331.1589400000003</v>
      </c>
      <c r="F23" s="50">
        <v>602290.1</v>
      </c>
      <c r="G23" s="51">
        <f t="shared" si="1"/>
        <v>1987.5573299999999</v>
      </c>
      <c r="H23" s="50">
        <v>373052.1</v>
      </c>
      <c r="I23" s="51">
        <f t="shared" si="2"/>
        <v>2462.1438599999997</v>
      </c>
      <c r="J23" s="50">
        <v>656951.1</v>
      </c>
      <c r="K23" s="51">
        <f t="shared" si="3"/>
        <v>2167.9386300000001</v>
      </c>
      <c r="L23" s="50">
        <v>371030.6</v>
      </c>
      <c r="M23" s="51">
        <f t="shared" si="4"/>
        <v>2448.8019599999998</v>
      </c>
      <c r="N23" s="50">
        <v>711256.5</v>
      </c>
      <c r="O23" s="51">
        <f t="shared" si="5"/>
        <v>2347.1464500000002</v>
      </c>
      <c r="P23" s="50">
        <v>414361</v>
      </c>
      <c r="Q23" s="51">
        <f t="shared" si="6"/>
        <v>2734.7826</v>
      </c>
      <c r="R23" s="50">
        <v>828721</v>
      </c>
      <c r="S23" s="51">
        <f t="shared" si="7"/>
        <v>2734.7793000000001</v>
      </c>
      <c r="T23" s="50">
        <v>376217</v>
      </c>
      <c r="U23" s="51">
        <v>2483</v>
      </c>
      <c r="V23" s="50">
        <v>764124</v>
      </c>
      <c r="W23" s="51">
        <v>2522</v>
      </c>
      <c r="X23" s="50">
        <v>418772</v>
      </c>
      <c r="Y23" s="51">
        <v>2764</v>
      </c>
      <c r="Z23" s="50">
        <v>765208</v>
      </c>
      <c r="AA23" s="51">
        <v>2525</v>
      </c>
      <c r="AB23" s="50">
        <v>414962</v>
      </c>
      <c r="AC23" s="51">
        <v>2739</v>
      </c>
      <c r="AD23" s="50">
        <v>696452</v>
      </c>
      <c r="AE23" s="51">
        <v>2298</v>
      </c>
      <c r="AF23" s="50">
        <v>395682</v>
      </c>
      <c r="AG23" s="51">
        <v>2612</v>
      </c>
      <c r="AH23" s="50">
        <v>686429</v>
      </c>
      <c r="AI23" s="51">
        <v>2265</v>
      </c>
      <c r="AJ23" s="50">
        <v>385837</v>
      </c>
      <c r="AK23" s="51">
        <v>2547</v>
      </c>
      <c r="AL23" s="50">
        <v>600234</v>
      </c>
      <c r="AM23" s="51">
        <v>1981</v>
      </c>
      <c r="AN23" s="50">
        <v>393204</v>
      </c>
      <c r="AO23" s="51">
        <v>2595</v>
      </c>
      <c r="AP23" s="52">
        <v>538107</v>
      </c>
      <c r="AQ23" s="51">
        <v>1776</v>
      </c>
      <c r="AR23" s="52">
        <v>358290</v>
      </c>
      <c r="AS23" s="51">
        <v>2365</v>
      </c>
      <c r="AT23" s="52">
        <v>675474</v>
      </c>
      <c r="AU23" s="53">
        <v>2229</v>
      </c>
      <c r="AV23" s="54">
        <v>265549</v>
      </c>
      <c r="AW23" s="51">
        <v>1753</v>
      </c>
      <c r="AX23" s="52">
        <v>440662</v>
      </c>
      <c r="AY23" s="55">
        <v>1454</v>
      </c>
      <c r="AZ23" s="53"/>
      <c r="BG23" s="53"/>
      <c r="BH23" s="53"/>
    </row>
    <row r="24" spans="1:60" x14ac:dyDescent="0.25">
      <c r="A24" s="48" t="s">
        <v>48</v>
      </c>
      <c r="B24" s="49"/>
      <c r="C24" s="49"/>
      <c r="D24" s="50">
        <v>135266</v>
      </c>
      <c r="E24" s="51">
        <f t="shared" si="0"/>
        <v>892.75559999999996</v>
      </c>
      <c r="F24" s="50">
        <v>1095105</v>
      </c>
      <c r="G24" s="51">
        <f t="shared" si="1"/>
        <v>3613.8465000000001</v>
      </c>
      <c r="H24" s="50">
        <v>147333</v>
      </c>
      <c r="I24" s="51">
        <f t="shared" si="2"/>
        <v>972.39779999999996</v>
      </c>
      <c r="J24" s="50">
        <v>1180317</v>
      </c>
      <c r="K24" s="51">
        <f t="shared" si="3"/>
        <v>3895.0461</v>
      </c>
      <c r="L24" s="50">
        <v>168896</v>
      </c>
      <c r="M24" s="51">
        <f t="shared" si="4"/>
        <v>1114.7136</v>
      </c>
      <c r="N24" s="50">
        <v>1129480</v>
      </c>
      <c r="O24" s="51">
        <f t="shared" si="5"/>
        <v>3727.2840000000001</v>
      </c>
      <c r="P24" s="50">
        <v>183592</v>
      </c>
      <c r="Q24" s="51">
        <f t="shared" si="6"/>
        <v>1211.7072000000001</v>
      </c>
      <c r="R24" s="50">
        <v>1465365</v>
      </c>
      <c r="S24" s="51">
        <f t="shared" si="7"/>
        <v>4835.7044999999998</v>
      </c>
      <c r="T24" s="50">
        <v>159876</v>
      </c>
      <c r="U24" s="51">
        <v>1055</v>
      </c>
      <c r="V24" s="50">
        <v>1295348</v>
      </c>
      <c r="W24" s="51">
        <v>4275</v>
      </c>
      <c r="X24" s="50">
        <v>207191</v>
      </c>
      <c r="Y24" s="51">
        <v>1367</v>
      </c>
      <c r="Z24" s="50">
        <v>1480731</v>
      </c>
      <c r="AA24" s="51">
        <v>4886</v>
      </c>
      <c r="AB24" s="50">
        <v>183253</v>
      </c>
      <c r="AC24" s="51">
        <v>1209</v>
      </c>
      <c r="AD24" s="50">
        <v>1277135</v>
      </c>
      <c r="AE24" s="51">
        <v>4215</v>
      </c>
      <c r="AF24" s="50">
        <v>188997</v>
      </c>
      <c r="AG24" s="51">
        <v>1247</v>
      </c>
      <c r="AH24" s="50">
        <v>1210256</v>
      </c>
      <c r="AI24" s="51">
        <v>3994</v>
      </c>
      <c r="AJ24" s="50">
        <v>189604</v>
      </c>
      <c r="AK24" s="51">
        <v>1251</v>
      </c>
      <c r="AL24" s="50">
        <v>1182602</v>
      </c>
      <c r="AM24" s="51">
        <v>3903</v>
      </c>
      <c r="AN24" s="50">
        <v>156684</v>
      </c>
      <c r="AO24" s="51">
        <v>1034</v>
      </c>
      <c r="AP24" s="52">
        <v>1143172</v>
      </c>
      <c r="AQ24" s="51">
        <v>3772</v>
      </c>
      <c r="AR24" s="52">
        <v>155614</v>
      </c>
      <c r="AS24" s="51">
        <v>1027</v>
      </c>
      <c r="AT24" s="52">
        <v>1194400</v>
      </c>
      <c r="AU24" s="53">
        <v>3942</v>
      </c>
      <c r="AV24" s="54">
        <v>125758</v>
      </c>
      <c r="AW24" s="51">
        <v>830</v>
      </c>
      <c r="AX24" s="52">
        <v>971471</v>
      </c>
      <c r="AY24" s="55">
        <v>3206</v>
      </c>
      <c r="AZ24" s="53"/>
      <c r="BG24" s="53"/>
      <c r="BH24" s="53"/>
    </row>
    <row r="25" spans="1:60" x14ac:dyDescent="0.25">
      <c r="A25" s="48" t="s">
        <v>49</v>
      </c>
      <c r="B25" s="49"/>
      <c r="C25" s="49"/>
      <c r="D25" s="50"/>
      <c r="E25" s="51">
        <f t="shared" si="0"/>
        <v>0</v>
      </c>
      <c r="F25" s="50"/>
      <c r="G25" s="51">
        <f t="shared" si="1"/>
        <v>0</v>
      </c>
      <c r="H25" s="50"/>
      <c r="I25" s="51">
        <f t="shared" si="2"/>
        <v>0</v>
      </c>
      <c r="J25" s="50"/>
      <c r="K25" s="51">
        <f t="shared" si="3"/>
        <v>0</v>
      </c>
      <c r="L25" s="50"/>
      <c r="M25" s="51">
        <f t="shared" si="4"/>
        <v>0</v>
      </c>
      <c r="N25" s="50"/>
      <c r="O25" s="51">
        <f t="shared" si="5"/>
        <v>0</v>
      </c>
      <c r="P25" s="50"/>
      <c r="Q25" s="51">
        <f t="shared" si="6"/>
        <v>0</v>
      </c>
      <c r="R25" s="50"/>
      <c r="S25" s="51">
        <f t="shared" si="6"/>
        <v>0</v>
      </c>
      <c r="T25" s="50"/>
      <c r="U25" s="51">
        <f t="shared" si="6"/>
        <v>0</v>
      </c>
      <c r="V25" s="50"/>
      <c r="W25" s="51">
        <f t="shared" si="6"/>
        <v>0</v>
      </c>
      <c r="X25" s="50"/>
      <c r="Y25" s="51">
        <f t="shared" si="6"/>
        <v>0</v>
      </c>
      <c r="Z25" s="50"/>
      <c r="AA25" s="51">
        <f t="shared" si="6"/>
        <v>0</v>
      </c>
      <c r="AB25" s="50"/>
      <c r="AC25" s="51">
        <f t="shared" si="6"/>
        <v>0</v>
      </c>
      <c r="AD25" s="50"/>
      <c r="AE25" s="51">
        <f t="shared" si="6"/>
        <v>0</v>
      </c>
      <c r="AF25" s="50"/>
      <c r="AG25" s="51">
        <f t="shared" si="6"/>
        <v>0</v>
      </c>
      <c r="AH25" s="50"/>
      <c r="AI25" s="51">
        <f t="shared" si="6"/>
        <v>0</v>
      </c>
      <c r="AJ25" s="50"/>
      <c r="AK25" s="51">
        <f t="shared" si="6"/>
        <v>0</v>
      </c>
      <c r="AL25" s="50"/>
      <c r="AM25" s="51">
        <f t="shared" si="6"/>
        <v>0</v>
      </c>
      <c r="AN25" s="50"/>
      <c r="AO25" s="51">
        <f t="shared" si="6"/>
        <v>0</v>
      </c>
      <c r="AP25" s="52"/>
      <c r="AQ25" s="51">
        <f t="shared" si="6"/>
        <v>0</v>
      </c>
      <c r="AR25" s="52"/>
      <c r="AS25" s="51">
        <f t="shared" si="6"/>
        <v>0</v>
      </c>
      <c r="AT25" s="52"/>
      <c r="AU25" s="51">
        <f t="shared" si="6"/>
        <v>0</v>
      </c>
      <c r="AV25" s="54"/>
      <c r="AW25" s="51">
        <f t="shared" si="6"/>
        <v>0</v>
      </c>
      <c r="AX25" s="52"/>
      <c r="AY25" s="51">
        <f t="shared" si="6"/>
        <v>0</v>
      </c>
      <c r="AZ25" s="53"/>
      <c r="BG25" s="53"/>
      <c r="BH25" s="53"/>
    </row>
    <row r="26" spans="1:60" x14ac:dyDescent="0.25">
      <c r="A26" s="48" t="s">
        <v>50</v>
      </c>
      <c r="B26" s="49"/>
      <c r="C26" s="49"/>
      <c r="D26" s="50">
        <v>541103</v>
      </c>
      <c r="E26" s="51">
        <f t="shared" si="0"/>
        <v>3571.2797999999998</v>
      </c>
      <c r="F26" s="50">
        <v>441678</v>
      </c>
      <c r="G26" s="51">
        <f t="shared" si="1"/>
        <v>1457.5373999999999</v>
      </c>
      <c r="H26" s="50">
        <v>543904</v>
      </c>
      <c r="I26" s="51">
        <f t="shared" si="2"/>
        <v>3589.7664</v>
      </c>
      <c r="J26" s="50">
        <v>466415</v>
      </c>
      <c r="K26" s="51">
        <f t="shared" si="3"/>
        <v>1539.1695</v>
      </c>
      <c r="L26" s="50">
        <v>530182</v>
      </c>
      <c r="M26" s="51">
        <f t="shared" si="4"/>
        <v>3499.2012</v>
      </c>
      <c r="N26" s="50">
        <v>488482</v>
      </c>
      <c r="O26" s="51">
        <f t="shared" si="5"/>
        <v>1611.9906000000001</v>
      </c>
      <c r="P26" s="50">
        <v>694851</v>
      </c>
      <c r="Q26" s="51">
        <f t="shared" si="6"/>
        <v>4586.0165999999999</v>
      </c>
      <c r="R26" s="50">
        <v>518576</v>
      </c>
      <c r="S26" s="51">
        <f t="shared" si="7"/>
        <v>1711.3008</v>
      </c>
      <c r="T26" s="50">
        <v>622598</v>
      </c>
      <c r="U26" s="51">
        <v>4109</v>
      </c>
      <c r="V26" s="50">
        <v>571889</v>
      </c>
      <c r="W26" s="51">
        <v>1887</v>
      </c>
      <c r="X26" s="50">
        <v>834115</v>
      </c>
      <c r="Y26" s="51">
        <v>5505</v>
      </c>
      <c r="Z26" s="50">
        <v>585978</v>
      </c>
      <c r="AA26" s="51">
        <v>1934</v>
      </c>
      <c r="AB26" s="50">
        <v>680489</v>
      </c>
      <c r="AC26" s="51">
        <v>4491</v>
      </c>
      <c r="AD26" s="50">
        <v>555928</v>
      </c>
      <c r="AE26" s="51">
        <v>1835</v>
      </c>
      <c r="AF26" s="50">
        <v>680148</v>
      </c>
      <c r="AG26" s="51">
        <v>4489</v>
      </c>
      <c r="AH26" s="50">
        <v>528106</v>
      </c>
      <c r="AI26" s="51">
        <v>1743</v>
      </c>
      <c r="AJ26" s="50">
        <v>625480</v>
      </c>
      <c r="AK26" s="51">
        <v>4128</v>
      </c>
      <c r="AL26" s="50">
        <v>520362</v>
      </c>
      <c r="AM26" s="51">
        <v>1717</v>
      </c>
      <c r="AN26" s="50">
        <v>678716</v>
      </c>
      <c r="AO26" s="51">
        <v>4480</v>
      </c>
      <c r="AP26" s="52">
        <v>559683</v>
      </c>
      <c r="AQ26" s="51">
        <v>1847</v>
      </c>
      <c r="AR26" s="52">
        <v>805445</v>
      </c>
      <c r="AS26" s="51">
        <v>5316</v>
      </c>
      <c r="AT26" s="52">
        <v>670098</v>
      </c>
      <c r="AU26" s="53">
        <v>2211</v>
      </c>
      <c r="AV26" s="54">
        <v>804370</v>
      </c>
      <c r="AW26" s="51">
        <v>5309</v>
      </c>
      <c r="AX26" s="52">
        <v>581308</v>
      </c>
      <c r="AY26" s="55">
        <v>1918</v>
      </c>
      <c r="AZ26" s="53"/>
      <c r="BG26" s="53"/>
      <c r="BH26" s="53"/>
    </row>
    <row r="27" spans="1:60" ht="15.75" thickBot="1" x14ac:dyDescent="0.3">
      <c r="A27" s="56" t="s">
        <v>51</v>
      </c>
      <c r="B27" s="57"/>
      <c r="C27" s="57"/>
      <c r="D27" s="58">
        <f t="shared" ref="D27:AY27" si="8">SUM(D17:D26)</f>
        <v>8634680.3500000015</v>
      </c>
      <c r="E27" s="59">
        <f t="shared" si="8"/>
        <v>56988.890309999988</v>
      </c>
      <c r="F27" s="58">
        <f t="shared" si="8"/>
        <v>13559625.119999999</v>
      </c>
      <c r="G27" s="59">
        <f t="shared" si="8"/>
        <v>44746.762896000007</v>
      </c>
      <c r="H27" s="58">
        <f t="shared" si="8"/>
        <v>8928873.5599999987</v>
      </c>
      <c r="I27" s="59">
        <f t="shared" si="8"/>
        <v>58930.565495999996</v>
      </c>
      <c r="J27" s="58">
        <f t="shared" si="8"/>
        <v>13754146.620000001</v>
      </c>
      <c r="K27" s="59">
        <f t="shared" si="8"/>
        <v>45388.683846</v>
      </c>
      <c r="L27" s="58">
        <f t="shared" si="8"/>
        <v>8850615.6999999993</v>
      </c>
      <c r="M27" s="59">
        <f t="shared" si="8"/>
        <v>58414.063619999994</v>
      </c>
      <c r="N27" s="58">
        <f t="shared" si="8"/>
        <v>14800898.5</v>
      </c>
      <c r="O27" s="59">
        <f t="shared" si="8"/>
        <v>48842.965049999999</v>
      </c>
      <c r="P27" s="58">
        <f t="shared" si="8"/>
        <v>9309226.9299999997</v>
      </c>
      <c r="Q27" s="59">
        <f t="shared" si="8"/>
        <v>61440.897737999992</v>
      </c>
      <c r="R27" s="58">
        <f t="shared" si="8"/>
        <v>16549278.689999999</v>
      </c>
      <c r="S27" s="59">
        <f t="shared" si="8"/>
        <v>54612.619676999995</v>
      </c>
      <c r="T27" s="58">
        <f t="shared" si="8"/>
        <v>9198602</v>
      </c>
      <c r="U27" s="59">
        <f t="shared" si="8"/>
        <v>60712</v>
      </c>
      <c r="V27" s="58">
        <f t="shared" si="8"/>
        <v>16301942</v>
      </c>
      <c r="W27" s="59">
        <f t="shared" si="8"/>
        <v>53797</v>
      </c>
      <c r="X27" s="58">
        <f t="shared" si="8"/>
        <v>10025393</v>
      </c>
      <c r="Y27" s="59">
        <f t="shared" si="8"/>
        <v>66168</v>
      </c>
      <c r="Z27" s="58">
        <f t="shared" si="8"/>
        <v>15431527</v>
      </c>
      <c r="AA27" s="59">
        <f t="shared" si="8"/>
        <v>50923</v>
      </c>
      <c r="AB27" s="58">
        <f t="shared" si="8"/>
        <v>9382457</v>
      </c>
      <c r="AC27" s="59">
        <f t="shared" si="8"/>
        <v>61924</v>
      </c>
      <c r="AD27" s="58">
        <f t="shared" si="8"/>
        <v>15279136</v>
      </c>
      <c r="AE27" s="59">
        <f t="shared" si="8"/>
        <v>50422</v>
      </c>
      <c r="AF27" s="58">
        <f t="shared" si="8"/>
        <v>9237957</v>
      </c>
      <c r="AG27" s="59">
        <f t="shared" si="8"/>
        <v>60971</v>
      </c>
      <c r="AH27" s="58">
        <f t="shared" si="8"/>
        <v>14398005</v>
      </c>
      <c r="AI27" s="59">
        <f t="shared" si="8"/>
        <v>47513</v>
      </c>
      <c r="AJ27" s="58">
        <f t="shared" si="8"/>
        <v>9300430</v>
      </c>
      <c r="AK27" s="59">
        <f t="shared" si="8"/>
        <v>61383</v>
      </c>
      <c r="AL27" s="58">
        <f t="shared" si="8"/>
        <v>16787574</v>
      </c>
      <c r="AM27" s="59">
        <f t="shared" si="8"/>
        <v>55399</v>
      </c>
      <c r="AN27" s="58">
        <f t="shared" si="8"/>
        <v>9226894</v>
      </c>
      <c r="AO27" s="59">
        <f t="shared" si="8"/>
        <v>60898</v>
      </c>
      <c r="AP27" s="60">
        <f t="shared" si="8"/>
        <v>14213379</v>
      </c>
      <c r="AQ27" s="59">
        <f t="shared" si="8"/>
        <v>46904</v>
      </c>
      <c r="AR27" s="60">
        <f t="shared" si="8"/>
        <v>9033713</v>
      </c>
      <c r="AS27" s="59">
        <f t="shared" si="8"/>
        <v>59623</v>
      </c>
      <c r="AT27" s="60">
        <f t="shared" si="8"/>
        <v>15922216</v>
      </c>
      <c r="AU27" s="60">
        <f t="shared" si="8"/>
        <v>52543</v>
      </c>
      <c r="AV27" s="61">
        <f t="shared" si="8"/>
        <v>7957445</v>
      </c>
      <c r="AW27" s="59">
        <f t="shared" si="8"/>
        <v>52520</v>
      </c>
      <c r="AX27" s="60">
        <f t="shared" si="8"/>
        <v>13105048</v>
      </c>
      <c r="AY27" s="62">
        <f t="shared" si="8"/>
        <v>43246</v>
      </c>
    </row>
    <row r="28" spans="1:60" x14ac:dyDescent="0.25">
      <c r="D28" s="223"/>
      <c r="E28" s="224"/>
    </row>
    <row r="29" spans="1:60" ht="15.75" thickBot="1" x14ac:dyDescent="0.3">
      <c r="D29" s="63"/>
      <c r="E29" s="64"/>
      <c r="F29" s="65"/>
      <c r="G29" s="65"/>
      <c r="H29" s="65"/>
      <c r="I29" s="65"/>
      <c r="J29" s="65"/>
    </row>
    <row r="30" spans="1:60" ht="15.75" thickBot="1" x14ac:dyDescent="0.3">
      <c r="A30" s="37" t="s">
        <v>52</v>
      </c>
      <c r="B30" s="38"/>
      <c r="C30" s="38"/>
      <c r="D30" s="66" t="s">
        <v>35</v>
      </c>
      <c r="E30" s="67" t="s">
        <v>36</v>
      </c>
      <c r="F30" s="67" t="s">
        <v>5</v>
      </c>
      <c r="G30" s="67" t="s">
        <v>26</v>
      </c>
      <c r="H30" s="67" t="s">
        <v>27</v>
      </c>
      <c r="I30" s="67" t="s">
        <v>28</v>
      </c>
      <c r="J30" s="67" t="s">
        <v>29</v>
      </c>
      <c r="K30" s="67" t="s">
        <v>30</v>
      </c>
      <c r="L30" s="67" t="s">
        <v>31</v>
      </c>
      <c r="M30" s="67" t="s">
        <v>32</v>
      </c>
      <c r="N30" s="67" t="s">
        <v>33</v>
      </c>
      <c r="O30" s="67" t="s">
        <v>34</v>
      </c>
      <c r="P30" s="68" t="s">
        <v>51</v>
      </c>
      <c r="T30" s="69" t="s">
        <v>53</v>
      </c>
      <c r="U30" s="70"/>
      <c r="V30" s="70"/>
      <c r="W30" s="217" t="s">
        <v>51</v>
      </c>
      <c r="X30" s="218"/>
      <c r="Y30" s="218"/>
      <c r="Z30" s="218"/>
      <c r="AA30" s="218"/>
      <c r="AB30" s="219"/>
    </row>
    <row r="31" spans="1:60" x14ac:dyDescent="0.25">
      <c r="A31" s="48" t="s">
        <v>41</v>
      </c>
      <c r="B31" s="49"/>
      <c r="C31" s="49"/>
      <c r="D31" s="71">
        <f>'[2]2018'!AS17+'[2]2018'!AU17</f>
        <v>26099.4162</v>
      </c>
      <c r="E31" s="72">
        <f>'[2]2018'!AW17+'[2]2018'!AY17</f>
        <v>24691.012500000001</v>
      </c>
      <c r="F31" s="73">
        <f>E17+G17</f>
        <v>27643.327799999999</v>
      </c>
      <c r="G31" s="73">
        <f>I17+K17</f>
        <v>26973.493800000004</v>
      </c>
      <c r="H31" s="73">
        <f>M17+O17</f>
        <v>28062.767699999997</v>
      </c>
      <c r="I31" s="73">
        <f>Q17+S17</f>
        <v>27709.690800000004</v>
      </c>
      <c r="J31" s="73">
        <f>U17+W17</f>
        <v>27348</v>
      </c>
      <c r="K31" s="73">
        <f>Y17+AA17</f>
        <v>28791</v>
      </c>
      <c r="L31" s="73">
        <f>AC17+AE17</f>
        <v>26127</v>
      </c>
      <c r="M31" s="73">
        <f>AG17+AI17</f>
        <v>25942</v>
      </c>
      <c r="N31" s="73">
        <f>AK17+AM17</f>
        <v>29489</v>
      </c>
      <c r="O31" s="74">
        <f>AO17+AQ17</f>
        <v>25843</v>
      </c>
      <c r="P31" s="75">
        <f>SUM(D31:O31)</f>
        <v>324719.70880000002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60" x14ac:dyDescent="0.25">
      <c r="A32" s="48" t="s">
        <v>42</v>
      </c>
      <c r="B32" s="49"/>
      <c r="C32" s="49"/>
      <c r="D32" s="71">
        <f>'[2]2018'!AS18+'[2]2018'!AU18</f>
        <v>0</v>
      </c>
      <c r="E32" s="72">
        <f>'[2]2018'!AW18+'[2]2018'!AY18</f>
        <v>0</v>
      </c>
      <c r="F32" s="73">
        <f t="shared" ref="F32:F40" si="9">E18+G18</f>
        <v>0</v>
      </c>
      <c r="G32" s="73">
        <f t="shared" ref="G32:G40" si="10">I18+K18</f>
        <v>0</v>
      </c>
      <c r="H32" s="73">
        <f t="shared" ref="H32:H40" si="11">M18+O18</f>
        <v>0</v>
      </c>
      <c r="I32" s="73">
        <f t="shared" ref="I32:I40" si="12">Q18+S18</f>
        <v>0</v>
      </c>
      <c r="J32" s="73">
        <f t="shared" ref="J32:J40" si="13">U18+W18</f>
        <v>0</v>
      </c>
      <c r="K32" s="73">
        <f t="shared" ref="K32:K40" si="14">Y18+AA18</f>
        <v>0</v>
      </c>
      <c r="L32" s="73">
        <f t="shared" ref="L32:L40" si="15">AC18+AE18</f>
        <v>0</v>
      </c>
      <c r="M32" s="73">
        <f t="shared" ref="M32:M40" si="16">AG18+AI18</f>
        <v>0</v>
      </c>
      <c r="N32" s="73">
        <f t="shared" ref="N32:N40" si="17">AK18+AM18</f>
        <v>0</v>
      </c>
      <c r="O32" s="74">
        <f t="shared" ref="O32:O40" si="18">AO18+AQ18</f>
        <v>0</v>
      </c>
      <c r="P32" s="75">
        <f t="shared" ref="P32:P41" si="19">SUM(D32:O32)</f>
        <v>0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>
        <f>'[2]2018'!AS19+'[2]2018'!AU19</f>
        <v>12957.034199999998</v>
      </c>
      <c r="E33" s="72">
        <f>'[2]2018'!AW19+'[2]2018'!AY19</f>
        <v>11952.240300000001</v>
      </c>
      <c r="F33" s="73">
        <f t="shared" si="9"/>
        <v>11958.473999999998</v>
      </c>
      <c r="G33" s="73">
        <f t="shared" si="10"/>
        <v>12193.935599999999</v>
      </c>
      <c r="H33" s="73">
        <f t="shared" si="11"/>
        <v>9444.7187999999987</v>
      </c>
      <c r="I33" s="73">
        <f t="shared" si="12"/>
        <v>8964.1365000000005</v>
      </c>
      <c r="J33" s="73">
        <f t="shared" si="13"/>
        <v>10126</v>
      </c>
      <c r="K33" s="73">
        <f t="shared" si="14"/>
        <v>9725</v>
      </c>
      <c r="L33" s="73">
        <f t="shared" si="15"/>
        <v>9639</v>
      </c>
      <c r="M33" s="73">
        <f t="shared" si="16"/>
        <v>9882</v>
      </c>
      <c r="N33" s="73">
        <f t="shared" si="17"/>
        <v>9970</v>
      </c>
      <c r="O33" s="74">
        <f t="shared" si="18"/>
        <v>9618</v>
      </c>
      <c r="P33" s="75">
        <f t="shared" si="19"/>
        <v>126430.53940000001</v>
      </c>
      <c r="T33" s="85" t="s">
        <v>41</v>
      </c>
      <c r="U33" s="86"/>
      <c r="V33" s="86"/>
      <c r="W33" s="87">
        <f t="shared" ref="W33:Z42" si="20">D17+H17+L17+P17+T17+X17+AB17+AF17+AJ17+AN17+AR17+AV17</f>
        <v>31462794</v>
      </c>
      <c r="X33" s="88">
        <f t="shared" si="20"/>
        <v>207656.7634</v>
      </c>
      <c r="Y33" s="89">
        <f t="shared" si="20"/>
        <v>36111264</v>
      </c>
      <c r="Z33" s="88">
        <f t="shared" si="20"/>
        <v>119167.51670000001</v>
      </c>
      <c r="AA33" s="90">
        <f>W33+Y33</f>
        <v>67574058</v>
      </c>
      <c r="AB33" s="91">
        <f>X33+Z33</f>
        <v>326824.28009999997</v>
      </c>
    </row>
    <row r="34" spans="1:28" x14ac:dyDescent="0.25">
      <c r="A34" s="48" t="s">
        <v>44</v>
      </c>
      <c r="B34" s="49"/>
      <c r="C34" s="49"/>
      <c r="D34" s="71">
        <f>'[2]2018'!AS20+'[2]2018'!AU20</f>
        <v>32663.038848000004</v>
      </c>
      <c r="E34" s="72">
        <f>'[2]2018'!AW20+'[2]2018'!AY20</f>
        <v>29599.534668</v>
      </c>
      <c r="F34" s="73">
        <f t="shared" si="9"/>
        <v>29645.131230000003</v>
      </c>
      <c r="G34" s="73">
        <f t="shared" si="10"/>
        <v>29466.629412000002</v>
      </c>
      <c r="H34" s="73">
        <f t="shared" si="11"/>
        <v>34395.05586</v>
      </c>
      <c r="I34" s="73">
        <f t="shared" si="12"/>
        <v>35731.145208000002</v>
      </c>
      <c r="J34" s="73">
        <f t="shared" si="13"/>
        <v>35583</v>
      </c>
      <c r="K34" s="73">
        <f t="shared" si="14"/>
        <v>32984</v>
      </c>
      <c r="L34" s="73">
        <f t="shared" si="15"/>
        <v>33536</v>
      </c>
      <c r="M34" s="73">
        <f t="shared" si="16"/>
        <v>31853</v>
      </c>
      <c r="N34" s="73">
        <f t="shared" si="17"/>
        <v>36798</v>
      </c>
      <c r="O34" s="74">
        <f t="shared" si="18"/>
        <v>32966</v>
      </c>
      <c r="P34" s="75">
        <f t="shared" si="19"/>
        <v>395220.53522600001</v>
      </c>
      <c r="T34" s="85" t="s">
        <v>42</v>
      </c>
      <c r="U34" s="86"/>
      <c r="V34" s="86"/>
      <c r="W34" s="87">
        <f t="shared" si="20"/>
        <v>0</v>
      </c>
      <c r="X34" s="92">
        <f t="shared" si="20"/>
        <v>0</v>
      </c>
      <c r="Y34" s="90">
        <f t="shared" si="20"/>
        <v>0</v>
      </c>
      <c r="Z34" s="92">
        <f t="shared" si="20"/>
        <v>0</v>
      </c>
      <c r="AA34" s="90">
        <f t="shared" ref="AA34:AB42" si="21">W34+Y34</f>
        <v>0</v>
      </c>
      <c r="AB34" s="91">
        <f t="shared" si="21"/>
        <v>0</v>
      </c>
    </row>
    <row r="35" spans="1:28" x14ac:dyDescent="0.25">
      <c r="A35" s="48" t="s">
        <v>45</v>
      </c>
      <c r="B35" s="49"/>
      <c r="C35" s="49"/>
      <c r="D35" s="71">
        <f>'[2]2018'!AS21+'[2]2018'!AU21</f>
        <v>16589.3904</v>
      </c>
      <c r="E35" s="72">
        <f>'[2]2018'!AW21+'[2]2018'!AY21</f>
        <v>14758.672500000001</v>
      </c>
      <c r="F35" s="73">
        <f t="shared" si="9"/>
        <v>15563.057400000002</v>
      </c>
      <c r="G35" s="73">
        <f t="shared" si="10"/>
        <v>17536.325400000002</v>
      </c>
      <c r="H35" s="73">
        <f t="shared" si="11"/>
        <v>17352.650699999998</v>
      </c>
      <c r="I35" s="73">
        <f t="shared" si="12"/>
        <v>21903.367200000001</v>
      </c>
      <c r="J35" s="73">
        <f t="shared" si="13"/>
        <v>20843</v>
      </c>
      <c r="K35" s="73">
        <f t="shared" si="14"/>
        <v>22811</v>
      </c>
      <c r="L35" s="73">
        <f t="shared" si="15"/>
        <v>22510</v>
      </c>
      <c r="M35" s="73">
        <f t="shared" si="16"/>
        <v>20638</v>
      </c>
      <c r="N35" s="73">
        <f t="shared" si="17"/>
        <v>20796</v>
      </c>
      <c r="O35" s="74">
        <f t="shared" si="18"/>
        <v>20211</v>
      </c>
      <c r="P35" s="75">
        <f t="shared" si="19"/>
        <v>231512.46360000002</v>
      </c>
      <c r="T35" s="85" t="s">
        <v>43</v>
      </c>
      <c r="U35" s="86"/>
      <c r="V35" s="86"/>
      <c r="W35" s="87">
        <f t="shared" si="20"/>
        <v>12938622</v>
      </c>
      <c r="X35" s="93">
        <f t="shared" si="20"/>
        <v>85395.927599999995</v>
      </c>
      <c r="Y35" s="92">
        <f t="shared" si="20"/>
        <v>9619941</v>
      </c>
      <c r="Z35" s="92">
        <f t="shared" si="20"/>
        <v>31744.337299999999</v>
      </c>
      <c r="AA35" s="90">
        <f t="shared" si="21"/>
        <v>22558563</v>
      </c>
      <c r="AB35" s="91">
        <f t="shared" si="21"/>
        <v>117140.26489999999</v>
      </c>
    </row>
    <row r="36" spans="1:28" x14ac:dyDescent="0.25">
      <c r="A36" s="48" t="s">
        <v>46</v>
      </c>
      <c r="B36" s="49"/>
      <c r="C36" s="49"/>
      <c r="D36" s="71">
        <f>'[2]2018'!AS22+'[2]2018'!AU22</f>
        <v>3667.8432780000003</v>
      </c>
      <c r="E36" s="72">
        <f>'[2]2018'!AW22+'[2]2018'!AY22</f>
        <v>3372.8525160000004</v>
      </c>
      <c r="F36" s="73">
        <f t="shared" si="9"/>
        <v>3071.5272059999998</v>
      </c>
      <c r="G36" s="73">
        <f t="shared" si="10"/>
        <v>3522.4028400000002</v>
      </c>
      <c r="H36" s="73">
        <f t="shared" si="11"/>
        <v>3252.6977999999999</v>
      </c>
      <c r="I36" s="73">
        <f t="shared" si="12"/>
        <v>3930.8867069999997</v>
      </c>
      <c r="J36" s="73">
        <f t="shared" si="13"/>
        <v>4278</v>
      </c>
      <c r="K36" s="73">
        <f t="shared" si="14"/>
        <v>3799</v>
      </c>
      <c r="L36" s="73">
        <f t="shared" si="15"/>
        <v>3747</v>
      </c>
      <c r="M36" s="73">
        <f t="shared" si="16"/>
        <v>3819</v>
      </c>
      <c r="N36" s="73">
        <f t="shared" si="17"/>
        <v>4202</v>
      </c>
      <c r="O36" s="74">
        <f t="shared" si="18"/>
        <v>3660</v>
      </c>
      <c r="P36" s="75">
        <f t="shared" si="19"/>
        <v>44323.210347</v>
      </c>
      <c r="T36" s="85" t="s">
        <v>44</v>
      </c>
      <c r="U36" s="86"/>
      <c r="V36" s="86"/>
      <c r="W36" s="87">
        <f t="shared" si="20"/>
        <v>36006299.450000003</v>
      </c>
      <c r="X36" s="93">
        <f t="shared" si="20"/>
        <v>237641.61356999999</v>
      </c>
      <c r="Y36" s="92">
        <f t="shared" si="20"/>
        <v>48385726.799999997</v>
      </c>
      <c r="Z36" s="92">
        <f t="shared" si="20"/>
        <v>159673.34814000002</v>
      </c>
      <c r="AA36" s="90">
        <f t="shared" si="21"/>
        <v>84392026.25</v>
      </c>
      <c r="AB36" s="91">
        <f t="shared" si="21"/>
        <v>397314.96171</v>
      </c>
    </row>
    <row r="37" spans="1:28" x14ac:dyDescent="0.25">
      <c r="A37" s="48" t="s">
        <v>47</v>
      </c>
      <c r="B37" s="49"/>
      <c r="C37" s="49"/>
      <c r="D37" s="71">
        <f>'[2]2018'!AS23+'[2]2018'!AU23</f>
        <v>4741.5614399999995</v>
      </c>
      <c r="E37" s="72">
        <f>'[2]2018'!AW23+'[2]2018'!AY23</f>
        <v>3765.9715500000002</v>
      </c>
      <c r="F37" s="73">
        <f t="shared" si="9"/>
        <v>4318.7162699999999</v>
      </c>
      <c r="G37" s="73">
        <f t="shared" si="10"/>
        <v>4630.0824899999998</v>
      </c>
      <c r="H37" s="73">
        <f t="shared" si="11"/>
        <v>4795.94841</v>
      </c>
      <c r="I37" s="73">
        <f t="shared" si="12"/>
        <v>5469.5619000000006</v>
      </c>
      <c r="J37" s="73">
        <f t="shared" si="13"/>
        <v>5005</v>
      </c>
      <c r="K37" s="73">
        <f t="shared" si="14"/>
        <v>5289</v>
      </c>
      <c r="L37" s="73">
        <f t="shared" si="15"/>
        <v>5037</v>
      </c>
      <c r="M37" s="73">
        <f t="shared" si="16"/>
        <v>4877</v>
      </c>
      <c r="N37" s="73">
        <f t="shared" si="17"/>
        <v>4528</v>
      </c>
      <c r="O37" s="74">
        <f t="shared" si="18"/>
        <v>4371</v>
      </c>
      <c r="P37" s="75">
        <f t="shared" si="19"/>
        <v>56828.842060000003</v>
      </c>
      <c r="T37" s="85" t="s">
        <v>45</v>
      </c>
      <c r="U37" s="86"/>
      <c r="V37" s="86"/>
      <c r="W37" s="87">
        <f t="shared" si="20"/>
        <v>12660423</v>
      </c>
      <c r="X37" s="93">
        <f t="shared" si="20"/>
        <v>83558.807399999991</v>
      </c>
      <c r="Y37" s="92">
        <f t="shared" si="20"/>
        <v>46355531</v>
      </c>
      <c r="Z37" s="92">
        <f t="shared" si="20"/>
        <v>152971.59330000001</v>
      </c>
      <c r="AA37" s="90">
        <f t="shared" si="21"/>
        <v>59015954</v>
      </c>
      <c r="AB37" s="91">
        <f t="shared" si="21"/>
        <v>236530.4007</v>
      </c>
    </row>
    <row r="38" spans="1:28" x14ac:dyDescent="0.25">
      <c r="A38" s="48" t="s">
        <v>48</v>
      </c>
      <c r="B38" s="49"/>
      <c r="C38" s="49"/>
      <c r="D38" s="71">
        <f>'[2]2018'!AS24+'[2]2018'!AU24</f>
        <v>4775.7039000000004</v>
      </c>
      <c r="E38" s="72">
        <f>'[2]2018'!AW24+'[2]2018'!AY24</f>
        <v>4366.8141000000005</v>
      </c>
      <c r="F38" s="73">
        <f t="shared" si="9"/>
        <v>4506.6021000000001</v>
      </c>
      <c r="G38" s="73">
        <f t="shared" si="10"/>
        <v>4867.4439000000002</v>
      </c>
      <c r="H38" s="73">
        <f t="shared" si="11"/>
        <v>4841.9976000000006</v>
      </c>
      <c r="I38" s="73">
        <f t="shared" si="12"/>
        <v>6047.4116999999997</v>
      </c>
      <c r="J38" s="73">
        <f t="shared" si="13"/>
        <v>5330</v>
      </c>
      <c r="K38" s="73">
        <f t="shared" si="14"/>
        <v>6253</v>
      </c>
      <c r="L38" s="73">
        <f t="shared" si="15"/>
        <v>5424</v>
      </c>
      <c r="M38" s="73">
        <f t="shared" si="16"/>
        <v>5241</v>
      </c>
      <c r="N38" s="73">
        <f t="shared" si="17"/>
        <v>5154</v>
      </c>
      <c r="O38" s="74">
        <f t="shared" si="18"/>
        <v>4806</v>
      </c>
      <c r="P38" s="75">
        <f t="shared" si="19"/>
        <v>61613.973299999998</v>
      </c>
      <c r="T38" s="85" t="s">
        <v>46</v>
      </c>
      <c r="U38" s="86"/>
      <c r="V38" s="86"/>
      <c r="W38" s="87">
        <f t="shared" si="20"/>
        <v>1454521.49</v>
      </c>
      <c r="X38" s="93">
        <f t="shared" si="20"/>
        <v>9600.5796339999997</v>
      </c>
      <c r="Y38" s="92">
        <f t="shared" si="20"/>
        <v>10550519.43</v>
      </c>
      <c r="Z38" s="92">
        <f t="shared" si="20"/>
        <v>34816.934918999999</v>
      </c>
      <c r="AA38" s="90">
        <f t="shared" si="21"/>
        <v>12005040.92</v>
      </c>
      <c r="AB38" s="91">
        <f t="shared" si="21"/>
        <v>44417.514553000001</v>
      </c>
    </row>
    <row r="39" spans="1:28" x14ac:dyDescent="0.25">
      <c r="A39" s="48" t="s">
        <v>49</v>
      </c>
      <c r="B39" s="49"/>
      <c r="C39" s="49"/>
      <c r="D39" s="71">
        <f>'[2]2018'!AS25+'[2]2018'!AU25</f>
        <v>0</v>
      </c>
      <c r="E39" s="72">
        <f>'[2]2018'!AW25+'[2]2018'!AY25</f>
        <v>0</v>
      </c>
      <c r="F39" s="73">
        <f t="shared" si="9"/>
        <v>0</v>
      </c>
      <c r="G39" s="73">
        <f t="shared" si="10"/>
        <v>0</v>
      </c>
      <c r="H39" s="73">
        <f t="shared" si="11"/>
        <v>0</v>
      </c>
      <c r="I39" s="73">
        <f t="shared" si="12"/>
        <v>0</v>
      </c>
      <c r="J39" s="73">
        <f t="shared" si="13"/>
        <v>0</v>
      </c>
      <c r="K39" s="73">
        <f t="shared" si="14"/>
        <v>0</v>
      </c>
      <c r="L39" s="73">
        <f t="shared" si="15"/>
        <v>0</v>
      </c>
      <c r="M39" s="73">
        <f t="shared" si="16"/>
        <v>0</v>
      </c>
      <c r="N39" s="73">
        <f t="shared" si="17"/>
        <v>0</v>
      </c>
      <c r="O39" s="74">
        <f t="shared" si="18"/>
        <v>0</v>
      </c>
      <c r="P39" s="75">
        <f t="shared" si="19"/>
        <v>0</v>
      </c>
      <c r="T39" s="85" t="s">
        <v>47</v>
      </c>
      <c r="U39" s="86"/>
      <c r="V39" s="86"/>
      <c r="W39" s="87">
        <f t="shared" si="20"/>
        <v>4520162.5999999996</v>
      </c>
      <c r="X39" s="93">
        <f t="shared" si="20"/>
        <v>29834.887360000001</v>
      </c>
      <c r="Y39" s="92">
        <f t="shared" si="20"/>
        <v>7965908.7000000002</v>
      </c>
      <c r="Z39" s="92">
        <f t="shared" si="20"/>
        <v>26287.421710000002</v>
      </c>
      <c r="AA39" s="90">
        <f t="shared" si="21"/>
        <v>12486071.300000001</v>
      </c>
      <c r="AB39" s="91">
        <f t="shared" si="21"/>
        <v>56122.309070000003</v>
      </c>
    </row>
    <row r="40" spans="1:28" x14ac:dyDescent="0.25">
      <c r="A40" s="48" t="s">
        <v>50</v>
      </c>
      <c r="B40" s="49"/>
      <c r="C40" s="49"/>
      <c r="D40" s="71">
        <f>'[2]2018'!AS26+'[2]2018'!AU26</f>
        <v>4876.7829000000002</v>
      </c>
      <c r="E40" s="72">
        <f>'[2]2018'!AW26+'[2]2018'!AY26</f>
        <v>4690.9335000000001</v>
      </c>
      <c r="F40" s="73">
        <f t="shared" si="9"/>
        <v>5028.8171999999995</v>
      </c>
      <c r="G40" s="73">
        <f t="shared" si="10"/>
        <v>5128.9359000000004</v>
      </c>
      <c r="H40" s="73">
        <f t="shared" si="11"/>
        <v>5111.1918000000005</v>
      </c>
      <c r="I40" s="73">
        <f t="shared" si="12"/>
        <v>6297.3173999999999</v>
      </c>
      <c r="J40" s="73">
        <f t="shared" si="13"/>
        <v>5996</v>
      </c>
      <c r="K40" s="73">
        <f t="shared" si="14"/>
        <v>7439</v>
      </c>
      <c r="L40" s="73">
        <f t="shared" si="15"/>
        <v>6326</v>
      </c>
      <c r="M40" s="73">
        <f t="shared" si="16"/>
        <v>6232</v>
      </c>
      <c r="N40" s="73">
        <f t="shared" si="17"/>
        <v>5845</v>
      </c>
      <c r="O40" s="74">
        <f t="shared" si="18"/>
        <v>6327</v>
      </c>
      <c r="P40" s="75">
        <f t="shared" si="19"/>
        <v>69298.978700000007</v>
      </c>
      <c r="T40" s="85" t="s">
        <v>48</v>
      </c>
      <c r="U40" s="86"/>
      <c r="V40" s="86"/>
      <c r="W40" s="87">
        <f t="shared" si="20"/>
        <v>2002064</v>
      </c>
      <c r="X40" s="93">
        <f t="shared" si="20"/>
        <v>13211.574199999999</v>
      </c>
      <c r="Y40" s="92">
        <f t="shared" si="20"/>
        <v>14625382</v>
      </c>
      <c r="Z40" s="92">
        <f t="shared" si="20"/>
        <v>48264.881099999999</v>
      </c>
      <c r="AA40" s="90">
        <f t="shared" si="21"/>
        <v>16627446</v>
      </c>
      <c r="AB40" s="91">
        <f t="shared" si="21"/>
        <v>61476.455300000001</v>
      </c>
    </row>
    <row r="41" spans="1:28" x14ac:dyDescent="0.25">
      <c r="A41" s="48" t="s">
        <v>24</v>
      </c>
      <c r="B41" s="49"/>
      <c r="C41" s="49"/>
      <c r="D41" s="71">
        <f>-C12</f>
        <v>-2000</v>
      </c>
      <c r="E41" s="72">
        <v>0</v>
      </c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P41" s="75">
        <f t="shared" si="19"/>
        <v>-2000</v>
      </c>
      <c r="T41" s="85" t="s">
        <v>49</v>
      </c>
      <c r="U41" s="86"/>
      <c r="V41" s="86"/>
      <c r="W41" s="87">
        <f t="shared" si="20"/>
        <v>0</v>
      </c>
      <c r="X41" s="93">
        <f t="shared" si="20"/>
        <v>0</v>
      </c>
      <c r="Y41" s="92">
        <f t="shared" si="20"/>
        <v>0</v>
      </c>
      <c r="Z41" s="92">
        <f t="shared" si="20"/>
        <v>0</v>
      </c>
      <c r="AA41" s="90">
        <f t="shared" si="21"/>
        <v>0</v>
      </c>
      <c r="AB41" s="91">
        <f t="shared" si="21"/>
        <v>0</v>
      </c>
    </row>
    <row r="42" spans="1:28" ht="15.75" thickBot="1" x14ac:dyDescent="0.3">
      <c r="A42" s="56" t="s">
        <v>51</v>
      </c>
      <c r="B42" s="57"/>
      <c r="C42" s="57"/>
      <c r="D42" s="94">
        <f>SUM(D31:D41)</f>
        <v>104370.77116600001</v>
      </c>
      <c r="E42" s="95">
        <f>SUM(E31:E41)</f>
        <v>97198.031633999999</v>
      </c>
      <c r="F42" s="95">
        <f t="shared" ref="F42:O42" si="22">SUM(F31:F41)</f>
        <v>101735.65320600002</v>
      </c>
      <c r="G42" s="95">
        <f t="shared" si="22"/>
        <v>104319.249342</v>
      </c>
      <c r="H42" s="95">
        <f t="shared" si="22"/>
        <v>107257.02866999999</v>
      </c>
      <c r="I42" s="95">
        <f t="shared" si="22"/>
        <v>116053.51741500001</v>
      </c>
      <c r="J42" s="95">
        <f t="shared" si="22"/>
        <v>114509</v>
      </c>
      <c r="K42" s="95">
        <f t="shared" si="22"/>
        <v>117091</v>
      </c>
      <c r="L42" s="95">
        <f t="shared" si="22"/>
        <v>112346</v>
      </c>
      <c r="M42" s="95">
        <f t="shared" si="22"/>
        <v>108484</v>
      </c>
      <c r="N42" s="95">
        <f t="shared" si="22"/>
        <v>116782</v>
      </c>
      <c r="O42" s="95">
        <f t="shared" si="22"/>
        <v>107802</v>
      </c>
      <c r="P42" s="96">
        <f>SUM(P31:P41)</f>
        <v>1307948.2514330002</v>
      </c>
      <c r="T42" s="85" t="s">
        <v>50</v>
      </c>
      <c r="U42" s="86"/>
      <c r="V42" s="86"/>
      <c r="W42" s="87">
        <f t="shared" si="20"/>
        <v>8041401</v>
      </c>
      <c r="X42" s="93">
        <f t="shared" si="20"/>
        <v>53073.263999999996</v>
      </c>
      <c r="Y42" s="92">
        <f t="shared" si="20"/>
        <v>6488503</v>
      </c>
      <c r="Z42" s="92">
        <f t="shared" si="20"/>
        <v>21411.998299999999</v>
      </c>
      <c r="AA42" s="90">
        <f t="shared" si="21"/>
        <v>14529904</v>
      </c>
      <c r="AB42" s="91">
        <f t="shared" si="21"/>
        <v>74485.262300000002</v>
      </c>
    </row>
    <row r="43" spans="1:28" ht="15.75" thickBot="1" x14ac:dyDescent="0.3">
      <c r="A43" s="97"/>
      <c r="B43" s="97"/>
      <c r="C43" s="97"/>
      <c r="T43" s="98" t="s">
        <v>51</v>
      </c>
      <c r="U43" s="99"/>
      <c r="V43" s="99"/>
      <c r="W43" s="100">
        <f t="shared" ref="W43:AB43" si="23">SUM(W33:W42)</f>
        <v>109086287.53999999</v>
      </c>
      <c r="X43" s="101">
        <f t="shared" si="23"/>
        <v>719973.41716399998</v>
      </c>
      <c r="Y43" s="102">
        <f t="shared" si="23"/>
        <v>180102775.93000001</v>
      </c>
      <c r="Z43" s="102">
        <f t="shared" si="23"/>
        <v>594338.03146900004</v>
      </c>
      <c r="AA43" s="103">
        <f t="shared" si="23"/>
        <v>289189063.47000003</v>
      </c>
      <c r="AB43" s="104">
        <f t="shared" si="23"/>
        <v>1314311.448633</v>
      </c>
    </row>
    <row r="44" spans="1:28" ht="15.75" thickBot="1" x14ac:dyDescent="0.3">
      <c r="A44" s="97"/>
      <c r="B44" s="97"/>
      <c r="C44" s="97"/>
    </row>
    <row r="45" spans="1:28" ht="15.75" thickBot="1" x14ac:dyDescent="0.3">
      <c r="A45" s="37" t="s">
        <v>67</v>
      </c>
      <c r="B45" s="38"/>
      <c r="C45" s="38"/>
      <c r="D45" s="140" t="s">
        <v>35</v>
      </c>
      <c r="E45" s="67" t="s">
        <v>36</v>
      </c>
      <c r="F45" s="67" t="s">
        <v>5</v>
      </c>
      <c r="G45" s="67" t="s">
        <v>28</v>
      </c>
      <c r="H45" s="67" t="s">
        <v>29</v>
      </c>
      <c r="I45" s="67" t="s">
        <v>30</v>
      </c>
      <c r="J45" s="67" t="s">
        <v>31</v>
      </c>
      <c r="K45" s="67" t="s">
        <v>32</v>
      </c>
      <c r="L45" s="67" t="s">
        <v>33</v>
      </c>
      <c r="M45" s="67" t="s">
        <v>34</v>
      </c>
      <c r="N45" s="67" t="s">
        <v>35</v>
      </c>
      <c r="O45" s="141" t="s">
        <v>36</v>
      </c>
      <c r="P45" s="68" t="s">
        <v>51</v>
      </c>
    </row>
    <row r="46" spans="1:28" x14ac:dyDescent="0.25">
      <c r="A46" s="40"/>
      <c r="B46" s="36"/>
      <c r="C46" s="36"/>
      <c r="D46" s="142"/>
      <c r="O46" s="143"/>
      <c r="P46" s="144"/>
    </row>
    <row r="47" spans="1:28" x14ac:dyDescent="0.25">
      <c r="A47" s="142" t="s">
        <v>69</v>
      </c>
      <c r="D47" s="145">
        <f t="shared" ref="D47:O49" si="24">IF(COUNTBLANK(D$31:D$40)=0,D$42*$C9,0)</f>
        <v>73520.309715474927</v>
      </c>
      <c r="E47" s="73">
        <f t="shared" si="24"/>
        <v>68467.726257388349</v>
      </c>
      <c r="F47" s="73">
        <f t="shared" si="24"/>
        <v>71664.093780767711</v>
      </c>
      <c r="G47" s="73">
        <f t="shared" si="24"/>
        <v>73484.016983177658</v>
      </c>
      <c r="H47" s="73">
        <f t="shared" si="24"/>
        <v>75553.432046967457</v>
      </c>
      <c r="I47" s="73">
        <f t="shared" si="24"/>
        <v>81749.808386014454</v>
      </c>
      <c r="J47" s="73">
        <f t="shared" si="24"/>
        <v>80661.827551503418</v>
      </c>
      <c r="K47" s="73">
        <f t="shared" si="24"/>
        <v>82480.626412186699</v>
      </c>
      <c r="L47" s="73">
        <f t="shared" si="24"/>
        <v>79138.178467205231</v>
      </c>
      <c r="M47" s="73">
        <f t="shared" si="24"/>
        <v>76417.728738328835</v>
      </c>
      <c r="N47" s="73">
        <f t="shared" si="24"/>
        <v>82262.962257286956</v>
      </c>
      <c r="O47" s="74">
        <f t="shared" si="24"/>
        <v>75937.317885119701</v>
      </c>
      <c r="P47" s="75">
        <f>SUM(D47:O47)</f>
        <v>921338.02848142129</v>
      </c>
    </row>
    <row r="48" spans="1:28" x14ac:dyDescent="0.25">
      <c r="A48" s="142" t="s">
        <v>70</v>
      </c>
      <c r="D48" s="145">
        <f t="shared" si="24"/>
        <v>17084.21703581206</v>
      </c>
      <c r="E48" s="73">
        <f t="shared" si="24"/>
        <v>15910.127417262263</v>
      </c>
      <c r="F48" s="73">
        <f t="shared" si="24"/>
        <v>16652.880497424274</v>
      </c>
      <c r="G48" s="73">
        <f t="shared" si="24"/>
        <v>17075.78354419881</v>
      </c>
      <c r="H48" s="73">
        <f t="shared" si="24"/>
        <v>17556.662041906256</v>
      </c>
      <c r="I48" s="73">
        <f t="shared" si="24"/>
        <v>18996.539520952942</v>
      </c>
      <c r="J48" s="73">
        <f t="shared" si="24"/>
        <v>18743.720935455633</v>
      </c>
      <c r="K48" s="73">
        <f t="shared" si="24"/>
        <v>19166.362714314466</v>
      </c>
      <c r="L48" s="73">
        <f t="shared" si="24"/>
        <v>18389.664325203245</v>
      </c>
      <c r="M48" s="73">
        <f t="shared" si="24"/>
        <v>17757.502222200601</v>
      </c>
      <c r="N48" s="73">
        <f t="shared" si="24"/>
        <v>19115.783198564124</v>
      </c>
      <c r="O48" s="74">
        <f t="shared" si="24"/>
        <v>17645.867174492731</v>
      </c>
      <c r="P48" s="75">
        <f>SUM(D48:O48)</f>
        <v>214095.11062778742</v>
      </c>
    </row>
    <row r="49" spans="1:58" x14ac:dyDescent="0.25">
      <c r="A49" s="142" t="s">
        <v>71</v>
      </c>
      <c r="D49" s="145">
        <f t="shared" si="24"/>
        <v>13766.244414713017</v>
      </c>
      <c r="E49" s="73">
        <f>IF(COUNTBLANK(E$31:E$40)=0,E$42*$C11,0)</f>
        <v>12820.177959349385</v>
      </c>
      <c r="F49" s="73">
        <f t="shared" si="24"/>
        <v>13418.678927808029</v>
      </c>
      <c r="G49" s="73">
        <f t="shared" si="24"/>
        <v>13759.448814623525</v>
      </c>
      <c r="H49" s="73">
        <f t="shared" si="24"/>
        <v>14146.934581126261</v>
      </c>
      <c r="I49" s="73">
        <f t="shared" si="24"/>
        <v>15307.169508032603</v>
      </c>
      <c r="J49" s="73">
        <f t="shared" si="24"/>
        <v>15103.451513040944</v>
      </c>
      <c r="K49" s="73">
        <f t="shared" si="24"/>
        <v>15444.010873498826</v>
      </c>
      <c r="L49" s="73">
        <f t="shared" si="24"/>
        <v>14818.157207591523</v>
      </c>
      <c r="M49" s="73">
        <f t="shared" si="24"/>
        <v>14308.769039470553</v>
      </c>
      <c r="N49" s="73">
        <f t="shared" si="24"/>
        <v>15403.254544148909</v>
      </c>
      <c r="O49" s="74">
        <f t="shared" si="24"/>
        <v>14218.814940387565</v>
      </c>
      <c r="P49" s="75">
        <f>SUM(D49:O49)</f>
        <v>172515.11232379114</v>
      </c>
    </row>
    <row r="50" spans="1:58" x14ac:dyDescent="0.25">
      <c r="A50" s="142"/>
      <c r="D50" s="145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4"/>
      <c r="P50" s="75"/>
    </row>
    <row r="51" spans="1:58" x14ac:dyDescent="0.25">
      <c r="A51" s="146" t="s">
        <v>51</v>
      </c>
      <c r="B51" s="147"/>
      <c r="C51" s="147"/>
      <c r="D51" s="148">
        <f>SUM(D47:D49)</f>
        <v>104370.77116600001</v>
      </c>
      <c r="E51" s="149">
        <f t="shared" ref="E51:O51" si="25">SUM(E47:E49)</f>
        <v>97198.031633999999</v>
      </c>
      <c r="F51" s="149">
        <f t="shared" si="25"/>
        <v>101735.653206</v>
      </c>
      <c r="G51" s="149">
        <f t="shared" si="25"/>
        <v>104319.249342</v>
      </c>
      <c r="H51" s="149">
        <f t="shared" si="25"/>
        <v>107257.02866999997</v>
      </c>
      <c r="I51" s="149">
        <f t="shared" si="25"/>
        <v>116053.51741499999</v>
      </c>
      <c r="J51" s="149">
        <f t="shared" si="25"/>
        <v>114508.99999999999</v>
      </c>
      <c r="K51" s="149">
        <f t="shared" si="25"/>
        <v>117091</v>
      </c>
      <c r="L51" s="149">
        <f t="shared" si="25"/>
        <v>112346</v>
      </c>
      <c r="M51" s="149">
        <f t="shared" si="25"/>
        <v>108484</v>
      </c>
      <c r="N51" s="149">
        <f t="shared" si="25"/>
        <v>116781.99999999999</v>
      </c>
      <c r="O51" s="150">
        <f t="shared" si="25"/>
        <v>107802</v>
      </c>
      <c r="P51" s="151">
        <f>SUM(P47:P49)</f>
        <v>1307948.251433</v>
      </c>
    </row>
    <row r="52" spans="1:58" x14ac:dyDescent="0.25">
      <c r="A52" s="40"/>
      <c r="B52" s="36"/>
      <c r="C52" s="36"/>
      <c r="D52" s="152"/>
      <c r="E52" s="153">
        <v>0</v>
      </c>
      <c r="F52" s="153"/>
      <c r="G52" s="153"/>
      <c r="H52" s="153"/>
      <c r="I52" s="153"/>
      <c r="J52" s="153"/>
      <c r="K52" s="153"/>
      <c r="L52" s="153"/>
      <c r="M52" s="153"/>
      <c r="N52" s="153"/>
      <c r="O52" s="154"/>
      <c r="P52" s="155"/>
    </row>
    <row r="53" spans="1:58" ht="15.75" thickBot="1" x14ac:dyDescent="0.3">
      <c r="A53" s="156" t="s">
        <v>72</v>
      </c>
      <c r="B53" s="157"/>
      <c r="C53" s="157"/>
      <c r="D53" s="158">
        <f t="shared" ref="D53:O53" si="26">D42-D51</f>
        <v>0</v>
      </c>
      <c r="E53" s="159">
        <f t="shared" si="26"/>
        <v>0</v>
      </c>
      <c r="F53" s="159"/>
      <c r="G53" s="159">
        <f t="shared" si="26"/>
        <v>0</v>
      </c>
      <c r="H53" s="159">
        <f t="shared" si="26"/>
        <v>0</v>
      </c>
      <c r="I53" s="159">
        <f t="shared" si="26"/>
        <v>0</v>
      </c>
      <c r="J53" s="159">
        <f t="shared" si="26"/>
        <v>0</v>
      </c>
      <c r="K53" s="159">
        <f t="shared" si="26"/>
        <v>0</v>
      </c>
      <c r="L53" s="159">
        <f t="shared" si="26"/>
        <v>0</v>
      </c>
      <c r="M53" s="159">
        <f t="shared" si="26"/>
        <v>0</v>
      </c>
      <c r="N53" s="159">
        <f t="shared" si="26"/>
        <v>0</v>
      </c>
      <c r="O53" s="159">
        <f t="shared" si="26"/>
        <v>0</v>
      </c>
      <c r="P53" s="160">
        <f>ROUND(P42-P51,2)</f>
        <v>0</v>
      </c>
    </row>
    <row r="54" spans="1:58" x14ac:dyDescent="0.25"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58" ht="15.75" thickBot="1" x14ac:dyDescent="0.3"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</row>
    <row r="56" spans="1:58" ht="16.5" thickBot="1" x14ac:dyDescent="0.3">
      <c r="A56" s="162" t="s">
        <v>73</v>
      </c>
      <c r="B56" s="163"/>
      <c r="C56" s="163"/>
      <c r="D56" s="164" t="s">
        <v>5</v>
      </c>
      <c r="E56" s="165" t="s">
        <v>26</v>
      </c>
      <c r="F56" s="165" t="s">
        <v>27</v>
      </c>
      <c r="G56" s="165" t="s">
        <v>28</v>
      </c>
      <c r="H56" s="165" t="s">
        <v>29</v>
      </c>
      <c r="I56" s="165" t="s">
        <v>30</v>
      </c>
      <c r="J56" s="165" t="s">
        <v>31</v>
      </c>
      <c r="K56" s="165" t="s">
        <v>32</v>
      </c>
      <c r="L56" s="165" t="s">
        <v>33</v>
      </c>
      <c r="M56" s="165" t="s">
        <v>34</v>
      </c>
      <c r="N56" s="165" t="s">
        <v>35</v>
      </c>
      <c r="O56" s="165" t="s">
        <v>36</v>
      </c>
      <c r="P56" s="166" t="s">
        <v>51</v>
      </c>
      <c r="Q56" s="161"/>
      <c r="R56" s="161"/>
      <c r="S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</row>
    <row r="57" spans="1:58" ht="15.75" x14ac:dyDescent="0.25">
      <c r="A57" s="167"/>
      <c r="B57" s="125"/>
      <c r="C57" s="125"/>
      <c r="D57" s="168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70"/>
      <c r="Q57" s="161"/>
      <c r="R57" s="161"/>
      <c r="S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</row>
    <row r="58" spans="1:58" x14ac:dyDescent="0.25">
      <c r="A58" s="142" t="str">
        <f>"Opening Balance "</f>
        <v xml:space="preserve">Opening Balance </v>
      </c>
      <c r="D58" s="145">
        <f>'[2]2018'!O77</f>
        <v>119862.80559999995</v>
      </c>
      <c r="E58" s="73">
        <f>D77</f>
        <v>123695.85559999992</v>
      </c>
      <c r="F58" s="73">
        <f t="shared" ref="F58:N58" si="27">E77</f>
        <v>112228.00559999993</v>
      </c>
      <c r="G58" s="73">
        <f t="shared" si="27"/>
        <v>214650.00559999995</v>
      </c>
      <c r="H58" s="73">
        <f t="shared" si="27"/>
        <v>117085.46559999992</v>
      </c>
      <c r="I58" s="73">
        <f t="shared" si="27"/>
        <v>224471.31559999994</v>
      </c>
      <c r="J58" s="73">
        <f t="shared" si="27"/>
        <v>130456.64559999999</v>
      </c>
      <c r="K58" s="73">
        <f t="shared" si="27"/>
        <v>130456.64559999999</v>
      </c>
      <c r="L58" s="73">
        <f t="shared" si="27"/>
        <v>130456.64559999999</v>
      </c>
      <c r="M58" s="73">
        <f t="shared" si="27"/>
        <v>130456.64559999999</v>
      </c>
      <c r="N58" s="73">
        <f t="shared" si="27"/>
        <v>130456.64559999999</v>
      </c>
      <c r="O58" s="73">
        <f>N77</f>
        <v>130456.64559999999</v>
      </c>
      <c r="P58" s="170"/>
      <c r="Q58" s="161"/>
      <c r="R58" s="161"/>
      <c r="S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</row>
    <row r="59" spans="1:58" x14ac:dyDescent="0.25">
      <c r="A59" s="142"/>
      <c r="D59" s="145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70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</row>
    <row r="60" spans="1:58" x14ac:dyDescent="0.25">
      <c r="A60" s="142" t="s">
        <v>74</v>
      </c>
      <c r="D60" s="145">
        <f>C12</f>
        <v>2000</v>
      </c>
      <c r="E60" s="73">
        <v>-2000</v>
      </c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23">
        <f>SUM(D60:O60)</f>
        <v>0</v>
      </c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</row>
    <row r="61" spans="1:58" x14ac:dyDescent="0.25">
      <c r="A61" s="142"/>
      <c r="D61" s="14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23">
        <f t="shared" ref="P61:P74" si="28">SUM(D61:O61)</f>
        <v>0</v>
      </c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</row>
    <row r="62" spans="1:58" x14ac:dyDescent="0.25">
      <c r="A62" s="142" t="s">
        <v>75</v>
      </c>
      <c r="D62" s="145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123">
        <f t="shared" si="28"/>
        <v>0</v>
      </c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</row>
    <row r="63" spans="1:58" x14ac:dyDescent="0.25">
      <c r="A63" s="171">
        <v>42491</v>
      </c>
      <c r="D63" s="145">
        <v>89745.9</v>
      </c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23">
        <f t="shared" si="28"/>
        <v>89745.9</v>
      </c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</row>
    <row r="64" spans="1:58" x14ac:dyDescent="0.25">
      <c r="A64" s="171">
        <v>42522</v>
      </c>
      <c r="D64" s="173">
        <v>15325.09</v>
      </c>
      <c r="E64" s="73">
        <v>81872.92</v>
      </c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23">
        <f t="shared" si="28"/>
        <v>97198.01</v>
      </c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</row>
    <row r="65" spans="1:58" x14ac:dyDescent="0.25">
      <c r="A65" s="171">
        <v>42552</v>
      </c>
      <c r="D65" s="145">
        <v>-103237.94</v>
      </c>
      <c r="E65" s="172">
        <v>15030</v>
      </c>
      <c r="F65" s="73">
        <v>86705.66</v>
      </c>
      <c r="G65" s="172"/>
      <c r="H65" s="172"/>
      <c r="I65" s="172"/>
      <c r="J65" s="172"/>
      <c r="K65" s="172"/>
      <c r="L65" s="172"/>
      <c r="M65" s="172"/>
      <c r="N65" s="172"/>
      <c r="O65" s="172"/>
      <c r="P65" s="123">
        <f t="shared" si="28"/>
        <v>-1502.2799999999988</v>
      </c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</row>
    <row r="66" spans="1:58" x14ac:dyDescent="0.25">
      <c r="A66" s="171">
        <v>42583</v>
      </c>
      <c r="D66" s="145"/>
      <c r="E66" s="73">
        <v>-106370.77</v>
      </c>
      <c r="F66" s="172">
        <v>15716.34</v>
      </c>
      <c r="G66" s="73">
        <v>88602.91</v>
      </c>
      <c r="H66" s="172"/>
      <c r="I66" s="172"/>
      <c r="J66" s="172"/>
      <c r="K66" s="172"/>
      <c r="L66" s="172"/>
      <c r="M66" s="172"/>
      <c r="N66" s="172"/>
      <c r="O66" s="172"/>
      <c r="P66" s="123">
        <f t="shared" si="28"/>
        <v>-2051.5200000000041</v>
      </c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</row>
    <row r="67" spans="1:58" x14ac:dyDescent="0.25">
      <c r="A67" s="171">
        <v>42614</v>
      </c>
      <c r="D67" s="145"/>
      <c r="E67" s="73"/>
      <c r="F67" s="73"/>
      <c r="G67" s="172">
        <v>12697.42</v>
      </c>
      <c r="H67" s="73">
        <v>94559.62</v>
      </c>
      <c r="I67" s="172"/>
      <c r="J67" s="172"/>
      <c r="K67" s="172"/>
      <c r="L67" s="172"/>
      <c r="M67" s="172"/>
      <c r="N67" s="172"/>
      <c r="O67" s="172"/>
      <c r="P67" s="123">
        <f t="shared" si="28"/>
        <v>107257.04</v>
      </c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</row>
    <row r="68" spans="1:58" x14ac:dyDescent="0.25">
      <c r="A68" s="171">
        <v>42644</v>
      </c>
      <c r="D68" s="145"/>
      <c r="E68" s="73"/>
      <c r="F68" s="73"/>
      <c r="G68" s="73">
        <v>-198933.67</v>
      </c>
      <c r="H68" s="172">
        <v>12895.03</v>
      </c>
      <c r="I68" s="73">
        <v>103158.49</v>
      </c>
      <c r="J68" s="172"/>
      <c r="K68" s="172"/>
      <c r="L68" s="172"/>
      <c r="M68" s="172"/>
      <c r="N68" s="172"/>
      <c r="O68" s="172"/>
      <c r="P68" s="123">
        <f t="shared" si="28"/>
        <v>-82880.150000000009</v>
      </c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</row>
    <row r="69" spans="1:58" x14ac:dyDescent="0.25">
      <c r="A69" s="171">
        <v>42675</v>
      </c>
      <c r="D69" s="145"/>
      <c r="E69" s="73"/>
      <c r="F69" s="73"/>
      <c r="G69" s="73"/>
      <c r="H69" s="73"/>
      <c r="I69" s="172">
        <v>14403.13</v>
      </c>
      <c r="J69" s="73"/>
      <c r="K69" s="172"/>
      <c r="L69" s="172"/>
      <c r="M69" s="172"/>
      <c r="N69" s="172"/>
      <c r="O69" s="172"/>
      <c r="P69" s="123">
        <f t="shared" si="28"/>
        <v>14403.13</v>
      </c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</row>
    <row r="70" spans="1:58" x14ac:dyDescent="0.25">
      <c r="A70" s="171">
        <v>42705</v>
      </c>
      <c r="D70" s="145"/>
      <c r="E70" s="73"/>
      <c r="F70" s="73"/>
      <c r="G70" s="73"/>
      <c r="H70" s="73"/>
      <c r="I70" s="73">
        <f>-104319.25-107257.04</f>
        <v>-211576.28999999998</v>
      </c>
      <c r="J70" s="172"/>
      <c r="K70" s="73"/>
      <c r="L70" s="172"/>
      <c r="M70" s="172"/>
      <c r="N70" s="172"/>
      <c r="O70" s="172"/>
      <c r="P70" s="123">
        <f t="shared" si="28"/>
        <v>-211576.28999999998</v>
      </c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</row>
    <row r="71" spans="1:58" x14ac:dyDescent="0.25">
      <c r="A71" s="171">
        <v>42736</v>
      </c>
      <c r="D71" s="145"/>
      <c r="E71" s="73"/>
      <c r="F71" s="73"/>
      <c r="G71" s="73"/>
      <c r="H71" s="73"/>
      <c r="I71" s="73"/>
      <c r="J71" s="73"/>
      <c r="K71" s="172"/>
      <c r="L71" s="73"/>
      <c r="M71" s="172"/>
      <c r="N71" s="172"/>
      <c r="O71" s="172"/>
      <c r="P71" s="123">
        <f t="shared" si="28"/>
        <v>0</v>
      </c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</row>
    <row r="72" spans="1:58" x14ac:dyDescent="0.25">
      <c r="A72" s="171">
        <v>42767</v>
      </c>
      <c r="D72" s="145"/>
      <c r="E72" s="73"/>
      <c r="F72" s="73"/>
      <c r="G72" s="73"/>
      <c r="H72" s="73"/>
      <c r="I72" s="73"/>
      <c r="J72" s="73"/>
      <c r="K72" s="73"/>
      <c r="L72" s="172"/>
      <c r="M72" s="73"/>
      <c r="N72" s="172"/>
      <c r="O72" s="172"/>
      <c r="P72" s="123">
        <f t="shared" si="28"/>
        <v>0</v>
      </c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</row>
    <row r="73" spans="1:58" x14ac:dyDescent="0.25">
      <c r="A73" s="171">
        <v>42795</v>
      </c>
      <c r="D73" s="145"/>
      <c r="E73" s="73"/>
      <c r="F73" s="73"/>
      <c r="G73" s="73"/>
      <c r="H73" s="73"/>
      <c r="I73" s="73"/>
      <c r="J73" s="73"/>
      <c r="K73" s="73"/>
      <c r="L73" s="73"/>
      <c r="M73" s="172"/>
      <c r="N73" s="73"/>
      <c r="O73" s="172"/>
      <c r="P73" s="123">
        <f t="shared" si="28"/>
        <v>0</v>
      </c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</row>
    <row r="74" spans="1:58" x14ac:dyDescent="0.25">
      <c r="A74" s="171">
        <v>42826</v>
      </c>
      <c r="D74" s="145"/>
      <c r="E74" s="73"/>
      <c r="F74" s="73"/>
      <c r="G74" s="73"/>
      <c r="H74" s="73"/>
      <c r="I74" s="73"/>
      <c r="J74" s="73"/>
      <c r="K74" s="73"/>
      <c r="L74" s="73"/>
      <c r="M74" s="73"/>
      <c r="N74" s="172"/>
      <c r="O74" s="73"/>
      <c r="P74" s="123">
        <f t="shared" si="28"/>
        <v>0</v>
      </c>
      <c r="Q74" s="161"/>
      <c r="R74" s="161"/>
      <c r="S74" s="161"/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</row>
    <row r="75" spans="1:58" x14ac:dyDescent="0.25">
      <c r="A75" s="171">
        <v>42856</v>
      </c>
      <c r="D75" s="145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172"/>
      <c r="P75" s="123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</row>
    <row r="76" spans="1:58" x14ac:dyDescent="0.25">
      <c r="A76" s="171" t="s">
        <v>77</v>
      </c>
      <c r="D76" s="173"/>
      <c r="E76" s="172"/>
      <c r="F76" s="172"/>
      <c r="G76" s="172">
        <v>68.8</v>
      </c>
      <c r="H76" s="172">
        <v>-68.8</v>
      </c>
      <c r="I76" s="172"/>
      <c r="J76" s="172"/>
      <c r="K76" s="172"/>
      <c r="L76" s="172"/>
      <c r="M76" s="172"/>
      <c r="N76" s="172"/>
      <c r="O76" s="172"/>
      <c r="P76" s="123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</row>
    <row r="77" spans="1:58" x14ac:dyDescent="0.25">
      <c r="A77" s="174" t="s">
        <v>78</v>
      </c>
      <c r="B77" s="175"/>
      <c r="C77" s="175"/>
      <c r="D77" s="176">
        <f>SUM(D58:D76)</f>
        <v>123695.85559999992</v>
      </c>
      <c r="E77" s="177">
        <f t="shared" ref="E77:O77" si="29">SUM(E58:E76)</f>
        <v>112228.00559999993</v>
      </c>
      <c r="F77" s="177">
        <f t="shared" si="29"/>
        <v>214650.00559999995</v>
      </c>
      <c r="G77" s="177">
        <f t="shared" si="29"/>
        <v>117085.46559999992</v>
      </c>
      <c r="H77" s="177">
        <f t="shared" si="29"/>
        <v>224471.31559999994</v>
      </c>
      <c r="I77" s="177">
        <f t="shared" si="29"/>
        <v>130456.64559999999</v>
      </c>
      <c r="J77" s="177">
        <f t="shared" si="29"/>
        <v>130456.64559999999</v>
      </c>
      <c r="K77" s="177">
        <f t="shared" si="29"/>
        <v>130456.64559999999</v>
      </c>
      <c r="L77" s="177">
        <f t="shared" si="29"/>
        <v>130456.64559999999</v>
      </c>
      <c r="M77" s="177">
        <f t="shared" si="29"/>
        <v>130456.64559999999</v>
      </c>
      <c r="N77" s="177">
        <f t="shared" si="29"/>
        <v>130456.64559999999</v>
      </c>
      <c r="O77" s="177">
        <f t="shared" si="29"/>
        <v>130456.64559999999</v>
      </c>
      <c r="P77" s="178">
        <f>SUM(P60:P76)</f>
        <v>10593.839999999967</v>
      </c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</row>
    <row r="78" spans="1:58" x14ac:dyDescent="0.25">
      <c r="A78" s="142"/>
      <c r="D78" s="145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170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</row>
    <row r="79" spans="1:58" x14ac:dyDescent="0.25">
      <c r="A79" s="174" t="s">
        <v>79</v>
      </c>
      <c r="B79" s="175"/>
      <c r="C79" s="175"/>
      <c r="D79" s="179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78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</row>
    <row r="80" spans="1:58" x14ac:dyDescent="0.25">
      <c r="A80" s="142"/>
      <c r="D80" s="145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170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</row>
    <row r="81" spans="1:59" ht="15.75" thickBot="1" x14ac:dyDescent="0.3">
      <c r="A81" s="156" t="s">
        <v>72</v>
      </c>
      <c r="B81" s="157"/>
      <c r="C81" s="157"/>
      <c r="D81" s="159">
        <f t="shared" ref="D81:E81" si="30">IF(D79=0,0,ROUND(D77-D79,2))</f>
        <v>0</v>
      </c>
      <c r="E81" s="159">
        <f t="shared" si="30"/>
        <v>0</v>
      </c>
      <c r="F81" s="159">
        <f>IF(F79=0,0,ROUND(F77-F79,2))</f>
        <v>0</v>
      </c>
      <c r="G81" s="159">
        <f t="shared" ref="G81:O81" si="31">IF(G79=0,0,ROUND(G77-G79,2))</f>
        <v>0</v>
      </c>
      <c r="H81" s="159">
        <f t="shared" si="31"/>
        <v>0</v>
      </c>
      <c r="I81" s="159">
        <f t="shared" si="31"/>
        <v>0</v>
      </c>
      <c r="J81" s="159">
        <f t="shared" si="31"/>
        <v>0</v>
      </c>
      <c r="K81" s="159">
        <f t="shared" si="31"/>
        <v>0</v>
      </c>
      <c r="L81" s="159">
        <f t="shared" si="31"/>
        <v>0</v>
      </c>
      <c r="M81" s="159">
        <f t="shared" si="31"/>
        <v>0</v>
      </c>
      <c r="N81" s="159">
        <f t="shared" si="31"/>
        <v>0</v>
      </c>
      <c r="O81" s="159">
        <f t="shared" si="31"/>
        <v>0</v>
      </c>
      <c r="P81" s="18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</row>
    <row r="82" spans="1:59" x14ac:dyDescent="0.25"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</row>
    <row r="83" spans="1:59" x14ac:dyDescent="0.25"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</row>
    <row r="84" spans="1:59" x14ac:dyDescent="0.25">
      <c r="A84" s="161" t="s">
        <v>80</v>
      </c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</row>
    <row r="85" spans="1:59" x14ac:dyDescent="0.25"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</row>
    <row r="86" spans="1:59" x14ac:dyDescent="0.25"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</row>
    <row r="87" spans="1:59" x14ac:dyDescent="0.25"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</row>
  </sheetData>
  <mergeCells count="41">
    <mergeCell ref="AV14:AY14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Q14"/>
    <mergeCell ref="AR14:AU14"/>
    <mergeCell ref="Z15:AA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AX15:AY15"/>
    <mergeCell ref="AB15:AC15"/>
    <mergeCell ref="AD15:AE15"/>
    <mergeCell ref="AF15:AG15"/>
    <mergeCell ref="AH15:AI15"/>
    <mergeCell ref="AJ15:AK15"/>
    <mergeCell ref="AL15:AM15"/>
    <mergeCell ref="AN15:AO15"/>
    <mergeCell ref="AP15:AQ15"/>
    <mergeCell ref="AR15:AS15"/>
    <mergeCell ref="AT15:AU15"/>
    <mergeCell ref="AV15:AW15"/>
    <mergeCell ref="D28:E28"/>
    <mergeCell ref="W30:AB30"/>
    <mergeCell ref="W31:X31"/>
    <mergeCell ref="Y31:Z31"/>
    <mergeCell ref="AA31:AB31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headerFooter>
    <oddFooter>&amp;L&amp;Z&amp;F&amp;RDate Printed: &amp;D</oddFooter>
  </headerFooter>
  <colBreaks count="1" manualBreakCount="1">
    <brk id="16" min="29" max="74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05B36-FA0E-9F4D-BF95-3939F2DBD28B}">
  <sheetPr>
    <pageSetUpPr fitToPage="1"/>
  </sheetPr>
  <dimension ref="A1:BH92"/>
  <sheetViews>
    <sheetView tabSelected="1" topLeftCell="A9" zoomScale="95" workbookViewId="0">
      <selection activeCell="AT7" sqref="AT7"/>
    </sheetView>
  </sheetViews>
  <sheetFormatPr defaultColWidth="8.85546875" defaultRowHeight="15" x14ac:dyDescent="0.25"/>
  <cols>
    <col min="1" max="1" width="23.140625" customWidth="1"/>
    <col min="2" max="2" width="13.140625" bestFit="1" customWidth="1"/>
    <col min="3" max="3" width="12.140625" customWidth="1"/>
    <col min="4" max="4" width="13.140625" bestFit="1" customWidth="1"/>
    <col min="5" max="11" width="12.7109375" customWidth="1"/>
    <col min="12" max="12" width="14" bestFit="1" customWidth="1"/>
    <col min="13" max="15" width="12.7109375" customWidth="1"/>
    <col min="16" max="16" width="14" bestFit="1" customWidth="1"/>
    <col min="17" max="17" width="10.42578125" customWidth="1"/>
    <col min="18" max="18" width="11.85546875" bestFit="1" customWidth="1"/>
    <col min="19" max="19" width="10.42578125" customWidth="1"/>
    <col min="20" max="20" width="12.7109375" customWidth="1"/>
    <col min="21" max="21" width="10.42578125" customWidth="1"/>
    <col min="22" max="22" width="11.85546875" bestFit="1" customWidth="1"/>
    <col min="23" max="24" width="12.42578125" bestFit="1" customWidth="1"/>
    <col min="25" max="25" width="13.5703125" bestFit="1" customWidth="1"/>
    <col min="26" max="26" width="12.42578125" bestFit="1" customWidth="1"/>
    <col min="27" max="27" width="13.5703125" bestFit="1" customWidth="1"/>
    <col min="28" max="28" width="11.7109375" customWidth="1"/>
    <col min="29" max="29" width="11.7109375" bestFit="1" customWidth="1"/>
    <col min="30" max="30" width="12.28515625" bestFit="1" customWidth="1"/>
    <col min="31" max="31" width="11.7109375" customWidth="1"/>
    <col min="32" max="32" width="11.42578125" bestFit="1" customWidth="1"/>
    <col min="33" max="33" width="11.7109375" bestFit="1" customWidth="1"/>
    <col min="34" max="34" width="12.28515625" bestFit="1" customWidth="1"/>
    <col min="35" max="35" width="11.7109375" bestFit="1" customWidth="1"/>
    <col min="36" max="36" width="12.28515625" bestFit="1" customWidth="1"/>
    <col min="37" max="37" width="11.7109375" bestFit="1" customWidth="1"/>
    <col min="38" max="38" width="12.28515625" bestFit="1" customWidth="1"/>
    <col min="39" max="39" width="11.7109375" bestFit="1" customWidth="1"/>
    <col min="40" max="40" width="11.28515625" bestFit="1" customWidth="1"/>
    <col min="41" max="41" width="11.7109375" bestFit="1" customWidth="1"/>
    <col min="42" max="42" width="12.28515625" bestFit="1" customWidth="1"/>
    <col min="43" max="43" width="11.7109375" bestFit="1" customWidth="1"/>
    <col min="44" max="44" width="11.28515625" bestFit="1" customWidth="1"/>
    <col min="45" max="45" width="11.7109375" customWidth="1"/>
    <col min="46" max="46" width="12.140625" customWidth="1"/>
    <col min="47" max="47" width="11.7109375" bestFit="1" customWidth="1"/>
    <col min="48" max="48" width="11.140625" customWidth="1"/>
    <col min="49" max="49" width="11.7109375" bestFit="1" customWidth="1"/>
    <col min="50" max="50" width="11.5703125" customWidth="1"/>
    <col min="51" max="51" width="11.7109375" customWidth="1"/>
    <col min="52" max="52" width="10.42578125" customWidth="1"/>
    <col min="53" max="53" width="11.42578125" bestFit="1" customWidth="1"/>
    <col min="54" max="54" width="12.7109375" bestFit="1" customWidth="1"/>
    <col min="55" max="55" width="11.42578125" bestFit="1" customWidth="1"/>
    <col min="56" max="56" width="12.7109375" bestFit="1" customWidth="1"/>
    <col min="57" max="57" width="11.42578125" bestFit="1" customWidth="1"/>
    <col min="58" max="58" width="12.7109375" bestFit="1" customWidth="1"/>
    <col min="59" max="61" width="10.42578125" customWidth="1"/>
  </cols>
  <sheetData>
    <row r="1" spans="1:60" ht="18.75" x14ac:dyDescent="0.3">
      <c r="A1" s="1" t="s">
        <v>0</v>
      </c>
      <c r="B1" s="1"/>
      <c r="C1" s="1"/>
    </row>
    <row r="2" spans="1:60" ht="18.75" x14ac:dyDescent="0.3">
      <c r="A2" s="1" t="str">
        <f>"For the year ended 30 June "&amp;YEAR(C6)</f>
        <v>For the year ended 30 June 2020</v>
      </c>
      <c r="B2" s="1"/>
      <c r="C2" s="1"/>
    </row>
    <row r="3" spans="1:60" ht="3" customHeight="1" thickBot="1" x14ac:dyDescent="0.3"/>
    <row r="4" spans="1:60" x14ac:dyDescent="0.25">
      <c r="A4" s="2" t="s">
        <v>1</v>
      </c>
      <c r="B4" s="3"/>
      <c r="C4" s="4"/>
      <c r="E4" s="5" t="s">
        <v>2</v>
      </c>
      <c r="F4" s="6"/>
      <c r="G4" s="6"/>
      <c r="H4" s="7"/>
      <c r="J4" s="8" t="s">
        <v>3</v>
      </c>
      <c r="K4" s="9"/>
      <c r="L4" s="9"/>
      <c r="M4" s="9"/>
      <c r="N4" s="9"/>
      <c r="O4" s="9"/>
      <c r="P4" s="9"/>
      <c r="Q4" s="9"/>
      <c r="R4" s="10"/>
    </row>
    <row r="5" spans="1:60" x14ac:dyDescent="0.25">
      <c r="A5" s="11" t="s">
        <v>4</v>
      </c>
      <c r="B5" s="12"/>
      <c r="C5" s="13" t="s">
        <v>5</v>
      </c>
      <c r="E5" s="14" t="s">
        <v>6</v>
      </c>
      <c r="F5" s="15"/>
      <c r="G5" s="15"/>
      <c r="H5" s="16"/>
      <c r="J5" s="17" t="s">
        <v>7</v>
      </c>
      <c r="K5" s="18"/>
      <c r="L5" s="18"/>
      <c r="M5" s="18"/>
      <c r="N5" s="18"/>
      <c r="O5" s="18"/>
      <c r="P5" s="18"/>
      <c r="Q5" s="18"/>
      <c r="R5" s="19"/>
    </row>
    <row r="6" spans="1:60" x14ac:dyDescent="0.25">
      <c r="A6" s="11" t="s">
        <v>8</v>
      </c>
      <c r="B6" s="12"/>
      <c r="C6" s="20">
        <v>44012</v>
      </c>
      <c r="E6" s="21" t="s">
        <v>9</v>
      </c>
      <c r="F6" s="15"/>
      <c r="G6" s="22">
        <v>30836.63</v>
      </c>
      <c r="H6" s="16"/>
      <c r="J6" s="17" t="s">
        <v>10</v>
      </c>
      <c r="K6" s="18"/>
      <c r="L6" s="18"/>
      <c r="M6" s="18"/>
      <c r="N6" s="18"/>
      <c r="O6" s="18"/>
      <c r="P6" s="18"/>
      <c r="Q6" s="18"/>
      <c r="R6" s="19"/>
    </row>
    <row r="7" spans="1:60" x14ac:dyDescent="0.25">
      <c r="A7" s="11" t="s">
        <v>11</v>
      </c>
      <c r="B7" s="12"/>
      <c r="C7" s="23">
        <v>6.6E-3</v>
      </c>
      <c r="E7" s="21"/>
      <c r="F7" s="15"/>
      <c r="G7" s="15"/>
      <c r="H7" s="16"/>
      <c r="J7" s="17" t="s">
        <v>12</v>
      </c>
      <c r="K7" s="18"/>
      <c r="L7" s="18"/>
      <c r="M7" s="18"/>
      <c r="N7" s="18"/>
      <c r="O7" s="18"/>
      <c r="P7" s="18"/>
      <c r="Q7" s="18"/>
      <c r="R7" s="19"/>
    </row>
    <row r="8" spans="1:60" x14ac:dyDescent="0.25">
      <c r="A8" s="11" t="s">
        <v>13</v>
      </c>
      <c r="B8" s="12"/>
      <c r="C8" s="23">
        <v>3.3E-3</v>
      </c>
      <c r="E8" s="21" t="s">
        <v>14</v>
      </c>
      <c r="F8" s="15"/>
      <c r="G8" s="139">
        <f>G6*0.5/C7</f>
        <v>2336108.3333333335</v>
      </c>
      <c r="H8" s="16"/>
      <c r="J8" s="17" t="s">
        <v>15</v>
      </c>
      <c r="K8" s="18"/>
      <c r="L8" s="18"/>
      <c r="M8" s="18"/>
      <c r="N8" s="18"/>
      <c r="O8" s="18"/>
      <c r="P8" s="18"/>
      <c r="Q8" s="18"/>
      <c r="R8" s="19"/>
    </row>
    <row r="9" spans="1:60" x14ac:dyDescent="0.25">
      <c r="A9" s="11" t="s">
        <v>16</v>
      </c>
      <c r="B9" s="24">
        <v>125394000</v>
      </c>
      <c r="C9" s="25">
        <f>B9/SUM($B$9:$B$11)</f>
        <v>0.70441474077586408</v>
      </c>
      <c r="E9" s="21" t="s">
        <v>17</v>
      </c>
      <c r="F9" s="15"/>
      <c r="G9" s="139">
        <f>(G6*0.5)/C8</f>
        <v>4672216.666666667</v>
      </c>
      <c r="H9" s="16"/>
      <c r="J9" s="17" t="s">
        <v>18</v>
      </c>
      <c r="K9" s="18"/>
      <c r="L9" s="18"/>
      <c r="M9" s="18"/>
      <c r="N9" s="18"/>
      <c r="O9" s="18"/>
      <c r="P9" s="18"/>
      <c r="Q9" s="18"/>
      <c r="R9" s="19"/>
    </row>
    <row r="10" spans="1:60" x14ac:dyDescent="0.25">
      <c r="A10" s="11" t="s">
        <v>19</v>
      </c>
      <c r="B10" s="24">
        <v>29138320</v>
      </c>
      <c r="C10" s="25">
        <f>B10/SUM($B$9:$B$11)</f>
        <v>0.1636877532373493</v>
      </c>
      <c r="E10" s="26" t="s">
        <v>20</v>
      </c>
      <c r="F10" s="15"/>
      <c r="G10" s="15"/>
      <c r="H10" s="16"/>
      <c r="J10" s="17" t="s">
        <v>21</v>
      </c>
      <c r="K10" s="18"/>
      <c r="L10" s="18"/>
      <c r="M10" s="18"/>
      <c r="N10" s="18"/>
      <c r="O10" s="18"/>
      <c r="P10" s="18"/>
      <c r="Q10" s="18"/>
      <c r="R10" s="19"/>
    </row>
    <row r="11" spans="1:60" x14ac:dyDescent="0.25">
      <c r="A11" s="11" t="s">
        <v>22</v>
      </c>
      <c r="B11" s="24">
        <v>23479287</v>
      </c>
      <c r="C11" s="25">
        <f>B11/SUM($B$9:$B$11)</f>
        <v>0.13189750598678657</v>
      </c>
      <c r="E11" s="21"/>
      <c r="F11" s="15"/>
      <c r="G11" s="15"/>
      <c r="H11" s="16"/>
      <c r="J11" s="17" t="s">
        <v>23</v>
      </c>
      <c r="K11" s="18"/>
      <c r="L11" s="18"/>
      <c r="M11" s="18"/>
      <c r="N11" s="18"/>
      <c r="O11" s="18"/>
      <c r="P11" s="18"/>
      <c r="Q11" s="18"/>
      <c r="R11" s="19"/>
    </row>
    <row r="12" spans="1:60" ht="15.75" thickBot="1" x14ac:dyDescent="0.3">
      <c r="A12" s="27" t="s">
        <v>24</v>
      </c>
      <c r="B12" s="28"/>
      <c r="C12" s="29">
        <v>2000</v>
      </c>
      <c r="E12" s="30"/>
      <c r="F12" s="31"/>
      <c r="G12" s="31"/>
      <c r="H12" s="32"/>
      <c r="J12" s="33"/>
      <c r="K12" s="34"/>
      <c r="L12" s="34"/>
      <c r="M12" s="34"/>
      <c r="N12" s="34"/>
      <c r="O12" s="34"/>
      <c r="P12" s="34"/>
      <c r="Q12" s="34"/>
      <c r="R12" s="35"/>
    </row>
    <row r="13" spans="1:60" ht="15.75" thickBot="1" x14ac:dyDescent="0.3">
      <c r="A13" s="36"/>
      <c r="B13" s="36"/>
      <c r="C13" s="36"/>
    </row>
    <row r="14" spans="1:60" ht="15.75" thickBot="1" x14ac:dyDescent="0.3">
      <c r="A14" s="37" t="s">
        <v>25</v>
      </c>
      <c r="B14" s="38"/>
      <c r="C14" s="39"/>
      <c r="D14" s="237" t="s">
        <v>5</v>
      </c>
      <c r="E14" s="238"/>
      <c r="F14" s="238"/>
      <c r="G14" s="238"/>
      <c r="H14" s="239" t="s">
        <v>26</v>
      </c>
      <c r="I14" s="238"/>
      <c r="J14" s="238"/>
      <c r="K14" s="240"/>
      <c r="L14" s="235" t="s">
        <v>27</v>
      </c>
      <c r="M14" s="235"/>
      <c r="N14" s="235"/>
      <c r="O14" s="235"/>
      <c r="P14" s="235" t="s">
        <v>28</v>
      </c>
      <c r="Q14" s="235"/>
      <c r="R14" s="235"/>
      <c r="S14" s="235"/>
      <c r="T14" s="235" t="s">
        <v>29</v>
      </c>
      <c r="U14" s="235"/>
      <c r="V14" s="235"/>
      <c r="W14" s="235"/>
      <c r="X14" s="235" t="s">
        <v>30</v>
      </c>
      <c r="Y14" s="235"/>
      <c r="Z14" s="235"/>
      <c r="AA14" s="235"/>
      <c r="AB14" s="235" t="s">
        <v>31</v>
      </c>
      <c r="AC14" s="235"/>
      <c r="AD14" s="235"/>
      <c r="AE14" s="235"/>
      <c r="AF14" s="235" t="s">
        <v>32</v>
      </c>
      <c r="AG14" s="235"/>
      <c r="AH14" s="235"/>
      <c r="AI14" s="235"/>
      <c r="AJ14" s="235" t="s">
        <v>33</v>
      </c>
      <c r="AK14" s="235"/>
      <c r="AL14" s="235"/>
      <c r="AM14" s="235"/>
      <c r="AN14" s="235" t="s">
        <v>34</v>
      </c>
      <c r="AO14" s="235"/>
      <c r="AP14" s="235"/>
      <c r="AQ14" s="235"/>
      <c r="AR14" s="235" t="s">
        <v>35</v>
      </c>
      <c r="AS14" s="235"/>
      <c r="AT14" s="235"/>
      <c r="AU14" s="239"/>
      <c r="AV14" s="234" t="s">
        <v>36</v>
      </c>
      <c r="AW14" s="235"/>
      <c r="AX14" s="235"/>
      <c r="AY14" s="236"/>
      <c r="BG14" s="105"/>
      <c r="BH14" s="105"/>
    </row>
    <row r="15" spans="1:60" x14ac:dyDescent="0.25">
      <c r="A15" s="40"/>
      <c r="B15" s="36"/>
      <c r="C15" s="36"/>
      <c r="D15" s="227" t="s">
        <v>37</v>
      </c>
      <c r="E15" s="228"/>
      <c r="F15" s="227" t="s">
        <v>38</v>
      </c>
      <c r="G15" s="228"/>
      <c r="H15" s="227" t="s">
        <v>37</v>
      </c>
      <c r="I15" s="228"/>
      <c r="J15" s="227" t="s">
        <v>38</v>
      </c>
      <c r="K15" s="228"/>
      <c r="L15" s="227" t="s">
        <v>37</v>
      </c>
      <c r="M15" s="228"/>
      <c r="N15" s="227" t="s">
        <v>38</v>
      </c>
      <c r="O15" s="228"/>
      <c r="P15" s="227" t="s">
        <v>37</v>
      </c>
      <c r="Q15" s="228"/>
      <c r="R15" s="227" t="s">
        <v>38</v>
      </c>
      <c r="S15" s="228"/>
      <c r="T15" s="227" t="s">
        <v>37</v>
      </c>
      <c r="U15" s="228"/>
      <c r="V15" s="227" t="s">
        <v>38</v>
      </c>
      <c r="W15" s="228"/>
      <c r="X15" s="227" t="s">
        <v>37</v>
      </c>
      <c r="Y15" s="228"/>
      <c r="Z15" s="227" t="s">
        <v>38</v>
      </c>
      <c r="AA15" s="228"/>
      <c r="AB15" s="227" t="s">
        <v>37</v>
      </c>
      <c r="AC15" s="228"/>
      <c r="AD15" s="227" t="s">
        <v>38</v>
      </c>
      <c r="AE15" s="228"/>
      <c r="AF15" s="227" t="s">
        <v>37</v>
      </c>
      <c r="AG15" s="228"/>
      <c r="AH15" s="227" t="s">
        <v>38</v>
      </c>
      <c r="AI15" s="228"/>
      <c r="AJ15" s="227" t="s">
        <v>37</v>
      </c>
      <c r="AK15" s="228"/>
      <c r="AL15" s="227" t="s">
        <v>38</v>
      </c>
      <c r="AM15" s="228"/>
      <c r="AN15" s="227" t="s">
        <v>37</v>
      </c>
      <c r="AO15" s="228"/>
      <c r="AP15" s="225" t="s">
        <v>38</v>
      </c>
      <c r="AQ15" s="228"/>
      <c r="AR15" s="225" t="s">
        <v>37</v>
      </c>
      <c r="AS15" s="228"/>
      <c r="AT15" s="225" t="s">
        <v>38</v>
      </c>
      <c r="AU15" s="225"/>
      <c r="AV15" s="229" t="s">
        <v>37</v>
      </c>
      <c r="AW15" s="228"/>
      <c r="AX15" s="225" t="s">
        <v>38</v>
      </c>
      <c r="AY15" s="226"/>
      <c r="BG15" s="116"/>
      <c r="BH15" s="117"/>
    </row>
    <row r="16" spans="1:60" x14ac:dyDescent="0.25">
      <c r="A16" s="41"/>
      <c r="B16" s="42"/>
      <c r="C16" s="42"/>
      <c r="D16" s="43" t="s">
        <v>39</v>
      </c>
      <c r="E16" s="44" t="s">
        <v>40</v>
      </c>
      <c r="F16" s="43" t="s">
        <v>39</v>
      </c>
      <c r="G16" s="44" t="s">
        <v>40</v>
      </c>
      <c r="H16" s="43" t="s">
        <v>39</v>
      </c>
      <c r="I16" s="44" t="s">
        <v>40</v>
      </c>
      <c r="J16" s="43" t="s">
        <v>39</v>
      </c>
      <c r="K16" s="44" t="s">
        <v>40</v>
      </c>
      <c r="L16" s="43" t="s">
        <v>39</v>
      </c>
      <c r="M16" s="44" t="s">
        <v>40</v>
      </c>
      <c r="N16" s="43" t="s">
        <v>39</v>
      </c>
      <c r="O16" s="44" t="s">
        <v>40</v>
      </c>
      <c r="P16" s="43" t="s">
        <v>39</v>
      </c>
      <c r="Q16" s="44" t="s">
        <v>40</v>
      </c>
      <c r="R16" s="43" t="s">
        <v>39</v>
      </c>
      <c r="S16" s="44" t="s">
        <v>40</v>
      </c>
      <c r="T16" s="43" t="s">
        <v>39</v>
      </c>
      <c r="U16" s="44" t="s">
        <v>40</v>
      </c>
      <c r="V16" s="43" t="s">
        <v>39</v>
      </c>
      <c r="W16" s="44" t="s">
        <v>40</v>
      </c>
      <c r="X16" s="43" t="s">
        <v>39</v>
      </c>
      <c r="Y16" s="44" t="s">
        <v>40</v>
      </c>
      <c r="Z16" s="43" t="s">
        <v>39</v>
      </c>
      <c r="AA16" s="44" t="s">
        <v>40</v>
      </c>
      <c r="AB16" s="43" t="s">
        <v>39</v>
      </c>
      <c r="AC16" s="44" t="s">
        <v>40</v>
      </c>
      <c r="AD16" s="43" t="s">
        <v>39</v>
      </c>
      <c r="AE16" s="44" t="s">
        <v>40</v>
      </c>
      <c r="AF16" s="43" t="s">
        <v>39</v>
      </c>
      <c r="AG16" s="44" t="s">
        <v>40</v>
      </c>
      <c r="AH16" s="43" t="s">
        <v>39</v>
      </c>
      <c r="AI16" s="44" t="s">
        <v>40</v>
      </c>
      <c r="AJ16" s="43" t="s">
        <v>39</v>
      </c>
      <c r="AK16" s="44" t="s">
        <v>40</v>
      </c>
      <c r="AL16" s="43" t="s">
        <v>39</v>
      </c>
      <c r="AM16" s="44" t="s">
        <v>40</v>
      </c>
      <c r="AN16" s="43" t="s">
        <v>39</v>
      </c>
      <c r="AO16" s="44" t="s">
        <v>40</v>
      </c>
      <c r="AP16" s="43" t="s">
        <v>39</v>
      </c>
      <c r="AQ16" s="44" t="s">
        <v>40</v>
      </c>
      <c r="AR16" s="43" t="s">
        <v>39</v>
      </c>
      <c r="AS16" s="44" t="s">
        <v>40</v>
      </c>
      <c r="AT16" s="43" t="s">
        <v>39</v>
      </c>
      <c r="AU16" s="45" t="s">
        <v>40</v>
      </c>
      <c r="AV16" s="46" t="s">
        <v>39</v>
      </c>
      <c r="AW16" s="44" t="s">
        <v>40</v>
      </c>
      <c r="AX16" s="43" t="s">
        <v>39</v>
      </c>
      <c r="AY16" s="47" t="s">
        <v>40</v>
      </c>
      <c r="BG16" s="118"/>
      <c r="BH16" s="118"/>
    </row>
    <row r="17" spans="1:60" x14ac:dyDescent="0.25">
      <c r="A17" s="48" t="s">
        <v>41</v>
      </c>
      <c r="B17" s="49"/>
      <c r="C17" s="49"/>
      <c r="D17" s="50">
        <v>2422015</v>
      </c>
      <c r="E17" s="51">
        <f t="shared" ref="E17:E26" si="0">D17*$C$7</f>
        <v>15985.298999999999</v>
      </c>
      <c r="F17" s="50">
        <v>2675464</v>
      </c>
      <c r="G17" s="51">
        <f t="shared" ref="G17:G26" si="1">F17*$C$8</f>
        <v>8829.0311999999994</v>
      </c>
      <c r="H17" s="50">
        <v>2483218</v>
      </c>
      <c r="I17" s="51">
        <f t="shared" ref="I17:I26" si="2">H17*$C$7</f>
        <v>16389.238799999999</v>
      </c>
      <c r="J17" s="50">
        <v>2664136</v>
      </c>
      <c r="K17" s="51">
        <f t="shared" ref="K17:K26" si="3">J17*$C$8</f>
        <v>8791.6488000000008</v>
      </c>
      <c r="L17" s="50">
        <v>2446933</v>
      </c>
      <c r="M17" s="51">
        <f t="shared" ref="M17:M26" si="4">L17*$C$7</f>
        <v>16149.757799999999</v>
      </c>
      <c r="N17" s="50">
        <v>3017645</v>
      </c>
      <c r="O17" s="51">
        <f t="shared" ref="O17:O26" si="5">N17*$C$8</f>
        <v>9958.2284999999993</v>
      </c>
      <c r="P17" s="50">
        <v>2496586</v>
      </c>
      <c r="Q17" s="51">
        <f t="shared" ref="Q17:Q26" si="6">P17*$C$7</f>
        <v>16477.4676</v>
      </c>
      <c r="R17" s="50">
        <v>2964218</v>
      </c>
      <c r="S17" s="51">
        <f t="shared" ref="S17:S26" si="7">R17*$C$8</f>
        <v>9781.9194000000007</v>
      </c>
      <c r="T17" s="50">
        <v>2509501</v>
      </c>
      <c r="U17" s="51">
        <f t="shared" ref="U17:U26" si="8">T17*$C$7</f>
        <v>16562.706600000001</v>
      </c>
      <c r="V17" s="50">
        <v>2983224</v>
      </c>
      <c r="W17" s="51">
        <f t="shared" ref="W17:W26" si="9">V17*$C$8</f>
        <v>9844.6391999999996</v>
      </c>
      <c r="X17" s="50">
        <v>2592439</v>
      </c>
      <c r="Y17" s="51">
        <f t="shared" ref="Y17:Y26" si="10">X17*$C$7</f>
        <v>17110.097399999999</v>
      </c>
      <c r="Z17" s="50">
        <v>3328101</v>
      </c>
      <c r="AA17" s="51">
        <f t="shared" ref="AA17:AA26" si="11">Z17*$C$8</f>
        <v>10982.7333</v>
      </c>
      <c r="AB17" s="50">
        <v>2451808</v>
      </c>
      <c r="AC17" s="51">
        <f t="shared" ref="AC17:AC26" si="12">AB17*$C$7</f>
        <v>16181.9328</v>
      </c>
      <c r="AD17" s="50">
        <v>2913214</v>
      </c>
      <c r="AE17" s="51">
        <f t="shared" ref="AE17:AE26" si="13">AD17*$C$8</f>
        <v>9613.6062000000002</v>
      </c>
      <c r="AF17" s="50">
        <v>2561431</v>
      </c>
      <c r="AG17" s="51">
        <f t="shared" ref="AG17:AG26" si="14">AF17*$C$7</f>
        <v>16905.444599999999</v>
      </c>
      <c r="AH17" s="50">
        <v>3106547</v>
      </c>
      <c r="AI17" s="51">
        <f t="shared" ref="AI17:AI26" si="15">AH17*$C$8</f>
        <v>10251.605100000001</v>
      </c>
      <c r="AJ17" s="50">
        <v>2208672</v>
      </c>
      <c r="AK17" s="51">
        <f t="shared" ref="AK17:AK26" si="16">AJ17*$C$7</f>
        <v>14577.235199999999</v>
      </c>
      <c r="AL17" s="50">
        <v>3169777</v>
      </c>
      <c r="AM17" s="51">
        <f t="shared" ref="AM17:AM26" si="17">AL17*$C$8</f>
        <v>10460.2641</v>
      </c>
      <c r="AN17" s="50">
        <v>485582</v>
      </c>
      <c r="AO17" s="51">
        <f t="shared" ref="AO17:AO26" si="18">AN17*$C$7</f>
        <v>3204.8411999999998</v>
      </c>
      <c r="AP17" s="52">
        <v>1213131</v>
      </c>
      <c r="AQ17" s="51">
        <f t="shared" ref="AQ17:AQ26" si="19">AP17*$C$8</f>
        <v>4003.3323</v>
      </c>
      <c r="AR17" s="52">
        <v>1732191</v>
      </c>
      <c r="AS17" s="51">
        <f t="shared" ref="AS17:AS26" si="20">AR17*$C$7</f>
        <v>11432.4606</v>
      </c>
      <c r="AT17" s="52">
        <v>3171275</v>
      </c>
      <c r="AU17" s="53">
        <f t="shared" ref="AU17:AU26" si="21">AT17*$C$8</f>
        <v>10465.2075</v>
      </c>
      <c r="AV17" s="54">
        <v>2116551</v>
      </c>
      <c r="AW17" s="51">
        <f t="shared" ref="AW17:AW26" si="22">AV17*$C$7</f>
        <v>13969.2366</v>
      </c>
      <c r="AX17" s="52">
        <v>2980762</v>
      </c>
      <c r="AY17" s="55">
        <f t="shared" ref="AY17:AY26" si="23">AX17*$C$8</f>
        <v>9836.5146000000004</v>
      </c>
      <c r="AZ17" s="53"/>
      <c r="BG17" s="53"/>
      <c r="BH17" s="53"/>
    </row>
    <row r="18" spans="1:60" x14ac:dyDescent="0.25">
      <c r="A18" s="48" t="s">
        <v>42</v>
      </c>
      <c r="B18" s="49"/>
      <c r="C18" s="49"/>
      <c r="D18" s="50"/>
      <c r="E18" s="51">
        <f t="shared" si="0"/>
        <v>0</v>
      </c>
      <c r="F18" s="50"/>
      <c r="G18" s="51">
        <f t="shared" si="1"/>
        <v>0</v>
      </c>
      <c r="H18" s="50"/>
      <c r="I18" s="51">
        <f t="shared" si="2"/>
        <v>0</v>
      </c>
      <c r="J18" s="50"/>
      <c r="K18" s="51">
        <f t="shared" si="3"/>
        <v>0</v>
      </c>
      <c r="L18" s="50"/>
      <c r="M18" s="51">
        <f t="shared" si="4"/>
        <v>0</v>
      </c>
      <c r="N18" s="50"/>
      <c r="O18" s="51">
        <f t="shared" si="5"/>
        <v>0</v>
      </c>
      <c r="P18" s="50"/>
      <c r="Q18" s="51">
        <f t="shared" si="6"/>
        <v>0</v>
      </c>
      <c r="R18" s="50"/>
      <c r="S18" s="51">
        <f t="shared" si="7"/>
        <v>0</v>
      </c>
      <c r="T18" s="50"/>
      <c r="U18" s="51">
        <f t="shared" si="8"/>
        <v>0</v>
      </c>
      <c r="V18" s="50"/>
      <c r="W18" s="51">
        <f t="shared" si="9"/>
        <v>0</v>
      </c>
      <c r="X18" s="50"/>
      <c r="Y18" s="51">
        <f t="shared" si="10"/>
        <v>0</v>
      </c>
      <c r="Z18" s="50"/>
      <c r="AA18" s="51">
        <f t="shared" si="11"/>
        <v>0</v>
      </c>
      <c r="AB18" s="50"/>
      <c r="AC18" s="51">
        <f t="shared" si="12"/>
        <v>0</v>
      </c>
      <c r="AD18" s="50"/>
      <c r="AE18" s="51">
        <f t="shared" si="13"/>
        <v>0</v>
      </c>
      <c r="AF18" s="50"/>
      <c r="AG18" s="51">
        <f t="shared" si="14"/>
        <v>0</v>
      </c>
      <c r="AH18" s="50"/>
      <c r="AI18" s="51">
        <f t="shared" si="15"/>
        <v>0</v>
      </c>
      <c r="AJ18" s="50"/>
      <c r="AK18" s="51">
        <f t="shared" si="16"/>
        <v>0</v>
      </c>
      <c r="AL18" s="50"/>
      <c r="AM18" s="51">
        <f t="shared" si="17"/>
        <v>0</v>
      </c>
      <c r="AN18" s="50"/>
      <c r="AO18" s="51">
        <f t="shared" si="18"/>
        <v>0</v>
      </c>
      <c r="AP18" s="52"/>
      <c r="AQ18" s="51">
        <f t="shared" si="19"/>
        <v>0</v>
      </c>
      <c r="AR18" s="52"/>
      <c r="AS18" s="51">
        <f t="shared" si="20"/>
        <v>0</v>
      </c>
      <c r="AT18" s="52"/>
      <c r="AU18" s="53">
        <f t="shared" si="21"/>
        <v>0</v>
      </c>
      <c r="AV18" s="54"/>
      <c r="AW18" s="51">
        <f t="shared" si="22"/>
        <v>0</v>
      </c>
      <c r="AX18" s="52"/>
      <c r="AY18" s="55">
        <f t="shared" si="23"/>
        <v>0</v>
      </c>
      <c r="AZ18" s="53"/>
      <c r="BG18" s="53"/>
      <c r="BH18" s="53"/>
    </row>
    <row r="19" spans="1:60" x14ac:dyDescent="0.25">
      <c r="A19" s="48" t="s">
        <v>43</v>
      </c>
      <c r="B19" s="49"/>
      <c r="C19" s="49"/>
      <c r="D19" s="50">
        <v>886829</v>
      </c>
      <c r="E19" s="51">
        <f t="shared" si="0"/>
        <v>5853.0713999999998</v>
      </c>
      <c r="F19" s="50">
        <v>624085</v>
      </c>
      <c r="G19" s="51">
        <f t="shared" si="1"/>
        <v>2059.4805000000001</v>
      </c>
      <c r="H19" s="50">
        <v>941126</v>
      </c>
      <c r="I19" s="51">
        <f t="shared" si="2"/>
        <v>6211.4315999999999</v>
      </c>
      <c r="J19" s="50">
        <v>611142</v>
      </c>
      <c r="K19" s="51">
        <f t="shared" si="3"/>
        <v>2016.7685999999999</v>
      </c>
      <c r="L19" s="50">
        <v>865721</v>
      </c>
      <c r="M19" s="51">
        <f t="shared" si="4"/>
        <v>5713.7586000000001</v>
      </c>
      <c r="N19" s="50">
        <v>625164</v>
      </c>
      <c r="O19" s="51">
        <f t="shared" si="5"/>
        <v>2063.0412000000001</v>
      </c>
      <c r="P19" s="50">
        <v>950686</v>
      </c>
      <c r="Q19" s="51">
        <f t="shared" si="6"/>
        <v>6274.5276000000003</v>
      </c>
      <c r="R19" s="50">
        <v>748128</v>
      </c>
      <c r="S19" s="51">
        <f t="shared" si="7"/>
        <v>2468.8224</v>
      </c>
      <c r="T19" s="50">
        <v>987474</v>
      </c>
      <c r="U19" s="51">
        <f t="shared" si="8"/>
        <v>6517.3284000000003</v>
      </c>
      <c r="V19" s="50">
        <v>709685</v>
      </c>
      <c r="W19" s="51">
        <f t="shared" si="9"/>
        <v>2341.9605000000001</v>
      </c>
      <c r="X19" s="50">
        <v>1005275</v>
      </c>
      <c r="Y19" s="51">
        <f t="shared" si="10"/>
        <v>6634.8149999999996</v>
      </c>
      <c r="Z19" s="50">
        <v>709243</v>
      </c>
      <c r="AA19" s="51">
        <f t="shared" si="11"/>
        <v>2340.5019000000002</v>
      </c>
      <c r="AB19" s="50">
        <v>948118</v>
      </c>
      <c r="AC19" s="51">
        <f t="shared" si="12"/>
        <v>6257.5788000000002</v>
      </c>
      <c r="AD19" s="50">
        <v>734516</v>
      </c>
      <c r="AE19" s="51">
        <f t="shared" si="13"/>
        <v>2423.9027999999998</v>
      </c>
      <c r="AF19" s="50">
        <v>1057783</v>
      </c>
      <c r="AG19" s="51">
        <f t="shared" si="14"/>
        <v>6981.3678</v>
      </c>
      <c r="AH19" s="50">
        <v>734506</v>
      </c>
      <c r="AI19" s="51">
        <f t="shared" si="15"/>
        <v>2423.8697999999999</v>
      </c>
      <c r="AJ19" s="50">
        <v>869400</v>
      </c>
      <c r="AK19" s="51">
        <f t="shared" si="16"/>
        <v>5738.04</v>
      </c>
      <c r="AL19" s="50">
        <v>648224</v>
      </c>
      <c r="AM19" s="51">
        <f t="shared" si="17"/>
        <v>2139.1392000000001</v>
      </c>
      <c r="AN19" s="50">
        <v>152707</v>
      </c>
      <c r="AO19" s="51">
        <f t="shared" si="18"/>
        <v>1007.8662</v>
      </c>
      <c r="AP19" s="52">
        <v>238203</v>
      </c>
      <c r="AQ19" s="51">
        <f t="shared" si="19"/>
        <v>786.06989999999996</v>
      </c>
      <c r="AR19" s="52">
        <v>629183</v>
      </c>
      <c r="AS19" s="51">
        <f t="shared" si="20"/>
        <v>4152.6077999999998</v>
      </c>
      <c r="AT19" s="52">
        <v>525682</v>
      </c>
      <c r="AU19" s="53">
        <f t="shared" si="21"/>
        <v>1734.7506000000001</v>
      </c>
      <c r="AV19" s="54">
        <v>834884</v>
      </c>
      <c r="AW19" s="51">
        <f t="shared" si="22"/>
        <v>5510.2344000000003</v>
      </c>
      <c r="AX19" s="52">
        <v>634936</v>
      </c>
      <c r="AY19" s="55">
        <f t="shared" si="23"/>
        <v>2095.2887999999998</v>
      </c>
      <c r="AZ19" s="53"/>
      <c r="BG19" s="53"/>
      <c r="BH19" s="53"/>
    </row>
    <row r="20" spans="1:60" x14ac:dyDescent="0.25">
      <c r="A20" s="48" t="s">
        <v>44</v>
      </c>
      <c r="B20" s="49"/>
      <c r="C20" s="49"/>
      <c r="D20" s="50">
        <v>2707205.87</v>
      </c>
      <c r="E20" s="51">
        <f t="shared" si="0"/>
        <v>17867.558742000001</v>
      </c>
      <c r="F20" s="50">
        <v>3557391.91</v>
      </c>
      <c r="G20" s="51">
        <f t="shared" si="1"/>
        <v>11739.393303000001</v>
      </c>
      <c r="H20" s="50">
        <v>2769307</v>
      </c>
      <c r="I20" s="51">
        <f t="shared" si="2"/>
        <v>18277.426200000002</v>
      </c>
      <c r="J20" s="50">
        <v>3388151</v>
      </c>
      <c r="K20" s="51">
        <f t="shared" si="3"/>
        <v>11180.898300000001</v>
      </c>
      <c r="L20" s="50">
        <v>2782896.06</v>
      </c>
      <c r="M20" s="51">
        <f t="shared" si="4"/>
        <v>18367.113996</v>
      </c>
      <c r="N20" s="50">
        <v>3623833.57</v>
      </c>
      <c r="O20" s="51">
        <f t="shared" si="5"/>
        <v>11958.650781</v>
      </c>
      <c r="P20" s="50">
        <v>2954206.9</v>
      </c>
      <c r="Q20" s="51">
        <f t="shared" si="6"/>
        <v>19497.76554</v>
      </c>
      <c r="R20" s="50">
        <v>4279469</v>
      </c>
      <c r="S20" s="51">
        <f t="shared" si="7"/>
        <v>14122.2477</v>
      </c>
      <c r="T20" s="50">
        <v>2898105.15</v>
      </c>
      <c r="U20" s="51">
        <f t="shared" si="8"/>
        <v>19127.493989999999</v>
      </c>
      <c r="V20" s="50">
        <v>4221236.8099999996</v>
      </c>
      <c r="W20" s="51">
        <f t="shared" si="9"/>
        <v>13930.081472999998</v>
      </c>
      <c r="X20" s="50">
        <v>3093543</v>
      </c>
      <c r="Y20" s="51">
        <f t="shared" si="10"/>
        <v>20417.3838</v>
      </c>
      <c r="Z20" s="50">
        <v>3550674</v>
      </c>
      <c r="AA20" s="51">
        <f t="shared" si="11"/>
        <v>11717.224200000001</v>
      </c>
      <c r="AB20" s="50">
        <v>2814574.04</v>
      </c>
      <c r="AC20" s="51">
        <f t="shared" si="12"/>
        <v>18576.188664000001</v>
      </c>
      <c r="AD20" s="50">
        <v>3432061.46</v>
      </c>
      <c r="AE20" s="51">
        <f t="shared" si="13"/>
        <v>11325.802818</v>
      </c>
      <c r="AF20" s="50">
        <v>2336108</v>
      </c>
      <c r="AG20" s="51">
        <f t="shared" si="14"/>
        <v>15418.3128</v>
      </c>
      <c r="AH20" s="50">
        <v>4672217</v>
      </c>
      <c r="AI20" s="51">
        <f t="shared" si="15"/>
        <v>15418.3161</v>
      </c>
      <c r="AJ20" s="50">
        <v>2571416</v>
      </c>
      <c r="AK20" s="51">
        <f t="shared" si="16"/>
        <v>16971.345600000001</v>
      </c>
      <c r="AL20" s="50">
        <v>3260374</v>
      </c>
      <c r="AM20" s="51">
        <f t="shared" si="17"/>
        <v>10759.234200000001</v>
      </c>
      <c r="AN20" s="50">
        <v>764680</v>
      </c>
      <c r="AO20" s="51">
        <f t="shared" si="18"/>
        <v>5046.8879999999999</v>
      </c>
      <c r="AP20" s="52">
        <v>1882461.48</v>
      </c>
      <c r="AQ20" s="51">
        <f t="shared" si="19"/>
        <v>6212.1228840000003</v>
      </c>
      <c r="AR20" s="52">
        <v>2052841.8</v>
      </c>
      <c r="AS20" s="51">
        <f t="shared" si="20"/>
        <v>13548.755880000001</v>
      </c>
      <c r="AT20" s="52">
        <v>3229963.08</v>
      </c>
      <c r="AU20" s="53">
        <f t="shared" si="21"/>
        <v>10658.878164</v>
      </c>
      <c r="AV20" s="54">
        <v>2512267.17</v>
      </c>
      <c r="AW20" s="51">
        <f t="shared" si="22"/>
        <v>16580.963322</v>
      </c>
      <c r="AX20" s="52">
        <v>3569520.01</v>
      </c>
      <c r="AY20" s="55">
        <f t="shared" si="23"/>
        <v>11779.416033</v>
      </c>
      <c r="AZ20" s="53"/>
      <c r="BG20" s="53"/>
      <c r="BH20" s="53"/>
    </row>
    <row r="21" spans="1:60" x14ac:dyDescent="0.25">
      <c r="A21" s="48" t="s">
        <v>45</v>
      </c>
      <c r="B21" s="49"/>
      <c r="C21" s="49"/>
      <c r="D21" s="50">
        <v>981938</v>
      </c>
      <c r="E21" s="51">
        <f t="shared" si="0"/>
        <v>6480.7907999999998</v>
      </c>
      <c r="F21" s="50">
        <v>3769687</v>
      </c>
      <c r="G21" s="51">
        <f t="shared" si="1"/>
        <v>12439.9671</v>
      </c>
      <c r="H21" s="50">
        <v>987988</v>
      </c>
      <c r="I21" s="51">
        <f t="shared" si="2"/>
        <v>6520.7208000000001</v>
      </c>
      <c r="J21" s="50">
        <v>3652731</v>
      </c>
      <c r="K21" s="51">
        <f t="shared" si="3"/>
        <v>12054.0123</v>
      </c>
      <c r="L21" s="50">
        <v>1096914</v>
      </c>
      <c r="M21" s="51">
        <f t="shared" si="4"/>
        <v>7239.6323999999995</v>
      </c>
      <c r="N21" s="50">
        <v>3947959</v>
      </c>
      <c r="O21" s="51">
        <f t="shared" si="5"/>
        <v>13028.2647</v>
      </c>
      <c r="P21" s="50">
        <v>1025449</v>
      </c>
      <c r="Q21" s="51">
        <f t="shared" si="6"/>
        <v>6767.9633999999996</v>
      </c>
      <c r="R21" s="50">
        <v>3830561</v>
      </c>
      <c r="S21" s="51">
        <f t="shared" si="7"/>
        <v>12640.8513</v>
      </c>
      <c r="T21" s="50">
        <v>1076048</v>
      </c>
      <c r="U21" s="51">
        <f t="shared" si="8"/>
        <v>7101.9168</v>
      </c>
      <c r="V21" s="50">
        <v>4495739</v>
      </c>
      <c r="W21" s="51">
        <f t="shared" si="9"/>
        <v>14835.938700000001</v>
      </c>
      <c r="X21" s="50">
        <v>1296570</v>
      </c>
      <c r="Y21" s="51">
        <f t="shared" si="10"/>
        <v>8557.3619999999992</v>
      </c>
      <c r="Z21" s="50">
        <v>4187184</v>
      </c>
      <c r="AA21" s="51">
        <f t="shared" si="11"/>
        <v>13817.707200000001</v>
      </c>
      <c r="AB21" s="50">
        <v>1391654</v>
      </c>
      <c r="AC21" s="51">
        <f t="shared" si="12"/>
        <v>9184.9164000000001</v>
      </c>
      <c r="AD21" s="50">
        <v>4222371</v>
      </c>
      <c r="AE21" s="51">
        <f t="shared" si="13"/>
        <v>13933.8243</v>
      </c>
      <c r="AF21" s="50">
        <v>1107891</v>
      </c>
      <c r="AG21" s="51">
        <f t="shared" si="14"/>
        <v>7312.0806000000002</v>
      </c>
      <c r="AH21" s="50">
        <v>3585339</v>
      </c>
      <c r="AI21" s="51">
        <f t="shared" si="15"/>
        <v>11831.618699999999</v>
      </c>
      <c r="AJ21" s="50">
        <v>1019582</v>
      </c>
      <c r="AK21" s="51">
        <f t="shared" si="16"/>
        <v>6729.2412000000004</v>
      </c>
      <c r="AL21" s="50">
        <v>3923126</v>
      </c>
      <c r="AM21" s="51">
        <f t="shared" si="17"/>
        <v>12946.3158</v>
      </c>
      <c r="AN21" s="50">
        <v>362791</v>
      </c>
      <c r="AO21" s="51">
        <f t="shared" si="18"/>
        <v>2394.4205999999999</v>
      </c>
      <c r="AP21" s="52">
        <v>2297434</v>
      </c>
      <c r="AQ21" s="51">
        <f t="shared" si="19"/>
        <v>7581.5321999999996</v>
      </c>
      <c r="AR21" s="52">
        <v>786870</v>
      </c>
      <c r="AS21" s="51">
        <f t="shared" si="20"/>
        <v>5193.3419999999996</v>
      </c>
      <c r="AT21" s="52">
        <v>3526832</v>
      </c>
      <c r="AU21" s="53">
        <f t="shared" si="21"/>
        <v>11638.545599999999</v>
      </c>
      <c r="AV21" s="54">
        <v>1112422</v>
      </c>
      <c r="AW21" s="51">
        <f t="shared" si="22"/>
        <v>7341.9852000000001</v>
      </c>
      <c r="AX21" s="52">
        <v>3552201</v>
      </c>
      <c r="AY21" s="55">
        <f t="shared" si="23"/>
        <v>11722.263300000001</v>
      </c>
      <c r="AZ21" s="53"/>
      <c r="BG21" s="53"/>
      <c r="BH21" s="53"/>
    </row>
    <row r="22" spans="1:60" x14ac:dyDescent="0.25">
      <c r="A22" s="48" t="s">
        <v>46</v>
      </c>
      <c r="B22" s="49"/>
      <c r="C22" s="49"/>
      <c r="D22" s="50">
        <v>84133.36</v>
      </c>
      <c r="E22" s="51">
        <f t="shared" si="0"/>
        <v>555.28017599999998</v>
      </c>
      <c r="F22" s="50">
        <v>874582.36</v>
      </c>
      <c r="G22" s="51">
        <f t="shared" si="1"/>
        <v>2886.1217879999999</v>
      </c>
      <c r="H22" s="50">
        <v>80790.63</v>
      </c>
      <c r="I22" s="51">
        <f t="shared" si="2"/>
        <v>533.21815800000002</v>
      </c>
      <c r="J22" s="50">
        <v>825813.78</v>
      </c>
      <c r="K22" s="51">
        <f t="shared" si="3"/>
        <v>2725.1854739999999</v>
      </c>
      <c r="L22" s="50">
        <v>105870.85</v>
      </c>
      <c r="M22" s="51">
        <f t="shared" si="4"/>
        <v>698.74761000000001</v>
      </c>
      <c r="N22" s="50">
        <v>925141.84</v>
      </c>
      <c r="O22" s="51">
        <f t="shared" si="5"/>
        <v>3052.9680719999997</v>
      </c>
      <c r="P22" s="50">
        <v>105071</v>
      </c>
      <c r="Q22" s="51">
        <f t="shared" si="6"/>
        <v>693.46860000000004</v>
      </c>
      <c r="R22" s="50">
        <v>942584</v>
      </c>
      <c r="S22" s="51">
        <f t="shared" si="7"/>
        <v>3110.5272</v>
      </c>
      <c r="T22" s="50">
        <v>116307.25</v>
      </c>
      <c r="U22" s="51">
        <f t="shared" si="8"/>
        <v>767.62784999999997</v>
      </c>
      <c r="V22" s="50">
        <v>971189</v>
      </c>
      <c r="W22" s="51">
        <f t="shared" si="9"/>
        <v>3204.9236999999998</v>
      </c>
      <c r="X22" s="50">
        <v>96698.51</v>
      </c>
      <c r="Y22" s="51">
        <f t="shared" si="10"/>
        <v>638.21016599999996</v>
      </c>
      <c r="Z22" s="50">
        <v>847899.38</v>
      </c>
      <c r="AA22" s="51">
        <f t="shared" si="11"/>
        <v>2798.0679540000001</v>
      </c>
      <c r="AB22" s="50">
        <v>110691.58</v>
      </c>
      <c r="AC22" s="51">
        <f t="shared" si="12"/>
        <v>730.56442800000002</v>
      </c>
      <c r="AD22" s="50">
        <v>827831.94</v>
      </c>
      <c r="AE22" s="51">
        <f t="shared" si="13"/>
        <v>2731.8454019999999</v>
      </c>
      <c r="AF22" s="50">
        <v>103281.26</v>
      </c>
      <c r="AG22" s="51">
        <f t="shared" si="14"/>
        <v>681.65631599999995</v>
      </c>
      <c r="AH22" s="50">
        <v>787324.46</v>
      </c>
      <c r="AI22" s="51">
        <f t="shared" si="15"/>
        <v>2598.1707179999999</v>
      </c>
      <c r="AJ22" s="50">
        <v>94076.34</v>
      </c>
      <c r="AK22" s="51">
        <f t="shared" si="16"/>
        <v>620.90384399999994</v>
      </c>
      <c r="AL22" s="50">
        <v>905003.91</v>
      </c>
      <c r="AM22" s="51">
        <f t="shared" si="17"/>
        <v>2986.5129030000003</v>
      </c>
      <c r="AN22" s="50">
        <v>24250.53</v>
      </c>
      <c r="AO22" s="51">
        <f t="shared" si="18"/>
        <v>160.05349799999999</v>
      </c>
      <c r="AP22" s="52">
        <v>362397.83</v>
      </c>
      <c r="AQ22" s="51">
        <f t="shared" si="19"/>
        <v>1195.9128390000001</v>
      </c>
      <c r="AR22" s="52">
        <v>56999</v>
      </c>
      <c r="AS22" s="51">
        <f t="shared" si="20"/>
        <v>376.1934</v>
      </c>
      <c r="AT22" s="52">
        <v>1052004</v>
      </c>
      <c r="AU22" s="53">
        <f t="shared" si="21"/>
        <v>3471.6131999999998</v>
      </c>
      <c r="AV22" s="54">
        <v>58285.25</v>
      </c>
      <c r="AW22" s="51">
        <f t="shared" si="22"/>
        <v>384.68265000000002</v>
      </c>
      <c r="AX22" s="52">
        <v>890928.78</v>
      </c>
      <c r="AY22" s="55">
        <f t="shared" si="23"/>
        <v>2940.0649739999999</v>
      </c>
      <c r="AZ22" s="53"/>
      <c r="BG22" s="53"/>
      <c r="BH22" s="53"/>
    </row>
    <row r="23" spans="1:60" x14ac:dyDescent="0.25">
      <c r="A23" s="48" t="s">
        <v>47</v>
      </c>
      <c r="B23" s="49"/>
      <c r="C23" s="49"/>
      <c r="D23" s="50">
        <v>286634.40000000002</v>
      </c>
      <c r="E23" s="51">
        <f t="shared" si="0"/>
        <v>1891.7870400000002</v>
      </c>
      <c r="F23" s="50">
        <v>506660.7</v>
      </c>
      <c r="G23" s="51">
        <f t="shared" si="1"/>
        <v>1671.9803099999999</v>
      </c>
      <c r="H23" s="50">
        <v>313914</v>
      </c>
      <c r="I23" s="51">
        <f t="shared" si="2"/>
        <v>2071.8323999999998</v>
      </c>
      <c r="J23" s="50">
        <v>574934</v>
      </c>
      <c r="K23" s="51">
        <f t="shared" si="3"/>
        <v>1897.2822000000001</v>
      </c>
      <c r="L23" s="50">
        <v>378314.7</v>
      </c>
      <c r="M23" s="51">
        <f t="shared" si="4"/>
        <v>2496.8770199999999</v>
      </c>
      <c r="N23" s="50">
        <v>571048.6</v>
      </c>
      <c r="O23" s="51">
        <f t="shared" si="5"/>
        <v>1884.46038</v>
      </c>
      <c r="P23" s="50">
        <v>606067.4</v>
      </c>
      <c r="Q23" s="51">
        <f t="shared" si="6"/>
        <v>4000.04484</v>
      </c>
      <c r="R23" s="50">
        <v>714938.6</v>
      </c>
      <c r="S23" s="51">
        <f t="shared" si="7"/>
        <v>2359.29738</v>
      </c>
      <c r="T23" s="50">
        <v>552261.4</v>
      </c>
      <c r="U23" s="51">
        <f t="shared" si="8"/>
        <v>3644.92524</v>
      </c>
      <c r="V23" s="50">
        <v>782324.9</v>
      </c>
      <c r="W23" s="51">
        <f t="shared" si="9"/>
        <v>2581.6721700000003</v>
      </c>
      <c r="X23" s="50">
        <v>600264.9</v>
      </c>
      <c r="Y23" s="51">
        <f t="shared" si="10"/>
        <v>3961.7483400000001</v>
      </c>
      <c r="Z23" s="50">
        <v>800730.6</v>
      </c>
      <c r="AA23" s="51">
        <f t="shared" si="11"/>
        <v>2642.4109800000001</v>
      </c>
      <c r="AB23" s="50">
        <v>517510.9</v>
      </c>
      <c r="AC23" s="51">
        <f t="shared" si="12"/>
        <v>3415.5719400000003</v>
      </c>
      <c r="AD23" s="50">
        <v>713023.8</v>
      </c>
      <c r="AE23" s="51">
        <f t="shared" si="13"/>
        <v>2352.9785400000001</v>
      </c>
      <c r="AF23" s="50">
        <v>451284.2</v>
      </c>
      <c r="AG23" s="51">
        <f t="shared" si="14"/>
        <v>2978.4757199999999</v>
      </c>
      <c r="AH23" s="50">
        <v>658942.30000000005</v>
      </c>
      <c r="AI23" s="51">
        <f t="shared" si="15"/>
        <v>2174.5095900000001</v>
      </c>
      <c r="AJ23" s="50">
        <v>406558.7</v>
      </c>
      <c r="AK23" s="51">
        <f t="shared" si="16"/>
        <v>2683.2874200000001</v>
      </c>
      <c r="AL23" s="50">
        <v>659272</v>
      </c>
      <c r="AM23" s="51">
        <f t="shared" si="17"/>
        <v>2175.5976000000001</v>
      </c>
      <c r="AN23" s="50">
        <v>81531.8</v>
      </c>
      <c r="AO23" s="51">
        <f t="shared" si="18"/>
        <v>538.10987999999998</v>
      </c>
      <c r="AP23" s="52">
        <v>323440.09999999998</v>
      </c>
      <c r="AQ23" s="51">
        <f t="shared" si="19"/>
        <v>1067.3523299999999</v>
      </c>
      <c r="AR23" s="52">
        <v>330345.5</v>
      </c>
      <c r="AS23" s="51">
        <f t="shared" si="20"/>
        <v>2180.2802999999999</v>
      </c>
      <c r="AT23" s="52">
        <v>540405.9</v>
      </c>
      <c r="AU23" s="53">
        <f t="shared" si="21"/>
        <v>1783.3394700000001</v>
      </c>
      <c r="AV23" s="54">
        <v>393307.9</v>
      </c>
      <c r="AW23" s="51">
        <f t="shared" si="22"/>
        <v>2595.83214</v>
      </c>
      <c r="AX23" s="52">
        <v>603440</v>
      </c>
      <c r="AY23" s="55">
        <f t="shared" si="23"/>
        <v>1991.3520000000001</v>
      </c>
      <c r="AZ23" s="53"/>
      <c r="BG23" s="53"/>
      <c r="BH23" s="53"/>
    </row>
    <row r="24" spans="1:60" x14ac:dyDescent="0.25">
      <c r="A24" s="48" t="s">
        <v>48</v>
      </c>
      <c r="B24" s="49"/>
      <c r="C24" s="49"/>
      <c r="D24" s="50">
        <v>128940</v>
      </c>
      <c r="E24" s="51">
        <f t="shared" si="0"/>
        <v>851.00400000000002</v>
      </c>
      <c r="F24" s="50">
        <v>1048198</v>
      </c>
      <c r="G24" s="51">
        <f t="shared" si="1"/>
        <v>3459.0533999999998</v>
      </c>
      <c r="H24" s="50">
        <v>154583</v>
      </c>
      <c r="I24" s="51">
        <f t="shared" si="2"/>
        <v>1020.2478</v>
      </c>
      <c r="J24" s="50">
        <v>1053483</v>
      </c>
      <c r="K24" s="51">
        <f t="shared" si="3"/>
        <v>3476.4938999999999</v>
      </c>
      <c r="L24" s="50">
        <v>169595</v>
      </c>
      <c r="M24" s="51">
        <f t="shared" si="4"/>
        <v>1119.327</v>
      </c>
      <c r="N24" s="50">
        <v>1161148</v>
      </c>
      <c r="O24" s="51">
        <f t="shared" si="5"/>
        <v>3831.7883999999999</v>
      </c>
      <c r="P24" s="50">
        <v>167567</v>
      </c>
      <c r="Q24" s="51">
        <f t="shared" si="6"/>
        <v>1105.9422</v>
      </c>
      <c r="R24" s="50">
        <v>1198462</v>
      </c>
      <c r="S24" s="51">
        <f t="shared" si="7"/>
        <v>3954.9245999999998</v>
      </c>
      <c r="T24" s="50">
        <v>172299</v>
      </c>
      <c r="U24" s="51">
        <f t="shared" si="8"/>
        <v>1137.1733999999999</v>
      </c>
      <c r="V24" s="50">
        <v>1424823</v>
      </c>
      <c r="W24" s="51">
        <f t="shared" si="9"/>
        <v>4701.9159</v>
      </c>
      <c r="X24" s="50">
        <v>173727</v>
      </c>
      <c r="Y24" s="51">
        <f t="shared" si="10"/>
        <v>1146.5981999999999</v>
      </c>
      <c r="Z24" s="50">
        <v>1311832</v>
      </c>
      <c r="AA24" s="51">
        <f t="shared" si="11"/>
        <v>4329.0456000000004</v>
      </c>
      <c r="AB24" s="50">
        <v>185650</v>
      </c>
      <c r="AC24" s="51">
        <f t="shared" si="12"/>
        <v>1225.29</v>
      </c>
      <c r="AD24" s="50">
        <v>1261066</v>
      </c>
      <c r="AE24" s="51">
        <f t="shared" si="13"/>
        <v>4161.5177999999996</v>
      </c>
      <c r="AF24" s="50">
        <v>198190</v>
      </c>
      <c r="AG24" s="51">
        <f t="shared" si="14"/>
        <v>1308.0540000000001</v>
      </c>
      <c r="AH24" s="50">
        <v>1140737</v>
      </c>
      <c r="AI24" s="51">
        <f t="shared" si="15"/>
        <v>3764.4321</v>
      </c>
      <c r="AJ24" s="50">
        <v>180846</v>
      </c>
      <c r="AK24" s="51">
        <f t="shared" si="16"/>
        <v>1193.5835999999999</v>
      </c>
      <c r="AL24" s="50">
        <v>1151645</v>
      </c>
      <c r="AM24" s="51">
        <f t="shared" si="17"/>
        <v>3800.4285</v>
      </c>
      <c r="AN24" s="50">
        <v>62514</v>
      </c>
      <c r="AO24" s="51">
        <f t="shared" si="18"/>
        <v>412.5924</v>
      </c>
      <c r="AP24" s="52">
        <v>622581</v>
      </c>
      <c r="AQ24" s="51">
        <f t="shared" si="19"/>
        <v>2054.5173</v>
      </c>
      <c r="AR24" s="52">
        <v>140052</v>
      </c>
      <c r="AS24" s="51">
        <f t="shared" si="20"/>
        <v>924.34320000000002</v>
      </c>
      <c r="AT24" s="52">
        <v>1290547</v>
      </c>
      <c r="AU24" s="53">
        <f t="shared" si="21"/>
        <v>4258.8050999999996</v>
      </c>
      <c r="AV24" s="54">
        <v>135305</v>
      </c>
      <c r="AW24" s="51">
        <f t="shared" si="22"/>
        <v>893.01300000000003</v>
      </c>
      <c r="AX24" s="52">
        <v>1122150</v>
      </c>
      <c r="AY24" s="55">
        <f t="shared" si="23"/>
        <v>3703.0949999999998</v>
      </c>
      <c r="AZ24" s="53"/>
      <c r="BG24" s="53"/>
      <c r="BH24" s="53"/>
    </row>
    <row r="25" spans="1:60" x14ac:dyDescent="0.25">
      <c r="A25" s="48" t="s">
        <v>49</v>
      </c>
      <c r="B25" s="49"/>
      <c r="C25" s="49"/>
      <c r="D25" s="50"/>
      <c r="E25" s="51">
        <f t="shared" si="0"/>
        <v>0</v>
      </c>
      <c r="F25" s="50"/>
      <c r="G25" s="51">
        <f t="shared" si="1"/>
        <v>0</v>
      </c>
      <c r="H25" s="50"/>
      <c r="I25" s="51">
        <f t="shared" si="2"/>
        <v>0</v>
      </c>
      <c r="J25" s="50"/>
      <c r="K25" s="51">
        <f t="shared" si="3"/>
        <v>0</v>
      </c>
      <c r="L25" s="50"/>
      <c r="M25" s="51">
        <f t="shared" si="4"/>
        <v>0</v>
      </c>
      <c r="N25" s="50"/>
      <c r="O25" s="51">
        <f t="shared" si="5"/>
        <v>0</v>
      </c>
      <c r="P25" s="50"/>
      <c r="Q25" s="51">
        <f t="shared" si="6"/>
        <v>0</v>
      </c>
      <c r="R25" s="50"/>
      <c r="S25" s="51">
        <f t="shared" si="7"/>
        <v>0</v>
      </c>
      <c r="T25" s="50"/>
      <c r="U25" s="51">
        <f t="shared" si="8"/>
        <v>0</v>
      </c>
      <c r="V25" s="50"/>
      <c r="W25" s="51">
        <f t="shared" si="9"/>
        <v>0</v>
      </c>
      <c r="X25" s="50"/>
      <c r="Y25" s="51">
        <f t="shared" si="10"/>
        <v>0</v>
      </c>
      <c r="Z25" s="50"/>
      <c r="AA25" s="51">
        <f t="shared" si="11"/>
        <v>0</v>
      </c>
      <c r="AB25" s="50"/>
      <c r="AC25" s="51">
        <f t="shared" si="12"/>
        <v>0</v>
      </c>
      <c r="AD25" s="50"/>
      <c r="AE25" s="51">
        <f t="shared" si="13"/>
        <v>0</v>
      </c>
      <c r="AF25" s="50"/>
      <c r="AG25" s="51">
        <f t="shared" si="14"/>
        <v>0</v>
      </c>
      <c r="AH25" s="50"/>
      <c r="AI25" s="51">
        <f t="shared" si="15"/>
        <v>0</v>
      </c>
      <c r="AJ25" s="50"/>
      <c r="AK25" s="51">
        <f t="shared" si="16"/>
        <v>0</v>
      </c>
      <c r="AL25" s="50"/>
      <c r="AM25" s="51">
        <f t="shared" si="17"/>
        <v>0</v>
      </c>
      <c r="AN25" s="50"/>
      <c r="AO25" s="51">
        <f t="shared" si="18"/>
        <v>0</v>
      </c>
      <c r="AP25" s="52"/>
      <c r="AQ25" s="51">
        <f t="shared" si="19"/>
        <v>0</v>
      </c>
      <c r="AR25" s="52"/>
      <c r="AS25" s="51">
        <f t="shared" si="20"/>
        <v>0</v>
      </c>
      <c r="AT25" s="52"/>
      <c r="AU25" s="53">
        <f t="shared" si="21"/>
        <v>0</v>
      </c>
      <c r="AV25" s="54">
        <v>0</v>
      </c>
      <c r="AW25" s="51">
        <f t="shared" si="22"/>
        <v>0</v>
      </c>
      <c r="AX25" s="52">
        <v>0</v>
      </c>
      <c r="AY25" s="55">
        <f t="shared" si="23"/>
        <v>0</v>
      </c>
      <c r="AZ25" s="53"/>
      <c r="BG25" s="53"/>
      <c r="BH25" s="53"/>
    </row>
    <row r="26" spans="1:60" x14ac:dyDescent="0.25">
      <c r="A26" s="48" t="s">
        <v>50</v>
      </c>
      <c r="B26" s="49"/>
      <c r="C26" s="49"/>
      <c r="D26" s="50">
        <v>866861</v>
      </c>
      <c r="E26" s="51">
        <f t="shared" si="0"/>
        <v>5721.2825999999995</v>
      </c>
      <c r="F26" s="50">
        <v>668123</v>
      </c>
      <c r="G26" s="51">
        <f t="shared" si="1"/>
        <v>2204.8058999999998</v>
      </c>
      <c r="H26" s="50">
        <v>875656</v>
      </c>
      <c r="I26" s="51">
        <f t="shared" si="2"/>
        <v>5779.3296</v>
      </c>
      <c r="J26" s="50">
        <v>622424</v>
      </c>
      <c r="K26" s="51">
        <f t="shared" si="3"/>
        <v>2053.9992000000002</v>
      </c>
      <c r="L26" s="50">
        <v>951871</v>
      </c>
      <c r="M26" s="51">
        <f t="shared" si="4"/>
        <v>6282.3486000000003</v>
      </c>
      <c r="N26" s="50">
        <v>744575</v>
      </c>
      <c r="O26" s="51">
        <f t="shared" si="5"/>
        <v>2457.0974999999999</v>
      </c>
      <c r="P26" s="50">
        <v>660258</v>
      </c>
      <c r="Q26" s="51">
        <f t="shared" si="6"/>
        <v>4357.7028</v>
      </c>
      <c r="R26" s="50">
        <v>1320517</v>
      </c>
      <c r="S26" s="51">
        <f t="shared" si="7"/>
        <v>4357.7061000000003</v>
      </c>
      <c r="T26" s="50">
        <v>957988</v>
      </c>
      <c r="U26" s="51">
        <f t="shared" si="8"/>
        <v>6322.7208000000001</v>
      </c>
      <c r="V26" s="50">
        <v>778991</v>
      </c>
      <c r="W26" s="51">
        <f t="shared" si="9"/>
        <v>2570.6702999999998</v>
      </c>
      <c r="X26" s="50">
        <v>1036621</v>
      </c>
      <c r="Y26" s="51">
        <f t="shared" si="10"/>
        <v>6841.6985999999997</v>
      </c>
      <c r="Z26" s="50">
        <v>781348</v>
      </c>
      <c r="AA26" s="51">
        <f t="shared" si="11"/>
        <v>2578.4483999999998</v>
      </c>
      <c r="AB26" s="50">
        <v>1018232</v>
      </c>
      <c r="AC26" s="51">
        <f t="shared" si="12"/>
        <v>6720.3311999999996</v>
      </c>
      <c r="AD26" s="50">
        <v>813240</v>
      </c>
      <c r="AE26" s="51">
        <f t="shared" si="13"/>
        <v>2683.692</v>
      </c>
      <c r="AF26" s="50">
        <v>1029909</v>
      </c>
      <c r="AG26" s="51">
        <f t="shared" si="14"/>
        <v>6797.3994000000002</v>
      </c>
      <c r="AH26" s="50">
        <v>723388</v>
      </c>
      <c r="AI26" s="51">
        <f t="shared" si="15"/>
        <v>2387.1804000000002</v>
      </c>
      <c r="AJ26" s="50">
        <v>1003467</v>
      </c>
      <c r="AK26" s="51">
        <f t="shared" si="16"/>
        <v>6622.8822</v>
      </c>
      <c r="AL26" s="50">
        <v>760041</v>
      </c>
      <c r="AM26" s="51">
        <f t="shared" si="17"/>
        <v>2508.1352999999999</v>
      </c>
      <c r="AN26" s="50">
        <v>215087</v>
      </c>
      <c r="AO26" s="51">
        <f t="shared" si="18"/>
        <v>1419.5742</v>
      </c>
      <c r="AP26" s="52">
        <v>205235</v>
      </c>
      <c r="AQ26" s="51">
        <f t="shared" si="19"/>
        <v>677.27549999999997</v>
      </c>
      <c r="AR26" s="52">
        <v>917869</v>
      </c>
      <c r="AS26" s="51">
        <f t="shared" si="20"/>
        <v>6057.9354000000003</v>
      </c>
      <c r="AT26" s="52">
        <v>752231</v>
      </c>
      <c r="AU26" s="53">
        <f t="shared" si="21"/>
        <v>2482.3622999999998</v>
      </c>
      <c r="AV26" s="54">
        <v>1001856</v>
      </c>
      <c r="AW26" s="51">
        <f t="shared" si="22"/>
        <v>6612.2496000000001</v>
      </c>
      <c r="AX26" s="52">
        <v>773789</v>
      </c>
      <c r="AY26" s="55">
        <f t="shared" si="23"/>
        <v>2553.5037000000002</v>
      </c>
      <c r="AZ26" s="53"/>
      <c r="BG26" s="53"/>
      <c r="BH26" s="53"/>
    </row>
    <row r="27" spans="1:60" ht="15.75" thickBot="1" x14ac:dyDescent="0.3">
      <c r="A27" s="56" t="s">
        <v>51</v>
      </c>
      <c r="B27" s="57"/>
      <c r="C27" s="57"/>
      <c r="D27" s="58">
        <f t="shared" ref="D27:AY27" si="24">SUM(D17:D26)</f>
        <v>8364556.6300000008</v>
      </c>
      <c r="E27" s="59">
        <f t="shared" si="24"/>
        <v>55206.073758000006</v>
      </c>
      <c r="F27" s="58">
        <f t="shared" si="24"/>
        <v>13724191.969999999</v>
      </c>
      <c r="G27" s="59">
        <f t="shared" si="24"/>
        <v>45289.833500999994</v>
      </c>
      <c r="H27" s="58">
        <f t="shared" si="24"/>
        <v>8606582.629999999</v>
      </c>
      <c r="I27" s="59">
        <f t="shared" si="24"/>
        <v>56803.445358000004</v>
      </c>
      <c r="J27" s="58">
        <f t="shared" si="24"/>
        <v>13392814.779999999</v>
      </c>
      <c r="K27" s="59">
        <f t="shared" si="24"/>
        <v>44196.288774000001</v>
      </c>
      <c r="L27" s="58">
        <f t="shared" si="24"/>
        <v>8798115.6099999994</v>
      </c>
      <c r="M27" s="59">
        <f t="shared" si="24"/>
        <v>58067.563025999996</v>
      </c>
      <c r="N27" s="58">
        <f t="shared" si="24"/>
        <v>14616515.01</v>
      </c>
      <c r="O27" s="59">
        <f t="shared" si="24"/>
        <v>48234.499532999995</v>
      </c>
      <c r="P27" s="58">
        <f t="shared" si="24"/>
        <v>8965891.3000000007</v>
      </c>
      <c r="Q27" s="59">
        <f t="shared" si="24"/>
        <v>59174.882579999998</v>
      </c>
      <c r="R27" s="58">
        <f t="shared" si="24"/>
        <v>15998877.6</v>
      </c>
      <c r="S27" s="59">
        <f t="shared" si="24"/>
        <v>52796.296079999993</v>
      </c>
      <c r="T27" s="58">
        <f t="shared" si="24"/>
        <v>9269983.8000000007</v>
      </c>
      <c r="U27" s="59">
        <f t="shared" si="24"/>
        <v>61181.893080000002</v>
      </c>
      <c r="V27" s="58">
        <f t="shared" si="24"/>
        <v>16367212.709999999</v>
      </c>
      <c r="W27" s="59">
        <f t="shared" si="24"/>
        <v>54011.801942999991</v>
      </c>
      <c r="X27" s="58">
        <f t="shared" si="24"/>
        <v>9895138.4100000001</v>
      </c>
      <c r="Y27" s="59">
        <f t="shared" si="24"/>
        <v>65307.913505999997</v>
      </c>
      <c r="Z27" s="58">
        <f t="shared" si="24"/>
        <v>15517011.98</v>
      </c>
      <c r="AA27" s="59">
        <f t="shared" si="24"/>
        <v>51206.139533999994</v>
      </c>
      <c r="AB27" s="58">
        <f t="shared" si="24"/>
        <v>9438238.5199999996</v>
      </c>
      <c r="AC27" s="59">
        <f t="shared" si="24"/>
        <v>62292.374232000002</v>
      </c>
      <c r="AD27" s="58">
        <f t="shared" si="24"/>
        <v>14917324.200000001</v>
      </c>
      <c r="AE27" s="59">
        <f t="shared" si="24"/>
        <v>49227.169860000002</v>
      </c>
      <c r="AF27" s="58">
        <f t="shared" si="24"/>
        <v>8845877.4600000009</v>
      </c>
      <c r="AG27" s="59">
        <f t="shared" si="24"/>
        <v>58382.791235999997</v>
      </c>
      <c r="AH27" s="58">
        <f t="shared" si="24"/>
        <v>15409000.760000002</v>
      </c>
      <c r="AI27" s="59">
        <f t="shared" si="24"/>
        <v>50849.702508000002</v>
      </c>
      <c r="AJ27" s="58">
        <f t="shared" si="24"/>
        <v>8354018.04</v>
      </c>
      <c r="AK27" s="59">
        <f t="shared" si="24"/>
        <v>55136.519064000007</v>
      </c>
      <c r="AL27" s="58">
        <f t="shared" si="24"/>
        <v>14477462.91</v>
      </c>
      <c r="AM27" s="59">
        <f t="shared" si="24"/>
        <v>47775.627603000008</v>
      </c>
      <c r="AN27" s="58">
        <f t="shared" si="24"/>
        <v>2149143.33</v>
      </c>
      <c r="AO27" s="59">
        <f t="shared" si="24"/>
        <v>14184.345977999998</v>
      </c>
      <c r="AP27" s="60">
        <f t="shared" si="24"/>
        <v>7144883.4100000001</v>
      </c>
      <c r="AQ27" s="59">
        <f t="shared" si="24"/>
        <v>23578.115253000004</v>
      </c>
      <c r="AR27" s="60">
        <f t="shared" si="24"/>
        <v>6646351.2999999998</v>
      </c>
      <c r="AS27" s="59">
        <f t="shared" si="24"/>
        <v>43865.918579999998</v>
      </c>
      <c r="AT27" s="60">
        <f t="shared" si="24"/>
        <v>14088939.98</v>
      </c>
      <c r="AU27" s="60">
        <f t="shared" si="24"/>
        <v>46493.501933999993</v>
      </c>
      <c r="AV27" s="61">
        <f t="shared" si="24"/>
        <v>8164878.3200000003</v>
      </c>
      <c r="AW27" s="59">
        <f t="shared" si="24"/>
        <v>53888.196912000007</v>
      </c>
      <c r="AX27" s="60">
        <f t="shared" si="24"/>
        <v>14127726.789999999</v>
      </c>
      <c r="AY27" s="62">
        <f t="shared" si="24"/>
        <v>46621.498406999999</v>
      </c>
    </row>
    <row r="28" spans="1:60" x14ac:dyDescent="0.25">
      <c r="D28" s="223"/>
      <c r="E28" s="224"/>
    </row>
    <row r="29" spans="1:60" ht="15.75" thickBot="1" x14ac:dyDescent="0.3">
      <c r="D29" s="63"/>
      <c r="E29" s="64"/>
      <c r="F29" s="65"/>
      <c r="G29" s="65"/>
      <c r="H29" s="65"/>
      <c r="I29" s="65"/>
      <c r="J29" s="65"/>
    </row>
    <row r="30" spans="1:60" ht="15.75" thickBot="1" x14ac:dyDescent="0.3">
      <c r="A30" s="37" t="s">
        <v>52</v>
      </c>
      <c r="B30" s="38"/>
      <c r="C30" s="38"/>
      <c r="D30" s="66" t="s">
        <v>35</v>
      </c>
      <c r="E30" s="196" t="s">
        <v>36</v>
      </c>
      <c r="F30" s="196" t="s">
        <v>5</v>
      </c>
      <c r="G30" s="196" t="s">
        <v>26</v>
      </c>
      <c r="H30" s="196" t="s">
        <v>27</v>
      </c>
      <c r="I30" s="196" t="s">
        <v>28</v>
      </c>
      <c r="J30" s="196" t="s">
        <v>29</v>
      </c>
      <c r="K30" s="196" t="s">
        <v>30</v>
      </c>
      <c r="L30" s="196" t="s">
        <v>31</v>
      </c>
      <c r="M30" s="196" t="s">
        <v>32</v>
      </c>
      <c r="N30" s="196" t="s">
        <v>33</v>
      </c>
      <c r="O30" s="196" t="s">
        <v>34</v>
      </c>
      <c r="P30" s="68" t="s">
        <v>51</v>
      </c>
      <c r="T30" s="69" t="s">
        <v>53</v>
      </c>
      <c r="U30" s="70"/>
      <c r="V30" s="70"/>
      <c r="W30" s="217" t="s">
        <v>51</v>
      </c>
      <c r="X30" s="218"/>
      <c r="Y30" s="218"/>
      <c r="Z30" s="218"/>
      <c r="AA30" s="218"/>
      <c r="AB30" s="219"/>
    </row>
    <row r="31" spans="1:60" x14ac:dyDescent="0.25">
      <c r="A31" s="48" t="s">
        <v>41</v>
      </c>
      <c r="B31" s="49"/>
      <c r="C31" s="49"/>
      <c r="D31" s="71">
        <f>'[3]2019'!AS17+'[3]2019'!AU17</f>
        <v>28092.520499999999</v>
      </c>
      <c r="E31" s="72">
        <f>'[3]2019'!AW17+'[3]2019'!AY17</f>
        <v>24801.895799999998</v>
      </c>
      <c r="F31" s="73">
        <f t="shared" ref="F31:F40" si="25">E17+G17</f>
        <v>24814.330199999997</v>
      </c>
      <c r="G31" s="73">
        <f t="shared" ref="G31:G40" si="26">I17+K17</f>
        <v>25180.887600000002</v>
      </c>
      <c r="H31" s="73">
        <f t="shared" ref="H31:H40" si="27">M17+O17</f>
        <v>26107.986299999997</v>
      </c>
      <c r="I31" s="73">
        <f t="shared" ref="I31:I40" si="28">Q17+S17</f>
        <v>26259.387000000002</v>
      </c>
      <c r="J31" s="73">
        <f t="shared" ref="J31:J40" si="29">U17+W17</f>
        <v>26407.345800000003</v>
      </c>
      <c r="K31" s="73">
        <f t="shared" ref="K31:K40" si="30">Y17+AA17</f>
        <v>28092.830699999999</v>
      </c>
      <c r="L31" s="73">
        <f t="shared" ref="L31:L40" si="31">AC17+AE17</f>
        <v>25795.539000000001</v>
      </c>
      <c r="M31" s="73">
        <f t="shared" ref="M31:M40" si="32">AG17+AI17</f>
        <v>27157.0497</v>
      </c>
      <c r="N31" s="73">
        <f t="shared" ref="N31:N40" si="33">AK17+AM17</f>
        <v>25037.499299999999</v>
      </c>
      <c r="O31" s="74">
        <f t="shared" ref="O31:O40" si="34">AO17+AQ17</f>
        <v>7208.1734999999999</v>
      </c>
      <c r="P31" s="75">
        <f t="shared" ref="P31:P41" si="35">SUM(D31:O31)</f>
        <v>294955.44539999997</v>
      </c>
      <c r="T31" s="76"/>
      <c r="U31" s="77"/>
      <c r="V31" s="77"/>
      <c r="W31" s="207" t="s">
        <v>37</v>
      </c>
      <c r="X31" s="208"/>
      <c r="Y31" s="209" t="s">
        <v>38</v>
      </c>
      <c r="Z31" s="210"/>
      <c r="AA31" s="209" t="s">
        <v>51</v>
      </c>
      <c r="AB31" s="211"/>
    </row>
    <row r="32" spans="1:60" x14ac:dyDescent="0.25">
      <c r="A32" s="48" t="s">
        <v>42</v>
      </c>
      <c r="B32" s="49"/>
      <c r="C32" s="49"/>
      <c r="D32" s="71">
        <f>'[3]2019'!AS18+'[3]2019'!AU18</f>
        <v>0</v>
      </c>
      <c r="E32" s="72">
        <f>'[3]2019'!AW18+'[3]2019'!AY18</f>
        <v>0</v>
      </c>
      <c r="F32" s="73">
        <f t="shared" si="25"/>
        <v>0</v>
      </c>
      <c r="G32" s="73">
        <f t="shared" si="26"/>
        <v>0</v>
      </c>
      <c r="H32" s="73">
        <f t="shared" si="27"/>
        <v>0</v>
      </c>
      <c r="I32" s="73">
        <f t="shared" si="28"/>
        <v>0</v>
      </c>
      <c r="J32" s="73">
        <f t="shared" si="29"/>
        <v>0</v>
      </c>
      <c r="K32" s="73">
        <f t="shared" si="30"/>
        <v>0</v>
      </c>
      <c r="L32" s="73">
        <f t="shared" si="31"/>
        <v>0</v>
      </c>
      <c r="M32" s="73">
        <f t="shared" si="32"/>
        <v>0</v>
      </c>
      <c r="N32" s="73">
        <f t="shared" si="33"/>
        <v>0</v>
      </c>
      <c r="O32" s="74">
        <f t="shared" si="34"/>
        <v>0</v>
      </c>
      <c r="P32" s="75">
        <f t="shared" si="35"/>
        <v>0</v>
      </c>
      <c r="T32" s="78"/>
      <c r="U32" s="79"/>
      <c r="V32" s="79"/>
      <c r="W32" s="80" t="s">
        <v>39</v>
      </c>
      <c r="X32" s="81" t="s">
        <v>40</v>
      </c>
      <c r="Y32" s="82" t="s">
        <v>39</v>
      </c>
      <c r="Z32" s="83" t="s">
        <v>40</v>
      </c>
      <c r="AA32" s="82" t="s">
        <v>39</v>
      </c>
      <c r="AB32" s="84" t="s">
        <v>40</v>
      </c>
    </row>
    <row r="33" spans="1:28" x14ac:dyDescent="0.25">
      <c r="A33" s="48" t="s">
        <v>43</v>
      </c>
      <c r="B33" s="49"/>
      <c r="C33" s="49"/>
      <c r="D33" s="71">
        <f>'[3]2019'!AS19+'[3]2019'!AU19</f>
        <v>8664.8990999999987</v>
      </c>
      <c r="E33" s="72">
        <f>'[3]2019'!AW19+'[3]2019'!AY19</f>
        <v>6953.5124999999998</v>
      </c>
      <c r="F33" s="73">
        <f t="shared" si="25"/>
        <v>7912.5519000000004</v>
      </c>
      <c r="G33" s="73">
        <f t="shared" si="26"/>
        <v>8228.2001999999993</v>
      </c>
      <c r="H33" s="73">
        <f t="shared" si="27"/>
        <v>7776.7998000000007</v>
      </c>
      <c r="I33" s="73">
        <f t="shared" si="28"/>
        <v>8743.35</v>
      </c>
      <c r="J33" s="73">
        <f t="shared" si="29"/>
        <v>8859.2888999999996</v>
      </c>
      <c r="K33" s="73">
        <f t="shared" si="30"/>
        <v>8975.3168999999998</v>
      </c>
      <c r="L33" s="73">
        <f t="shared" si="31"/>
        <v>8681.4815999999992</v>
      </c>
      <c r="M33" s="73">
        <f t="shared" si="32"/>
        <v>9405.2376000000004</v>
      </c>
      <c r="N33" s="73">
        <f t="shared" si="33"/>
        <v>7877.1792000000005</v>
      </c>
      <c r="O33" s="74">
        <f t="shared" si="34"/>
        <v>1793.9360999999999</v>
      </c>
      <c r="P33" s="75">
        <f t="shared" si="35"/>
        <v>93871.753800000006</v>
      </c>
      <c r="T33" s="85" t="s">
        <v>41</v>
      </c>
      <c r="U33" s="86"/>
      <c r="V33" s="86"/>
      <c r="W33" s="87">
        <f t="shared" ref="W33:W42" si="36">D17+H17+L17+P17+T17+X17+AB17+AF17+AJ17+AN17+AR17+AV17</f>
        <v>26506927</v>
      </c>
      <c r="X33" s="88">
        <f t="shared" ref="X33:X42" si="37">E17+I17+M17+Q17+U17+Y17+AC17+AG17+AK17+AO17+AS17+AW17</f>
        <v>174945.71819999997</v>
      </c>
      <c r="Y33" s="89">
        <f t="shared" ref="Y33:Y42" si="38">F17+J17+N17+R17+V17+Z17+AD17+AH17+AL17+AP17+AT17+AX17</f>
        <v>34187494</v>
      </c>
      <c r="Z33" s="88">
        <f t="shared" ref="Z33:Z42" si="39">G17+K17+O17+S17+W17+AA17+AE17+AI17+AM17+AQ17+AU17+AY17</f>
        <v>112818.73019999999</v>
      </c>
      <c r="AA33" s="90">
        <f t="shared" ref="AA33:AA42" si="40">W33+Y33</f>
        <v>60694421</v>
      </c>
      <c r="AB33" s="91">
        <f t="shared" ref="AB33:AB42" si="41">X33+Z33</f>
        <v>287764.44839999999</v>
      </c>
    </row>
    <row r="34" spans="1:28" x14ac:dyDescent="0.25">
      <c r="A34" s="48" t="s">
        <v>44</v>
      </c>
      <c r="B34" s="49"/>
      <c r="C34" s="49"/>
      <c r="D34" s="71">
        <f>'[3]2019'!AS20+'[3]2019'!AU20</f>
        <v>34020.538002000001</v>
      </c>
      <c r="E34" s="72">
        <f>'[3]2019'!AW20+'[3]2019'!AY20</f>
        <v>30336.946167000002</v>
      </c>
      <c r="F34" s="73">
        <f t="shared" si="25"/>
        <v>29606.952045000002</v>
      </c>
      <c r="G34" s="73">
        <f t="shared" si="26"/>
        <v>29458.324500000002</v>
      </c>
      <c r="H34" s="73">
        <f t="shared" si="27"/>
        <v>30325.764777</v>
      </c>
      <c r="I34" s="73">
        <f t="shared" si="28"/>
        <v>33620.01324</v>
      </c>
      <c r="J34" s="73">
        <f t="shared" si="29"/>
        <v>33057.575463000001</v>
      </c>
      <c r="K34" s="73">
        <f t="shared" si="30"/>
        <v>32134.608</v>
      </c>
      <c r="L34" s="73">
        <f t="shared" si="31"/>
        <v>29901.991482000001</v>
      </c>
      <c r="M34" s="73">
        <f t="shared" si="32"/>
        <v>30836.6289</v>
      </c>
      <c r="N34" s="73">
        <f t="shared" si="33"/>
        <v>27730.5798</v>
      </c>
      <c r="O34" s="74">
        <f t="shared" si="34"/>
        <v>11259.010883999999</v>
      </c>
      <c r="P34" s="75">
        <f t="shared" si="35"/>
        <v>352288.93326000002</v>
      </c>
      <c r="T34" s="85" t="s">
        <v>42</v>
      </c>
      <c r="U34" s="86"/>
      <c r="V34" s="86"/>
      <c r="W34" s="87">
        <f t="shared" si="36"/>
        <v>0</v>
      </c>
      <c r="X34" s="92">
        <f t="shared" si="37"/>
        <v>0</v>
      </c>
      <c r="Y34" s="90">
        <f t="shared" si="38"/>
        <v>0</v>
      </c>
      <c r="Z34" s="92">
        <f t="shared" si="39"/>
        <v>0</v>
      </c>
      <c r="AA34" s="90">
        <f t="shared" si="40"/>
        <v>0</v>
      </c>
      <c r="AB34" s="91">
        <f t="shared" si="41"/>
        <v>0</v>
      </c>
    </row>
    <row r="35" spans="1:28" x14ac:dyDescent="0.25">
      <c r="A35" s="48" t="s">
        <v>45</v>
      </c>
      <c r="B35" s="49"/>
      <c r="C35" s="49"/>
      <c r="D35" s="71">
        <f>'[3]2019'!AS21+'[3]2019'!AU21</f>
        <v>20355.541799999999</v>
      </c>
      <c r="E35" s="72">
        <f>'[3]2019'!AW21+'[3]2019'!AY21</f>
        <v>16011.5406</v>
      </c>
      <c r="F35" s="73">
        <f t="shared" si="25"/>
        <v>18920.757900000001</v>
      </c>
      <c r="G35" s="73">
        <f t="shared" si="26"/>
        <v>18574.733100000001</v>
      </c>
      <c r="H35" s="73">
        <f t="shared" si="27"/>
        <v>20267.897099999998</v>
      </c>
      <c r="I35" s="73">
        <f t="shared" si="28"/>
        <v>19408.814699999999</v>
      </c>
      <c r="J35" s="73">
        <f t="shared" si="29"/>
        <v>21937.855500000001</v>
      </c>
      <c r="K35" s="73">
        <f t="shared" si="30"/>
        <v>22375.069199999998</v>
      </c>
      <c r="L35" s="73">
        <f t="shared" si="31"/>
        <v>23118.740700000002</v>
      </c>
      <c r="M35" s="73">
        <f t="shared" si="32"/>
        <v>19143.6993</v>
      </c>
      <c r="N35" s="73">
        <f t="shared" si="33"/>
        <v>19675.557000000001</v>
      </c>
      <c r="O35" s="74">
        <f t="shared" si="34"/>
        <v>9975.9527999999991</v>
      </c>
      <c r="P35" s="75">
        <f t="shared" si="35"/>
        <v>229766.15969999999</v>
      </c>
      <c r="T35" s="85" t="s">
        <v>43</v>
      </c>
      <c r="U35" s="86"/>
      <c r="V35" s="86"/>
      <c r="W35" s="87">
        <f t="shared" si="36"/>
        <v>10129186</v>
      </c>
      <c r="X35" s="93">
        <f t="shared" si="37"/>
        <v>66852.627600000007</v>
      </c>
      <c r="Y35" s="92">
        <f t="shared" si="38"/>
        <v>7543514</v>
      </c>
      <c r="Z35" s="92">
        <f t="shared" si="39"/>
        <v>24893.5962</v>
      </c>
      <c r="AA35" s="90">
        <f t="shared" si="40"/>
        <v>17672700</v>
      </c>
      <c r="AB35" s="91">
        <f t="shared" si="41"/>
        <v>91746.223800000007</v>
      </c>
    </row>
    <row r="36" spans="1:28" x14ac:dyDescent="0.25">
      <c r="A36" s="48" t="s">
        <v>46</v>
      </c>
      <c r="B36" s="49"/>
      <c r="C36" s="49"/>
      <c r="D36" s="71">
        <f>'[3]2019'!AS22+'[3]2019'!AU22</f>
        <v>3942.7078019999994</v>
      </c>
      <c r="E36" s="72">
        <f>'[3]2019'!AW22+'[3]2019'!AY22</f>
        <v>3192.0759420000004</v>
      </c>
      <c r="F36" s="73">
        <f t="shared" si="25"/>
        <v>3441.4019639999997</v>
      </c>
      <c r="G36" s="73">
        <f t="shared" si="26"/>
        <v>3258.403632</v>
      </c>
      <c r="H36" s="73">
        <f t="shared" si="27"/>
        <v>3751.7156819999996</v>
      </c>
      <c r="I36" s="73">
        <f t="shared" si="28"/>
        <v>3803.9958000000001</v>
      </c>
      <c r="J36" s="73">
        <f t="shared" si="29"/>
        <v>3972.5515499999997</v>
      </c>
      <c r="K36" s="73">
        <f t="shared" si="30"/>
        <v>3436.2781199999999</v>
      </c>
      <c r="L36" s="73">
        <f t="shared" si="31"/>
        <v>3462.4098300000001</v>
      </c>
      <c r="M36" s="73">
        <f t="shared" si="32"/>
        <v>3279.8270339999999</v>
      </c>
      <c r="N36" s="73">
        <f t="shared" si="33"/>
        <v>3607.4167470000002</v>
      </c>
      <c r="O36" s="74">
        <f t="shared" si="34"/>
        <v>1355.9663370000001</v>
      </c>
      <c r="P36" s="75">
        <f t="shared" si="35"/>
        <v>40504.750440000003</v>
      </c>
      <c r="T36" s="85" t="s">
        <v>44</v>
      </c>
      <c r="U36" s="86"/>
      <c r="V36" s="86"/>
      <c r="W36" s="87">
        <f t="shared" si="36"/>
        <v>30257150.990000002</v>
      </c>
      <c r="X36" s="93">
        <f t="shared" si="37"/>
        <v>199697.19653400002</v>
      </c>
      <c r="Y36" s="92">
        <f t="shared" si="38"/>
        <v>42667353.319999993</v>
      </c>
      <c r="Z36" s="92">
        <f t="shared" si="39"/>
        <v>140802.26595599999</v>
      </c>
      <c r="AA36" s="90">
        <f t="shared" si="40"/>
        <v>72924504.310000002</v>
      </c>
      <c r="AB36" s="91">
        <f t="shared" si="41"/>
        <v>340499.46249000001</v>
      </c>
    </row>
    <row r="37" spans="1:28" x14ac:dyDescent="0.25">
      <c r="A37" s="48" t="s">
        <v>47</v>
      </c>
      <c r="B37" s="49"/>
      <c r="C37" s="49"/>
      <c r="D37" s="71">
        <f>'[3]2019'!AS23+'[3]2019'!AU23</f>
        <v>4593.7778699999999</v>
      </c>
      <c r="E37" s="72">
        <f>'[3]2019'!AW23+'[3]2019'!AY23</f>
        <v>3206.8063499999998</v>
      </c>
      <c r="F37" s="73">
        <f t="shared" si="25"/>
        <v>3563.7673500000001</v>
      </c>
      <c r="G37" s="73">
        <f t="shared" si="26"/>
        <v>3969.1145999999999</v>
      </c>
      <c r="H37" s="73">
        <f t="shared" si="27"/>
        <v>4381.3374000000003</v>
      </c>
      <c r="I37" s="73">
        <f t="shared" si="28"/>
        <v>6359.3422200000005</v>
      </c>
      <c r="J37" s="73">
        <f t="shared" si="29"/>
        <v>6226.5974100000003</v>
      </c>
      <c r="K37" s="73">
        <f t="shared" si="30"/>
        <v>6604.1593200000007</v>
      </c>
      <c r="L37" s="73">
        <f t="shared" si="31"/>
        <v>5768.5504799999999</v>
      </c>
      <c r="M37" s="73">
        <f t="shared" si="32"/>
        <v>5152.98531</v>
      </c>
      <c r="N37" s="73">
        <f t="shared" si="33"/>
        <v>4858.8850199999997</v>
      </c>
      <c r="O37" s="74">
        <f t="shared" si="34"/>
        <v>1605.4622099999999</v>
      </c>
      <c r="P37" s="75">
        <f t="shared" si="35"/>
        <v>56290.785539999997</v>
      </c>
      <c r="T37" s="85" t="s">
        <v>45</v>
      </c>
      <c r="U37" s="86"/>
      <c r="V37" s="86"/>
      <c r="W37" s="87">
        <f t="shared" si="36"/>
        <v>12246117</v>
      </c>
      <c r="X37" s="93">
        <f t="shared" si="37"/>
        <v>80824.372199999998</v>
      </c>
      <c r="Y37" s="92">
        <f t="shared" si="38"/>
        <v>44991164</v>
      </c>
      <c r="Z37" s="92">
        <f t="shared" si="39"/>
        <v>148470.8412</v>
      </c>
      <c r="AA37" s="90">
        <f t="shared" si="40"/>
        <v>57237281</v>
      </c>
      <c r="AB37" s="91">
        <f t="shared" si="41"/>
        <v>229295.21340000001</v>
      </c>
    </row>
    <row r="38" spans="1:28" x14ac:dyDescent="0.25">
      <c r="A38" s="48" t="s">
        <v>48</v>
      </c>
      <c r="B38" s="49"/>
      <c r="C38" s="49"/>
      <c r="D38" s="71">
        <f>'[3]2019'!AS24+'[3]2019'!AU24</f>
        <v>4968.5724</v>
      </c>
      <c r="E38" s="72">
        <f>'[3]2019'!AW24+'[3]2019'!AY24</f>
        <v>4035.8571000000002</v>
      </c>
      <c r="F38" s="73">
        <f t="shared" si="25"/>
        <v>4310.0573999999997</v>
      </c>
      <c r="G38" s="73">
        <f t="shared" si="26"/>
        <v>4496.7416999999996</v>
      </c>
      <c r="H38" s="73">
        <f t="shared" si="27"/>
        <v>4951.1153999999997</v>
      </c>
      <c r="I38" s="73">
        <f t="shared" si="28"/>
        <v>5060.8667999999998</v>
      </c>
      <c r="J38" s="73">
        <f t="shared" si="29"/>
        <v>5839.0892999999996</v>
      </c>
      <c r="K38" s="73">
        <f t="shared" si="30"/>
        <v>5475.6437999999998</v>
      </c>
      <c r="L38" s="73">
        <f t="shared" si="31"/>
        <v>5386.8077999999996</v>
      </c>
      <c r="M38" s="73">
        <f t="shared" si="32"/>
        <v>5072.4861000000001</v>
      </c>
      <c r="N38" s="73">
        <f t="shared" si="33"/>
        <v>4994.0120999999999</v>
      </c>
      <c r="O38" s="74">
        <f t="shared" si="34"/>
        <v>2467.1097</v>
      </c>
      <c r="P38" s="75">
        <f t="shared" si="35"/>
        <v>57058.359599999996</v>
      </c>
      <c r="T38" s="85" t="s">
        <v>46</v>
      </c>
      <c r="U38" s="86"/>
      <c r="V38" s="86"/>
      <c r="W38" s="87">
        <f t="shared" si="36"/>
        <v>1036455.5599999999</v>
      </c>
      <c r="X38" s="93">
        <f t="shared" si="37"/>
        <v>6840.6066959999989</v>
      </c>
      <c r="Y38" s="92">
        <f t="shared" si="38"/>
        <v>10212701.279999999</v>
      </c>
      <c r="Z38" s="92">
        <f t="shared" si="39"/>
        <v>33701.914224</v>
      </c>
      <c r="AA38" s="90">
        <f t="shared" si="40"/>
        <v>11249156.84</v>
      </c>
      <c r="AB38" s="91">
        <f t="shared" si="41"/>
        <v>40542.520919999995</v>
      </c>
    </row>
    <row r="39" spans="1:28" x14ac:dyDescent="0.25">
      <c r="A39" s="48" t="s">
        <v>49</v>
      </c>
      <c r="B39" s="49"/>
      <c r="C39" s="49"/>
      <c r="D39" s="71">
        <f>'[3]2019'!AS25+'[3]2019'!AU25</f>
        <v>0</v>
      </c>
      <c r="E39" s="72">
        <f>'[3]2019'!AW25+'[3]2019'!AY25</f>
        <v>0</v>
      </c>
      <c r="F39" s="73">
        <f t="shared" si="25"/>
        <v>0</v>
      </c>
      <c r="G39" s="73">
        <f t="shared" si="26"/>
        <v>0</v>
      </c>
      <c r="H39" s="73">
        <f t="shared" si="27"/>
        <v>0</v>
      </c>
      <c r="I39" s="73">
        <f t="shared" si="28"/>
        <v>0</v>
      </c>
      <c r="J39" s="73">
        <f t="shared" si="29"/>
        <v>0</v>
      </c>
      <c r="K39" s="73">
        <f t="shared" si="30"/>
        <v>0</v>
      </c>
      <c r="L39" s="73">
        <f t="shared" si="31"/>
        <v>0</v>
      </c>
      <c r="M39" s="73">
        <f t="shared" si="32"/>
        <v>0</v>
      </c>
      <c r="N39" s="73">
        <f t="shared" si="33"/>
        <v>0</v>
      </c>
      <c r="O39" s="74">
        <f t="shared" si="34"/>
        <v>0</v>
      </c>
      <c r="P39" s="75">
        <f t="shared" si="35"/>
        <v>0</v>
      </c>
      <c r="T39" s="85" t="s">
        <v>47</v>
      </c>
      <c r="U39" s="86"/>
      <c r="V39" s="86"/>
      <c r="W39" s="87">
        <f t="shared" si="36"/>
        <v>4917995.8000000007</v>
      </c>
      <c r="X39" s="93">
        <f t="shared" si="37"/>
        <v>32458.772279999997</v>
      </c>
      <c r="Y39" s="92">
        <f t="shared" si="38"/>
        <v>7449161.5</v>
      </c>
      <c r="Z39" s="92">
        <f t="shared" si="39"/>
        <v>24582.232950000001</v>
      </c>
      <c r="AA39" s="90">
        <f t="shared" si="40"/>
        <v>12367157.300000001</v>
      </c>
      <c r="AB39" s="91">
        <f t="shared" si="41"/>
        <v>57041.005229999995</v>
      </c>
    </row>
    <row r="40" spans="1:28" x14ac:dyDescent="0.25">
      <c r="A40" s="48" t="s">
        <v>50</v>
      </c>
      <c r="B40" s="49"/>
      <c r="C40" s="49"/>
      <c r="D40" s="71">
        <f>'[3]2019'!AS26+'[3]2019'!AU26</f>
        <v>7527.2603999999992</v>
      </c>
      <c r="E40" s="72">
        <f>'[3]2019'!AW26+'[3]2019'!AY26</f>
        <v>7227.1583999999993</v>
      </c>
      <c r="F40" s="73">
        <f t="shared" si="25"/>
        <v>7926.0884999999998</v>
      </c>
      <c r="G40" s="73">
        <f t="shared" si="26"/>
        <v>7833.3288000000002</v>
      </c>
      <c r="H40" s="73">
        <f t="shared" si="27"/>
        <v>8739.446100000001</v>
      </c>
      <c r="I40" s="73">
        <f t="shared" si="28"/>
        <v>8715.4089000000004</v>
      </c>
      <c r="J40" s="73">
        <f t="shared" si="29"/>
        <v>8893.3911000000007</v>
      </c>
      <c r="K40" s="73">
        <f t="shared" si="30"/>
        <v>9420.146999999999</v>
      </c>
      <c r="L40" s="73">
        <f t="shared" si="31"/>
        <v>9404.0231999999996</v>
      </c>
      <c r="M40" s="73">
        <f t="shared" si="32"/>
        <v>9184.5797999999995</v>
      </c>
      <c r="N40" s="73">
        <f t="shared" si="33"/>
        <v>9131.0174999999999</v>
      </c>
      <c r="O40" s="74">
        <f t="shared" si="34"/>
        <v>2096.8496999999998</v>
      </c>
      <c r="P40" s="75">
        <f t="shared" si="35"/>
        <v>96098.699400000012</v>
      </c>
      <c r="T40" s="85" t="s">
        <v>48</v>
      </c>
      <c r="U40" s="86"/>
      <c r="V40" s="86"/>
      <c r="W40" s="87">
        <f t="shared" si="36"/>
        <v>1869268</v>
      </c>
      <c r="X40" s="93">
        <f t="shared" si="37"/>
        <v>12337.168800000001</v>
      </c>
      <c r="Y40" s="92">
        <f t="shared" si="38"/>
        <v>13786672</v>
      </c>
      <c r="Z40" s="92">
        <f t="shared" si="39"/>
        <v>45496.017599999999</v>
      </c>
      <c r="AA40" s="90">
        <f t="shared" si="40"/>
        <v>15655940</v>
      </c>
      <c r="AB40" s="91">
        <f t="shared" si="41"/>
        <v>57833.186399999999</v>
      </c>
    </row>
    <row r="41" spans="1:28" x14ac:dyDescent="0.25">
      <c r="A41" s="48" t="s">
        <v>24</v>
      </c>
      <c r="B41" s="49"/>
      <c r="C41" s="49"/>
      <c r="D41" s="71">
        <f>-C12</f>
        <v>-2000</v>
      </c>
      <c r="E41" s="72"/>
      <c r="F41" s="73">
        <v>0</v>
      </c>
      <c r="G41" s="73">
        <v>0</v>
      </c>
      <c r="H41" s="73">
        <v>0</v>
      </c>
      <c r="I41" s="73">
        <v>0</v>
      </c>
      <c r="J41" s="73">
        <v>0</v>
      </c>
      <c r="K41" s="73">
        <v>0</v>
      </c>
      <c r="L41" s="73">
        <v>0</v>
      </c>
      <c r="M41" s="73">
        <v>0</v>
      </c>
      <c r="N41" s="73">
        <v>0</v>
      </c>
      <c r="O41" s="74">
        <v>0</v>
      </c>
      <c r="P41" s="75">
        <f t="shared" si="35"/>
        <v>-2000</v>
      </c>
      <c r="T41" s="85" t="s">
        <v>49</v>
      </c>
      <c r="U41" s="86"/>
      <c r="V41" s="86"/>
      <c r="W41" s="87">
        <f t="shared" si="36"/>
        <v>0</v>
      </c>
      <c r="X41" s="93">
        <f t="shared" si="37"/>
        <v>0</v>
      </c>
      <c r="Y41" s="92">
        <f t="shared" si="38"/>
        <v>0</v>
      </c>
      <c r="Z41" s="92">
        <f t="shared" si="39"/>
        <v>0</v>
      </c>
      <c r="AA41" s="90">
        <f t="shared" si="40"/>
        <v>0</v>
      </c>
      <c r="AB41" s="91">
        <f t="shared" si="41"/>
        <v>0</v>
      </c>
    </row>
    <row r="42" spans="1:28" ht="15.75" thickBot="1" x14ac:dyDescent="0.3">
      <c r="A42" s="56" t="s">
        <v>51</v>
      </c>
      <c r="B42" s="57"/>
      <c r="C42" s="57"/>
      <c r="D42" s="94">
        <f t="shared" ref="D42:P42" si="42">SUM(D31:D41)</f>
        <v>110165.817874</v>
      </c>
      <c r="E42" s="95">
        <f t="shared" si="42"/>
        <v>95765.792858999994</v>
      </c>
      <c r="F42" s="95">
        <f t="shared" si="42"/>
        <v>100495.907259</v>
      </c>
      <c r="G42" s="95">
        <f t="shared" si="42"/>
        <v>100999.73413200001</v>
      </c>
      <c r="H42" s="95">
        <f t="shared" si="42"/>
        <v>106302.062559</v>
      </c>
      <c r="I42" s="95">
        <f t="shared" si="42"/>
        <v>111971.17866000001</v>
      </c>
      <c r="J42" s="95">
        <f t="shared" si="42"/>
        <v>115193.69502300004</v>
      </c>
      <c r="K42" s="95">
        <f t="shared" si="42"/>
        <v>116514.05304000001</v>
      </c>
      <c r="L42" s="95">
        <f t="shared" si="42"/>
        <v>111519.544092</v>
      </c>
      <c r="M42" s="95">
        <f t="shared" si="42"/>
        <v>109232.49374399998</v>
      </c>
      <c r="N42" s="95">
        <f t="shared" si="42"/>
        <v>102912.14666700001</v>
      </c>
      <c r="O42" s="95">
        <f t="shared" si="42"/>
        <v>37762.461231000001</v>
      </c>
      <c r="P42" s="96">
        <f t="shared" si="42"/>
        <v>1218834.88714</v>
      </c>
      <c r="T42" s="85" t="s">
        <v>50</v>
      </c>
      <c r="U42" s="86"/>
      <c r="V42" s="86"/>
      <c r="W42" s="87">
        <f t="shared" si="36"/>
        <v>10535675</v>
      </c>
      <c r="X42" s="93">
        <f t="shared" si="37"/>
        <v>69535.455000000002</v>
      </c>
      <c r="Y42" s="92">
        <f t="shared" si="38"/>
        <v>8943902</v>
      </c>
      <c r="Z42" s="92">
        <f t="shared" si="39"/>
        <v>29514.8766</v>
      </c>
      <c r="AA42" s="90">
        <f t="shared" si="40"/>
        <v>19479577</v>
      </c>
      <c r="AB42" s="91">
        <f t="shared" si="41"/>
        <v>99050.331600000005</v>
      </c>
    </row>
    <row r="43" spans="1:28" ht="15.75" thickBot="1" x14ac:dyDescent="0.3">
      <c r="A43" s="97"/>
      <c r="B43" s="97"/>
      <c r="C43" s="97"/>
      <c r="T43" s="98" t="s">
        <v>51</v>
      </c>
      <c r="U43" s="99"/>
      <c r="V43" s="99"/>
      <c r="W43" s="100">
        <f t="shared" ref="W43:AB43" si="43">SUM(W33:W42)</f>
        <v>97498775.350000009</v>
      </c>
      <c r="X43" s="101">
        <f t="shared" si="43"/>
        <v>643491.91730999993</v>
      </c>
      <c r="Y43" s="102">
        <f t="shared" si="43"/>
        <v>169781962.09999999</v>
      </c>
      <c r="Z43" s="102">
        <f t="shared" si="43"/>
        <v>560280.47492999991</v>
      </c>
      <c r="AA43" s="103">
        <f t="shared" si="43"/>
        <v>267280737.45000002</v>
      </c>
      <c r="AB43" s="104">
        <f t="shared" si="43"/>
        <v>1203772.39224</v>
      </c>
    </row>
    <row r="44" spans="1:28" ht="15.75" thickBot="1" x14ac:dyDescent="0.3">
      <c r="A44" s="97"/>
      <c r="B44" s="97"/>
      <c r="C44" s="97"/>
    </row>
    <row r="45" spans="1:28" ht="15.75" thickBot="1" x14ac:dyDescent="0.3">
      <c r="A45" s="37" t="s">
        <v>67</v>
      </c>
      <c r="B45" s="38"/>
      <c r="C45" s="38"/>
      <c r="D45" s="195" t="s">
        <v>35</v>
      </c>
      <c r="E45" s="196" t="s">
        <v>36</v>
      </c>
      <c r="F45" s="196" t="s">
        <v>5</v>
      </c>
      <c r="G45" s="196" t="s">
        <v>28</v>
      </c>
      <c r="H45" s="196" t="s">
        <v>29</v>
      </c>
      <c r="I45" s="196" t="s">
        <v>30</v>
      </c>
      <c r="J45" s="196" t="s">
        <v>31</v>
      </c>
      <c r="K45" s="196" t="s">
        <v>32</v>
      </c>
      <c r="L45" s="196" t="s">
        <v>33</v>
      </c>
      <c r="M45" s="196" t="s">
        <v>34</v>
      </c>
      <c r="N45" s="196" t="s">
        <v>35</v>
      </c>
      <c r="O45" s="141" t="s">
        <v>36</v>
      </c>
      <c r="P45" s="68" t="s">
        <v>51</v>
      </c>
    </row>
    <row r="46" spans="1:28" x14ac:dyDescent="0.25">
      <c r="A46" s="40"/>
      <c r="B46" s="36"/>
      <c r="C46" s="36"/>
      <c r="D46" s="142"/>
      <c r="O46" s="143"/>
      <c r="P46" s="144"/>
    </row>
    <row r="47" spans="1:28" x14ac:dyDescent="0.25">
      <c r="A47" s="142" t="s">
        <v>69</v>
      </c>
      <c r="D47" s="145">
        <f t="shared" ref="D47:O47" si="44">IF(COUNTBLANK(D$31:D$40)=0,D$42*$C9,0)</f>
        <v>77602.426040074759</v>
      </c>
      <c r="E47" s="73">
        <f t="shared" si="44"/>
        <v>67458.836151967582</v>
      </c>
      <c r="F47" s="73">
        <f t="shared" si="44"/>
        <v>70790.798460883758</v>
      </c>
      <c r="G47" s="73">
        <f t="shared" si="44"/>
        <v>71145.701537023982</v>
      </c>
      <c r="H47" s="73">
        <f t="shared" si="44"/>
        <v>74880.739841437666</v>
      </c>
      <c r="I47" s="73">
        <f t="shared" si="44"/>
        <v>78874.14879015187</v>
      </c>
      <c r="J47" s="73">
        <f t="shared" si="44"/>
        <v>81144.136818640516</v>
      </c>
      <c r="K47" s="73">
        <f t="shared" si="44"/>
        <v>82074.216468916886</v>
      </c>
      <c r="L47" s="73">
        <f t="shared" si="44"/>
        <v>78556.010743008723</v>
      </c>
      <c r="M47" s="73">
        <f t="shared" si="44"/>
        <v>76944.978764980944</v>
      </c>
      <c r="N47" s="73">
        <f t="shared" si="44"/>
        <v>72492.833117122515</v>
      </c>
      <c r="O47" s="74">
        <f t="shared" si="44"/>
        <v>26600.434339093485</v>
      </c>
      <c r="P47" s="75">
        <f>SUM(D47:O47)</f>
        <v>858565.26107330271</v>
      </c>
      <c r="Q47" s="203">
        <f>P47/P51</f>
        <v>0.70441474077586408</v>
      </c>
    </row>
    <row r="48" spans="1:28" x14ac:dyDescent="0.25">
      <c r="A48" s="142" t="s">
        <v>70</v>
      </c>
      <c r="D48" s="145">
        <f t="shared" ref="D48:O48" si="45">IF(COUNTBLANK(D$31:D$40)=0,D$42*$C10,0)</f>
        <v>18032.795211350076</v>
      </c>
      <c r="E48" s="73">
        <f t="shared" si="45"/>
        <v>15675.687470083098</v>
      </c>
      <c r="F48" s="73">
        <f t="shared" si="45"/>
        <v>16449.949268774733</v>
      </c>
      <c r="G48" s="73">
        <f t="shared" si="45"/>
        <v>16532.419557636702</v>
      </c>
      <c r="H48" s="73">
        <f t="shared" si="45"/>
        <v>17400.34578477886</v>
      </c>
      <c r="I48" s="73">
        <f t="shared" si="45"/>
        <v>18328.310662193231</v>
      </c>
      <c r="J48" s="73">
        <f t="shared" si="45"/>
        <v>18855.797125423302</v>
      </c>
      <c r="K48" s="73">
        <f t="shared" si="45"/>
        <v>19071.923562694948</v>
      </c>
      <c r="L48" s="73">
        <f t="shared" si="45"/>
        <v>18254.38361447299</v>
      </c>
      <c r="M48" s="73">
        <f t="shared" si="45"/>
        <v>17880.021481468168</v>
      </c>
      <c r="N48" s="73">
        <f t="shared" si="45"/>
        <v>16845.458068753796</v>
      </c>
      <c r="O48" s="74">
        <f t="shared" si="45"/>
        <v>6181.2524356148979</v>
      </c>
      <c r="P48" s="75">
        <f>SUM(D48:O48)</f>
        <v>199508.34424324479</v>
      </c>
    </row>
    <row r="49" spans="1:58" x14ac:dyDescent="0.25">
      <c r="A49" s="142" t="s">
        <v>71</v>
      </c>
      <c r="D49" s="145">
        <f t="shared" ref="D49:O49" si="46">IF(COUNTBLANK(D$31:D$40)=0,D$42*$C11,0)</f>
        <v>14530.596622575154</v>
      </c>
      <c r="E49" s="73">
        <f t="shared" si="46"/>
        <v>12631.269236949314</v>
      </c>
      <c r="F49" s="73">
        <f t="shared" si="46"/>
        <v>13255.159529341499</v>
      </c>
      <c r="G49" s="73">
        <f t="shared" si="46"/>
        <v>13321.613037339323</v>
      </c>
      <c r="H49" s="73">
        <f t="shared" si="46"/>
        <v>14020.976932783462</v>
      </c>
      <c r="I49" s="73">
        <f t="shared" si="46"/>
        <v>14768.719207654898</v>
      </c>
      <c r="J49" s="73">
        <f t="shared" si="46"/>
        <v>15193.761078936213</v>
      </c>
      <c r="K49" s="73">
        <f t="shared" si="46"/>
        <v>15367.91300838817</v>
      </c>
      <c r="L49" s="73">
        <f t="shared" si="46"/>
        <v>14709.149734518278</v>
      </c>
      <c r="M49" s="73">
        <f t="shared" si="46"/>
        <v>14407.493497550864</v>
      </c>
      <c r="N49" s="73">
        <f t="shared" si="46"/>
        <v>13573.85548112369</v>
      </c>
      <c r="O49" s="74">
        <f t="shared" si="46"/>
        <v>4980.7744562916187</v>
      </c>
      <c r="P49" s="75">
        <f>SUM(D49:O49)</f>
        <v>160761.28182345247</v>
      </c>
    </row>
    <row r="50" spans="1:58" x14ac:dyDescent="0.25">
      <c r="A50" s="142"/>
      <c r="D50" s="145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4"/>
      <c r="P50" s="75"/>
    </row>
    <row r="51" spans="1:58" x14ac:dyDescent="0.25">
      <c r="A51" s="146" t="s">
        <v>51</v>
      </c>
      <c r="B51" s="147"/>
      <c r="C51" s="147"/>
      <c r="D51" s="148">
        <f t="shared" ref="D51:P51" si="47">SUM(D47:D49)</f>
        <v>110165.817874</v>
      </c>
      <c r="E51" s="149">
        <f t="shared" si="47"/>
        <v>95765.792858999994</v>
      </c>
      <c r="F51" s="149">
        <f t="shared" si="47"/>
        <v>100495.907259</v>
      </c>
      <c r="G51" s="149">
        <f t="shared" si="47"/>
        <v>100999.73413200001</v>
      </c>
      <c r="H51" s="149">
        <f t="shared" si="47"/>
        <v>106302.06255899998</v>
      </c>
      <c r="I51" s="149">
        <f t="shared" si="47"/>
        <v>111971.17865999999</v>
      </c>
      <c r="J51" s="149">
        <f t="shared" si="47"/>
        <v>115193.69502300002</v>
      </c>
      <c r="K51" s="149">
        <f t="shared" si="47"/>
        <v>116514.05304000001</v>
      </c>
      <c r="L51" s="149">
        <f t="shared" si="47"/>
        <v>111519.54409199998</v>
      </c>
      <c r="M51" s="149">
        <f t="shared" si="47"/>
        <v>109232.49374399998</v>
      </c>
      <c r="N51" s="149">
        <f t="shared" si="47"/>
        <v>102912.14666699999</v>
      </c>
      <c r="O51" s="150">
        <f t="shared" si="47"/>
        <v>37762.461231000001</v>
      </c>
      <c r="P51" s="151">
        <f t="shared" si="47"/>
        <v>1218834.88714</v>
      </c>
    </row>
    <row r="52" spans="1:58" x14ac:dyDescent="0.25">
      <c r="A52" s="40"/>
      <c r="B52" s="36"/>
      <c r="C52" s="36"/>
      <c r="D52" s="152"/>
      <c r="E52" s="153">
        <v>0</v>
      </c>
      <c r="F52" s="153"/>
      <c r="G52" s="153"/>
      <c r="H52" s="153"/>
      <c r="I52" s="153"/>
      <c r="J52" s="153"/>
      <c r="K52" s="153"/>
      <c r="L52" s="153"/>
      <c r="M52" s="153"/>
      <c r="N52" s="153"/>
      <c r="O52" s="154"/>
      <c r="P52" s="155"/>
    </row>
    <row r="53" spans="1:58" ht="15.75" thickBot="1" x14ac:dyDescent="0.3">
      <c r="A53" s="156" t="s">
        <v>72</v>
      </c>
      <c r="B53" s="157"/>
      <c r="C53" s="157"/>
      <c r="D53" s="158">
        <f>D42-D51</f>
        <v>0</v>
      </c>
      <c r="E53" s="159">
        <f>E42-E51</f>
        <v>0</v>
      </c>
      <c r="F53" s="159"/>
      <c r="G53" s="159">
        <f t="shared" ref="G53:O53" si="48">G42-G51</f>
        <v>0</v>
      </c>
      <c r="H53" s="159">
        <f t="shared" si="48"/>
        <v>0</v>
      </c>
      <c r="I53" s="159">
        <f t="shared" si="48"/>
        <v>0</v>
      </c>
      <c r="J53" s="159">
        <f t="shared" si="48"/>
        <v>0</v>
      </c>
      <c r="K53" s="159">
        <f t="shared" si="48"/>
        <v>0</v>
      </c>
      <c r="L53" s="159">
        <f t="shared" si="48"/>
        <v>0</v>
      </c>
      <c r="M53" s="159">
        <f t="shared" si="48"/>
        <v>0</v>
      </c>
      <c r="N53" s="159">
        <f t="shared" si="48"/>
        <v>0</v>
      </c>
      <c r="O53" s="159">
        <f t="shared" si="48"/>
        <v>0</v>
      </c>
      <c r="P53" s="160">
        <f>ROUND(P42-P51,2)</f>
        <v>0</v>
      </c>
    </row>
    <row r="54" spans="1:58" x14ac:dyDescent="0.25"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</row>
    <row r="55" spans="1:58" ht="15.75" thickBot="1" x14ac:dyDescent="0.3"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</row>
    <row r="56" spans="1:58" ht="16.5" thickBot="1" x14ac:dyDescent="0.3">
      <c r="A56" s="162" t="s">
        <v>73</v>
      </c>
      <c r="B56" s="163"/>
      <c r="C56" s="163"/>
      <c r="D56" s="164" t="s">
        <v>5</v>
      </c>
      <c r="E56" s="165" t="s">
        <v>26</v>
      </c>
      <c r="F56" s="165" t="s">
        <v>27</v>
      </c>
      <c r="G56" s="165" t="s">
        <v>28</v>
      </c>
      <c r="H56" s="165" t="s">
        <v>29</v>
      </c>
      <c r="I56" s="165" t="s">
        <v>30</v>
      </c>
      <c r="J56" s="165" t="s">
        <v>31</v>
      </c>
      <c r="K56" s="165" t="s">
        <v>32</v>
      </c>
      <c r="L56" s="165" t="s">
        <v>33</v>
      </c>
      <c r="M56" s="165" t="s">
        <v>34</v>
      </c>
      <c r="N56" s="165" t="s">
        <v>35</v>
      </c>
      <c r="O56" s="165" t="s">
        <v>36</v>
      </c>
      <c r="P56" s="166" t="s">
        <v>51</v>
      </c>
      <c r="Q56" s="161"/>
      <c r="R56" s="161"/>
      <c r="S56" s="161"/>
      <c r="Z56" s="161"/>
      <c r="AA56" s="161"/>
      <c r="AB56" s="161"/>
      <c r="AC56" s="161"/>
      <c r="AD56" s="161"/>
      <c r="AE56" s="161"/>
      <c r="AF56" s="161"/>
      <c r="AG56" s="161"/>
      <c r="AH56" s="161"/>
      <c r="AI56" s="161"/>
      <c r="AJ56" s="161"/>
      <c r="AK56" s="161"/>
      <c r="AL56" s="161"/>
      <c r="AM56" s="161"/>
      <c r="AN56" s="161"/>
      <c r="AO56" s="161"/>
      <c r="AP56" s="161"/>
      <c r="AQ56" s="161"/>
      <c r="AR56" s="161"/>
      <c r="AS56" s="161"/>
      <c r="AT56" s="161"/>
      <c r="AU56" s="161"/>
      <c r="AV56" s="161"/>
      <c r="AW56" s="161"/>
      <c r="AX56" s="161"/>
      <c r="AY56" s="161"/>
      <c r="AZ56" s="161"/>
      <c r="BA56" s="161"/>
      <c r="BB56" s="161"/>
      <c r="BC56" s="161"/>
      <c r="BD56" s="161"/>
      <c r="BE56" s="161"/>
      <c r="BF56" s="161"/>
    </row>
    <row r="57" spans="1:58" ht="15.75" x14ac:dyDescent="0.25">
      <c r="A57" s="167"/>
      <c r="B57" s="125"/>
      <c r="C57" s="125"/>
      <c r="D57" s="168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70"/>
      <c r="Q57" s="161"/>
      <c r="R57" s="161"/>
      <c r="S57" s="161"/>
      <c r="Z57" s="161"/>
      <c r="AA57" s="161"/>
      <c r="AB57" s="161"/>
      <c r="AC57" s="161"/>
      <c r="AD57" s="161"/>
      <c r="AE57" s="161"/>
      <c r="AF57" s="161"/>
      <c r="AG57" s="161"/>
      <c r="AH57" s="161"/>
      <c r="AI57" s="161"/>
      <c r="AJ57" s="161"/>
      <c r="AK57" s="161"/>
      <c r="AL57" s="161"/>
      <c r="AM57" s="161"/>
      <c r="AN57" s="161"/>
      <c r="AO57" s="161"/>
      <c r="AP57" s="161"/>
      <c r="AQ57" s="161"/>
      <c r="AR57" s="161"/>
      <c r="AS57" s="161"/>
      <c r="AT57" s="161"/>
      <c r="AU57" s="161"/>
      <c r="AV57" s="161"/>
      <c r="AW57" s="161"/>
      <c r="AX57" s="161"/>
      <c r="AY57" s="161"/>
      <c r="AZ57" s="161"/>
      <c r="BA57" s="161"/>
      <c r="BB57" s="161"/>
      <c r="BC57" s="161"/>
      <c r="BD57" s="161"/>
      <c r="BE57" s="161"/>
      <c r="BF57" s="161"/>
    </row>
    <row r="58" spans="1:58" x14ac:dyDescent="0.25">
      <c r="A58" s="142" t="str">
        <f>"Opening Balance "</f>
        <v xml:space="preserve">Opening Balance </v>
      </c>
      <c r="D58" s="145">
        <v>120409.27</v>
      </c>
      <c r="E58" s="73">
        <f t="shared" ref="E58:O58" si="49">D77</f>
        <v>122311.35</v>
      </c>
      <c r="F58" s="73">
        <f t="shared" si="49"/>
        <v>132100</v>
      </c>
      <c r="G58" s="73">
        <f t="shared" si="49"/>
        <v>112153.92000000001</v>
      </c>
      <c r="H58" s="73">
        <f t="shared" si="49"/>
        <v>112528.16999999998</v>
      </c>
      <c r="I58" s="73">
        <f t="shared" si="49"/>
        <v>118849.33999999998</v>
      </c>
      <c r="J58" s="73">
        <f t="shared" si="49"/>
        <v>124802.92999999998</v>
      </c>
      <c r="K58" s="73">
        <f t="shared" si="49"/>
        <v>127605.29999999999</v>
      </c>
      <c r="L58" s="73">
        <f t="shared" si="49"/>
        <v>128657.95000000003</v>
      </c>
      <c r="M58" s="73">
        <f t="shared" si="49"/>
        <v>124204.61000000004</v>
      </c>
      <c r="N58" s="73">
        <f t="shared" si="49"/>
        <v>232236.65000000005</v>
      </c>
      <c r="O58" s="73">
        <f t="shared" si="49"/>
        <v>106062.07000000007</v>
      </c>
      <c r="P58" s="170"/>
      <c r="Q58" s="161"/>
      <c r="R58" s="161"/>
      <c r="S58" s="161"/>
      <c r="Z58" s="161"/>
      <c r="AA58" s="161"/>
      <c r="AB58" s="161"/>
      <c r="AC58" s="161"/>
      <c r="AD58" s="161"/>
      <c r="AE58" s="161"/>
      <c r="AF58" s="161"/>
      <c r="AG58" s="161"/>
      <c r="AH58" s="161"/>
      <c r="AI58" s="161"/>
      <c r="AJ58" s="161"/>
      <c r="AK58" s="161"/>
      <c r="AL58" s="161"/>
      <c r="AM58" s="161"/>
      <c r="AN58" s="161"/>
      <c r="AO58" s="161"/>
      <c r="AP58" s="161"/>
      <c r="AQ58" s="161"/>
      <c r="AR58" s="161"/>
      <c r="AS58" s="161"/>
      <c r="AT58" s="161"/>
      <c r="AU58" s="161"/>
      <c r="AV58" s="161"/>
      <c r="AW58" s="161"/>
      <c r="AX58" s="161"/>
      <c r="AY58" s="161"/>
      <c r="AZ58" s="161"/>
      <c r="BA58" s="161"/>
      <c r="BB58" s="161"/>
      <c r="BC58" s="161"/>
      <c r="BD58" s="161"/>
      <c r="BE58" s="161"/>
      <c r="BF58" s="161"/>
    </row>
    <row r="59" spans="1:58" x14ac:dyDescent="0.25">
      <c r="A59" s="142"/>
      <c r="D59" s="145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170"/>
      <c r="Q59" s="161"/>
      <c r="R59" s="161"/>
      <c r="S59" s="161"/>
      <c r="T59" s="161"/>
      <c r="U59" s="161"/>
      <c r="V59" s="161"/>
      <c r="W59" s="161"/>
      <c r="X59" s="161"/>
      <c r="Y59" s="161"/>
      <c r="Z59" s="161"/>
      <c r="AA59" s="161"/>
      <c r="AB59" s="161"/>
      <c r="AC59" s="161"/>
      <c r="AD59" s="161"/>
      <c r="AE59" s="161"/>
      <c r="AF59" s="161"/>
      <c r="AG59" s="161"/>
      <c r="AH59" s="161"/>
      <c r="AI59" s="161"/>
      <c r="AJ59" s="161"/>
      <c r="AK59" s="161"/>
      <c r="AL59" s="161"/>
      <c r="AM59" s="161"/>
      <c r="AN59" s="161"/>
      <c r="AO59" s="161"/>
      <c r="AP59" s="161"/>
      <c r="AQ59" s="161"/>
      <c r="AR59" s="161"/>
      <c r="AS59" s="161"/>
      <c r="AT59" s="161"/>
      <c r="AU59" s="161"/>
      <c r="AV59" s="161"/>
      <c r="AW59" s="161"/>
      <c r="AX59" s="161"/>
      <c r="AY59" s="161"/>
      <c r="AZ59" s="161"/>
      <c r="BA59" s="161"/>
      <c r="BB59" s="161"/>
      <c r="BC59" s="161"/>
      <c r="BD59" s="161"/>
      <c r="BE59" s="161"/>
      <c r="BF59" s="161"/>
    </row>
    <row r="60" spans="1:58" x14ac:dyDescent="0.25">
      <c r="A60" s="142" t="s">
        <v>74</v>
      </c>
      <c r="D60" s="145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123">
        <f t="shared" ref="P60:P74" si="50">SUM(D60:O60)</f>
        <v>0</v>
      </c>
      <c r="Q60" s="161"/>
      <c r="R60" s="161"/>
      <c r="S60" s="161"/>
      <c r="T60" s="161"/>
      <c r="U60" s="161"/>
      <c r="V60" s="161"/>
      <c r="W60" s="161"/>
      <c r="X60" s="161"/>
      <c r="Y60" s="161"/>
      <c r="Z60" s="161"/>
      <c r="AA60" s="161"/>
      <c r="AB60" s="161"/>
      <c r="AC60" s="161"/>
      <c r="AD60" s="161"/>
      <c r="AE60" s="161"/>
      <c r="AF60" s="161"/>
      <c r="AG60" s="161"/>
      <c r="AH60" s="161"/>
      <c r="AI60" s="161"/>
      <c r="AJ60" s="161"/>
      <c r="AK60" s="161"/>
      <c r="AL60" s="161"/>
      <c r="AM60" s="161"/>
      <c r="AN60" s="161"/>
      <c r="AO60" s="161"/>
      <c r="AP60" s="161"/>
      <c r="AQ60" s="161"/>
      <c r="AR60" s="161"/>
      <c r="AS60" s="161"/>
      <c r="AT60" s="161"/>
      <c r="AU60" s="161"/>
      <c r="AV60" s="161"/>
      <c r="AW60" s="161"/>
      <c r="AX60" s="161"/>
      <c r="AY60" s="161"/>
      <c r="AZ60" s="161"/>
      <c r="BA60" s="161"/>
      <c r="BB60" s="161"/>
      <c r="BC60" s="161"/>
      <c r="BD60" s="161"/>
      <c r="BE60" s="161"/>
      <c r="BF60" s="161"/>
    </row>
    <row r="61" spans="1:58" x14ac:dyDescent="0.25">
      <c r="A61" s="142"/>
      <c r="D61" s="145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123">
        <f t="shared" si="50"/>
        <v>0</v>
      </c>
      <c r="Q61" s="161"/>
      <c r="R61" s="161"/>
      <c r="S61" s="161"/>
      <c r="T61" s="161"/>
      <c r="U61" s="161"/>
      <c r="V61" s="161"/>
      <c r="W61" s="161"/>
      <c r="X61" s="161"/>
      <c r="Y61" s="161"/>
      <c r="Z61" s="161"/>
      <c r="AA61" s="161"/>
      <c r="AB61" s="161"/>
      <c r="AC61" s="161"/>
      <c r="AD61" s="161"/>
      <c r="AE61" s="161"/>
      <c r="AF61" s="161"/>
      <c r="AG61" s="161"/>
      <c r="AH61" s="161"/>
      <c r="AI61" s="161"/>
      <c r="AJ61" s="161"/>
      <c r="AK61" s="161"/>
      <c r="AL61" s="161"/>
      <c r="AM61" s="161"/>
      <c r="AN61" s="161"/>
      <c r="AO61" s="161"/>
      <c r="AP61" s="161"/>
      <c r="AQ61" s="161"/>
      <c r="AR61" s="161"/>
      <c r="AS61" s="161"/>
      <c r="AT61" s="161"/>
      <c r="AU61" s="161"/>
      <c r="AV61" s="161"/>
      <c r="AW61" s="161"/>
      <c r="AX61" s="161"/>
      <c r="AY61" s="161"/>
      <c r="AZ61" s="161"/>
      <c r="BA61" s="161"/>
      <c r="BB61" s="161"/>
      <c r="BC61" s="161"/>
      <c r="BD61" s="161"/>
      <c r="BE61" s="161"/>
      <c r="BF61" s="161"/>
    </row>
    <row r="62" spans="1:58" x14ac:dyDescent="0.25">
      <c r="A62" s="142" t="s">
        <v>75</v>
      </c>
      <c r="D62" s="145"/>
      <c r="E62" s="73"/>
      <c r="F62" s="73">
        <v>-24980.31</v>
      </c>
      <c r="G62" s="73"/>
      <c r="H62" s="73"/>
      <c r="I62" s="73" t="s">
        <v>93</v>
      </c>
      <c r="J62" s="73"/>
      <c r="K62" s="73"/>
      <c r="L62" s="73"/>
      <c r="M62" s="73"/>
      <c r="N62" s="73"/>
      <c r="O62" s="73"/>
      <c r="P62" s="123">
        <f t="shared" si="50"/>
        <v>-24980.31</v>
      </c>
      <c r="Q62" s="161"/>
      <c r="R62" s="161"/>
      <c r="S62" s="161"/>
      <c r="T62" s="161"/>
      <c r="U62" s="161"/>
      <c r="V62" s="161"/>
      <c r="W62" s="161"/>
      <c r="X62" s="161"/>
      <c r="Y62" s="161"/>
      <c r="Z62" s="161"/>
      <c r="AA62" s="161"/>
      <c r="AB62" s="161"/>
      <c r="AC62" s="161"/>
      <c r="AD62" s="161"/>
      <c r="AE62" s="161"/>
      <c r="AF62" s="161"/>
      <c r="AG62" s="161"/>
      <c r="AH62" s="161"/>
      <c r="AI62" s="161"/>
      <c r="AJ62" s="161"/>
      <c r="AK62" s="161"/>
      <c r="AL62" s="161"/>
      <c r="AM62" s="161"/>
      <c r="AN62" s="161"/>
      <c r="AO62" s="161"/>
      <c r="AP62" s="161"/>
      <c r="AQ62" s="161"/>
      <c r="AR62" s="161"/>
      <c r="AS62" s="161"/>
      <c r="AT62" s="161"/>
      <c r="AU62" s="161"/>
      <c r="AV62" s="161"/>
      <c r="AW62" s="161"/>
      <c r="AX62" s="161"/>
      <c r="AY62" s="161"/>
      <c r="AZ62" s="161"/>
      <c r="BA62" s="161"/>
      <c r="BB62" s="161"/>
      <c r="BC62" s="161"/>
      <c r="BD62" s="161"/>
      <c r="BE62" s="161"/>
      <c r="BF62" s="161"/>
    </row>
    <row r="63" spans="1:58" x14ac:dyDescent="0.25">
      <c r="A63" s="171">
        <v>42491</v>
      </c>
      <c r="D63" s="145">
        <v>99558.21</v>
      </c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  <c r="P63" s="123">
        <f t="shared" si="50"/>
        <v>99558.21</v>
      </c>
      <c r="Q63" s="161"/>
      <c r="R63" s="161"/>
      <c r="S63" s="161"/>
      <c r="T63" s="161"/>
      <c r="U63" s="161"/>
      <c r="V63" s="161"/>
      <c r="W63" s="161"/>
      <c r="X63" s="161"/>
      <c r="Y63" s="161"/>
      <c r="Z63" s="161"/>
      <c r="AA63" s="161"/>
      <c r="AB63" s="161"/>
      <c r="AC63" s="161"/>
      <c r="AD63" s="161"/>
      <c r="AE63" s="161"/>
      <c r="AF63" s="161"/>
      <c r="AG63" s="161"/>
      <c r="AH63" s="161"/>
      <c r="AI63" s="161"/>
      <c r="AJ63" s="161"/>
      <c r="AK63" s="161"/>
      <c r="AL63" s="161"/>
      <c r="AM63" s="161"/>
      <c r="AN63" s="161"/>
      <c r="AO63" s="161"/>
      <c r="AP63" s="161"/>
      <c r="AQ63" s="161"/>
      <c r="AR63" s="161"/>
      <c r="AS63" s="161"/>
      <c r="AT63" s="161"/>
      <c r="AU63" s="161"/>
      <c r="AV63" s="161"/>
      <c r="AW63" s="161"/>
      <c r="AX63" s="161"/>
      <c r="AY63" s="161"/>
      <c r="AZ63" s="161"/>
      <c r="BA63" s="161"/>
      <c r="BB63" s="161"/>
      <c r="BC63" s="161"/>
      <c r="BD63" s="161"/>
      <c r="BE63" s="161"/>
      <c r="BF63" s="161"/>
    </row>
    <row r="64" spans="1:58" x14ac:dyDescent="0.25">
      <c r="A64" s="171">
        <v>42522</v>
      </c>
      <c r="D64" s="173">
        <v>10145.59</v>
      </c>
      <c r="E64" s="73">
        <v>85620.21</v>
      </c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23">
        <f t="shared" si="50"/>
        <v>95765.8</v>
      </c>
      <c r="Q64" s="161"/>
      <c r="R64" s="161"/>
      <c r="S64" s="161"/>
      <c r="T64" s="161"/>
      <c r="U64" s="161"/>
      <c r="V64" s="161"/>
      <c r="W64" s="161"/>
      <c r="X64" s="161"/>
      <c r="Y64" s="161"/>
      <c r="Z64" s="161"/>
      <c r="AA64" s="161"/>
      <c r="AB64" s="161"/>
      <c r="AC64" s="161"/>
      <c r="AD64" s="161"/>
      <c r="AE64" s="161"/>
      <c r="AF64" s="161"/>
      <c r="AG64" s="161"/>
      <c r="AH64" s="161"/>
      <c r="AI64" s="161"/>
      <c r="AJ64" s="161"/>
      <c r="AK64" s="161"/>
      <c r="AL64" s="161"/>
      <c r="AM64" s="161"/>
      <c r="AN64" s="161"/>
      <c r="AO64" s="161"/>
      <c r="AP64" s="161"/>
      <c r="AQ64" s="161"/>
      <c r="AR64" s="161"/>
      <c r="AS64" s="161"/>
      <c r="AT64" s="161"/>
      <c r="AU64" s="161"/>
      <c r="AV64" s="161"/>
      <c r="AW64" s="161"/>
      <c r="AX64" s="161"/>
      <c r="AY64" s="161"/>
      <c r="AZ64" s="161"/>
      <c r="BA64" s="161"/>
      <c r="BB64" s="161"/>
      <c r="BC64" s="161"/>
      <c r="BD64" s="161"/>
      <c r="BE64" s="161"/>
      <c r="BF64" s="161"/>
    </row>
    <row r="65" spans="1:58" x14ac:dyDescent="0.25">
      <c r="A65" s="171">
        <v>42552</v>
      </c>
      <c r="D65" s="145">
        <v>-107801.66</v>
      </c>
      <c r="E65" s="172">
        <v>11353.95</v>
      </c>
      <c r="F65" s="73">
        <v>89141.95</v>
      </c>
      <c r="G65" s="172"/>
      <c r="H65" s="172"/>
      <c r="I65" s="172"/>
      <c r="J65" s="172"/>
      <c r="K65" s="172"/>
      <c r="L65" s="172"/>
      <c r="M65" s="172"/>
      <c r="N65" s="172"/>
      <c r="O65" s="172"/>
      <c r="P65" s="123">
        <f t="shared" si="50"/>
        <v>-7305.7600000000093</v>
      </c>
      <c r="Q65" s="161"/>
      <c r="R65" s="161"/>
      <c r="S65" s="161"/>
      <c r="T65" s="161"/>
      <c r="U65" s="161"/>
      <c r="V65" s="161"/>
      <c r="W65" s="161"/>
      <c r="X65" s="161"/>
      <c r="Y65" s="161"/>
      <c r="Z65" s="161"/>
      <c r="AA65" s="161"/>
      <c r="AB65" s="161"/>
      <c r="AC65" s="161"/>
      <c r="AD65" s="161"/>
      <c r="AE65" s="161"/>
      <c r="AF65" s="161"/>
      <c r="AG65" s="161"/>
      <c r="AH65" s="161"/>
      <c r="AI65" s="161"/>
      <c r="AJ65" s="161"/>
      <c r="AK65" s="161"/>
      <c r="AL65" s="161"/>
      <c r="AM65" s="161"/>
      <c r="AN65" s="161"/>
      <c r="AO65" s="161"/>
      <c r="AP65" s="161"/>
      <c r="AQ65" s="161"/>
      <c r="AR65" s="161"/>
      <c r="AS65" s="161"/>
      <c r="AT65" s="161"/>
      <c r="AU65" s="161"/>
      <c r="AV65" s="161"/>
      <c r="AW65" s="161"/>
      <c r="AX65" s="161"/>
      <c r="AY65" s="161"/>
      <c r="AZ65" s="161"/>
      <c r="BA65" s="161"/>
      <c r="BB65" s="161"/>
      <c r="BC65" s="161"/>
      <c r="BD65" s="161"/>
      <c r="BE65" s="161"/>
      <c r="BF65" s="161"/>
    </row>
    <row r="66" spans="1:58" x14ac:dyDescent="0.25">
      <c r="A66" s="171">
        <v>42583</v>
      </c>
      <c r="D66" s="145"/>
      <c r="E66" s="73">
        <v>-112165.82</v>
      </c>
      <c r="F66" s="172">
        <v>11486.6</v>
      </c>
      <c r="G66" s="73">
        <v>89341.64</v>
      </c>
      <c r="H66" s="172"/>
      <c r="I66" s="172"/>
      <c r="J66" s="172"/>
      <c r="K66" s="172"/>
      <c r="L66" s="172"/>
      <c r="M66" s="172"/>
      <c r="N66" s="172"/>
      <c r="O66" s="172"/>
      <c r="P66" s="123">
        <f t="shared" si="50"/>
        <v>-11337.580000000002</v>
      </c>
      <c r="Q66" s="161"/>
      <c r="R66" s="161"/>
      <c r="S66" s="161"/>
      <c r="T66" s="161"/>
      <c r="U66" s="161"/>
      <c r="V66" s="161"/>
      <c r="W66" s="161"/>
      <c r="X66" s="161"/>
      <c r="Y66" s="161"/>
      <c r="Z66" s="161"/>
      <c r="AA66" s="161"/>
      <c r="AB66" s="161"/>
      <c r="AC66" s="161"/>
      <c r="AD66" s="161"/>
      <c r="AE66" s="161"/>
      <c r="AF66" s="161"/>
      <c r="AG66" s="161"/>
      <c r="AH66" s="161"/>
      <c r="AI66" s="161"/>
      <c r="AJ66" s="161"/>
      <c r="AK66" s="161"/>
      <c r="AL66" s="161"/>
      <c r="AM66" s="161"/>
      <c r="AN66" s="161"/>
      <c r="AO66" s="161"/>
      <c r="AP66" s="161"/>
      <c r="AQ66" s="161"/>
      <c r="AR66" s="161"/>
      <c r="AS66" s="161"/>
      <c r="AT66" s="161"/>
      <c r="AU66" s="161"/>
      <c r="AV66" s="161"/>
      <c r="AW66" s="161"/>
      <c r="AX66" s="161"/>
      <c r="AY66" s="161"/>
      <c r="AZ66" s="161"/>
      <c r="BA66" s="161"/>
      <c r="BB66" s="161"/>
      <c r="BC66" s="161"/>
      <c r="BD66" s="161"/>
      <c r="BE66" s="161"/>
      <c r="BF66" s="161"/>
    </row>
    <row r="67" spans="1:58" x14ac:dyDescent="0.25">
      <c r="A67" s="171">
        <v>42614</v>
      </c>
      <c r="D67" s="145"/>
      <c r="E67" s="73"/>
      <c r="F67" s="73">
        <v>-95765.8</v>
      </c>
      <c r="G67" s="172">
        <v>11528.52</v>
      </c>
      <c r="H67" s="73">
        <v>94773.56</v>
      </c>
      <c r="I67" s="172"/>
      <c r="J67" s="172"/>
      <c r="K67" s="172"/>
      <c r="L67" s="172"/>
      <c r="M67" s="172"/>
      <c r="N67" s="172"/>
      <c r="O67" s="172"/>
      <c r="P67" s="123">
        <f t="shared" si="50"/>
        <v>10536.279999999999</v>
      </c>
      <c r="Q67" s="161"/>
      <c r="R67" s="161"/>
      <c r="S67" s="161"/>
      <c r="T67" s="161"/>
      <c r="U67" s="161"/>
      <c r="V67" s="161"/>
      <c r="W67" s="161"/>
      <c r="X67" s="161"/>
      <c r="Y67" s="161"/>
      <c r="Z67" s="161"/>
      <c r="AA67" s="161"/>
      <c r="AB67" s="161"/>
      <c r="AC67" s="161"/>
      <c r="AD67" s="161"/>
      <c r="AE67" s="161"/>
      <c r="AF67" s="161"/>
      <c r="AG67" s="161"/>
      <c r="AH67" s="161"/>
      <c r="AI67" s="161"/>
      <c r="AJ67" s="161"/>
      <c r="AK67" s="161"/>
      <c r="AL67" s="161"/>
      <c r="AM67" s="161"/>
      <c r="AN67" s="161"/>
      <c r="AO67" s="161"/>
      <c r="AP67" s="161"/>
      <c r="AQ67" s="161"/>
      <c r="AR67" s="161"/>
      <c r="AS67" s="161"/>
      <c r="AT67" s="161"/>
      <c r="AU67" s="161"/>
      <c r="AV67" s="161"/>
      <c r="AW67" s="161"/>
      <c r="AX67" s="161"/>
      <c r="AY67" s="161"/>
      <c r="AZ67" s="161"/>
      <c r="BA67" s="161"/>
      <c r="BB67" s="161"/>
      <c r="BC67" s="161"/>
      <c r="BD67" s="161"/>
      <c r="BE67" s="161"/>
      <c r="BF67" s="161"/>
    </row>
    <row r="68" spans="1:58" x14ac:dyDescent="0.25">
      <c r="A68" s="171">
        <v>42644</v>
      </c>
      <c r="D68" s="145"/>
      <c r="E68" s="73"/>
      <c r="F68" s="73"/>
      <c r="G68" s="73">
        <v>-100495.91</v>
      </c>
      <c r="H68" s="172">
        <v>12547.34</v>
      </c>
      <c r="I68" s="73">
        <v>99423.83</v>
      </c>
      <c r="J68" s="172"/>
      <c r="K68" s="172"/>
      <c r="L68" s="172"/>
      <c r="M68" s="172"/>
      <c r="N68" s="172"/>
      <c r="O68" s="172"/>
      <c r="P68" s="123">
        <f t="shared" si="50"/>
        <v>11475.259999999995</v>
      </c>
      <c r="Q68" s="161"/>
      <c r="R68" s="161"/>
      <c r="S68" s="161"/>
      <c r="T68" s="161"/>
      <c r="U68" s="161"/>
      <c r="V68" s="161"/>
      <c r="W68" s="161"/>
      <c r="X68" s="161"/>
      <c r="Y68" s="161"/>
      <c r="Z68" s="161"/>
      <c r="AA68" s="161"/>
      <c r="AB68" s="161"/>
      <c r="AC68" s="161"/>
      <c r="AD68" s="161"/>
      <c r="AE68" s="161"/>
      <c r="AF68" s="161"/>
      <c r="AG68" s="161"/>
      <c r="AH68" s="161"/>
      <c r="AI68" s="161"/>
      <c r="AJ68" s="161"/>
      <c r="AK68" s="161"/>
      <c r="AL68" s="161"/>
      <c r="AM68" s="161"/>
      <c r="AN68" s="161"/>
      <c r="AO68" s="161"/>
      <c r="AP68" s="161"/>
      <c r="AQ68" s="161"/>
      <c r="AR68" s="161"/>
      <c r="AS68" s="161"/>
      <c r="AT68" s="161"/>
      <c r="AU68" s="161"/>
      <c r="AV68" s="161"/>
      <c r="AW68" s="161"/>
      <c r="AX68" s="161"/>
      <c r="AY68" s="161"/>
      <c r="AZ68" s="161"/>
      <c r="BA68" s="161"/>
      <c r="BB68" s="161"/>
      <c r="BC68" s="161"/>
      <c r="BD68" s="161"/>
      <c r="BE68" s="161"/>
      <c r="BF68" s="161"/>
    </row>
    <row r="69" spans="1:58" x14ac:dyDescent="0.25">
      <c r="A69" s="171">
        <v>42675</v>
      </c>
      <c r="D69" s="145"/>
      <c r="E69" s="73"/>
      <c r="F69" s="73"/>
      <c r="G69" s="73"/>
      <c r="H69" s="73">
        <v>-100999.73</v>
      </c>
      <c r="I69" s="172">
        <v>12831.84</v>
      </c>
      <c r="J69" s="73">
        <v>102361.86</v>
      </c>
      <c r="K69" s="172"/>
      <c r="L69" s="172"/>
      <c r="M69" s="172"/>
      <c r="N69" s="172"/>
      <c r="O69" s="172"/>
      <c r="P69" s="123">
        <f t="shared" si="50"/>
        <v>14193.970000000001</v>
      </c>
      <c r="Q69" s="161"/>
      <c r="R69" s="161"/>
      <c r="S69" s="161"/>
      <c r="T69" s="161"/>
      <c r="U69" s="161"/>
      <c r="V69" s="161"/>
      <c r="W69" s="161"/>
      <c r="X69" s="161"/>
      <c r="Y69" s="161"/>
      <c r="Z69" s="161"/>
      <c r="AA69" s="161"/>
      <c r="AB69" s="161"/>
      <c r="AC69" s="161"/>
      <c r="AD69" s="161"/>
      <c r="AE69" s="161"/>
      <c r="AF69" s="161"/>
      <c r="AG69" s="161"/>
      <c r="AH69" s="161"/>
      <c r="AI69" s="161"/>
      <c r="AJ69" s="161"/>
      <c r="AK69" s="161"/>
      <c r="AL69" s="161"/>
      <c r="AM69" s="161"/>
      <c r="AN69" s="161"/>
      <c r="AO69" s="161"/>
      <c r="AP69" s="161"/>
      <c r="AQ69" s="161"/>
      <c r="AR69" s="161"/>
      <c r="AS69" s="161"/>
      <c r="AT69" s="161"/>
      <c r="AU69" s="161"/>
      <c r="AV69" s="161"/>
      <c r="AW69" s="161"/>
      <c r="AX69" s="161"/>
      <c r="AY69" s="161"/>
      <c r="AZ69" s="161"/>
      <c r="BA69" s="161"/>
      <c r="BB69" s="161"/>
      <c r="BC69" s="161"/>
      <c r="BD69" s="161"/>
      <c r="BE69" s="161"/>
      <c r="BF69" s="161"/>
    </row>
    <row r="70" spans="1:58" x14ac:dyDescent="0.25">
      <c r="A70" s="171">
        <v>42705</v>
      </c>
      <c r="D70" s="145"/>
      <c r="E70" s="73"/>
      <c r="F70" s="73"/>
      <c r="G70" s="73"/>
      <c r="H70" s="73"/>
      <c r="I70" s="73">
        <v>-106302.08</v>
      </c>
      <c r="J70" s="172">
        <v>12411.6</v>
      </c>
      <c r="K70" s="73">
        <v>104102.46</v>
      </c>
      <c r="L70" s="172"/>
      <c r="M70" s="172"/>
      <c r="N70" s="172"/>
      <c r="O70" s="172"/>
      <c r="P70" s="123">
        <f t="shared" si="50"/>
        <v>10211.98000000001</v>
      </c>
      <c r="Q70" s="161"/>
      <c r="R70" s="161"/>
      <c r="S70" s="161"/>
      <c r="T70" s="161"/>
      <c r="U70" s="161"/>
      <c r="V70" s="161"/>
      <c r="W70" s="161"/>
      <c r="X70" s="161"/>
      <c r="Y70" s="161"/>
      <c r="Z70" s="161"/>
      <c r="AA70" s="161"/>
      <c r="AB70" s="161"/>
      <c r="AC70" s="161"/>
      <c r="AD70" s="161"/>
      <c r="AE70" s="161"/>
      <c r="AF70" s="161"/>
      <c r="AG70" s="161"/>
      <c r="AH70" s="161"/>
      <c r="AI70" s="161"/>
      <c r="AJ70" s="161"/>
      <c r="AK70" s="161"/>
      <c r="AL70" s="161"/>
      <c r="AM70" s="161"/>
      <c r="AN70" s="161"/>
      <c r="AO70" s="161"/>
      <c r="AP70" s="161"/>
      <c r="AQ70" s="161"/>
      <c r="AR70" s="161"/>
      <c r="AS70" s="161"/>
      <c r="AT70" s="161"/>
      <c r="AU70" s="161"/>
      <c r="AV70" s="161"/>
      <c r="AW70" s="161"/>
      <c r="AX70" s="161"/>
      <c r="AY70" s="161"/>
      <c r="AZ70" s="161"/>
      <c r="BA70" s="161"/>
      <c r="BB70" s="161"/>
      <c r="BC70" s="161"/>
      <c r="BD70" s="161"/>
      <c r="BE70" s="161"/>
      <c r="BF70" s="161"/>
    </row>
    <row r="71" spans="1:58" x14ac:dyDescent="0.25">
      <c r="A71" s="171">
        <v>42736</v>
      </c>
      <c r="D71" s="145"/>
      <c r="E71" s="73"/>
      <c r="F71" s="73"/>
      <c r="G71" s="73"/>
      <c r="H71" s="73"/>
      <c r="I71" s="73"/>
      <c r="J71" s="73">
        <v>-111971.09</v>
      </c>
      <c r="K71" s="172">
        <v>12143.89</v>
      </c>
      <c r="L71" s="73">
        <f>111519.54-12143.89</f>
        <v>99375.65</v>
      </c>
      <c r="M71" s="172"/>
      <c r="N71" s="172"/>
      <c r="O71" s="172"/>
      <c r="P71" s="123">
        <f t="shared" si="50"/>
        <v>-451.55000000000291</v>
      </c>
      <c r="Q71" s="161"/>
      <c r="R71" s="161"/>
      <c r="S71" s="161"/>
      <c r="T71" s="161"/>
      <c r="U71" s="161"/>
      <c r="V71" s="161"/>
      <c r="W71" s="161"/>
      <c r="X71" s="161"/>
      <c r="Y71" s="161"/>
      <c r="Z71" s="161"/>
      <c r="AA71" s="161"/>
      <c r="AB71" s="161"/>
      <c r="AC71" s="161"/>
      <c r="AD71" s="161"/>
      <c r="AE71" s="161"/>
      <c r="AF71" s="161"/>
      <c r="AG71" s="161"/>
      <c r="AH71" s="161"/>
      <c r="AI71" s="161"/>
      <c r="AJ71" s="161"/>
      <c r="AK71" s="161"/>
      <c r="AL71" s="161"/>
      <c r="AM71" s="161"/>
      <c r="AN71" s="161"/>
      <c r="AO71" s="161"/>
      <c r="AP71" s="161"/>
      <c r="AQ71" s="161"/>
      <c r="AR71" s="161"/>
      <c r="AS71" s="161"/>
      <c r="AT71" s="161"/>
      <c r="AU71" s="161"/>
      <c r="AV71" s="161"/>
      <c r="AW71" s="161"/>
      <c r="AX71" s="161"/>
      <c r="AY71" s="161"/>
      <c r="AZ71" s="161"/>
      <c r="BA71" s="161"/>
      <c r="BB71" s="161"/>
      <c r="BC71" s="161"/>
      <c r="BD71" s="161"/>
      <c r="BE71" s="161"/>
      <c r="BF71" s="161"/>
    </row>
    <row r="72" spans="1:58" x14ac:dyDescent="0.25">
      <c r="A72" s="171">
        <v>42767</v>
      </c>
      <c r="D72" s="145"/>
      <c r="E72" s="73"/>
      <c r="F72" s="73"/>
      <c r="G72" s="73"/>
      <c r="H72" s="73"/>
      <c r="I72" s="73"/>
      <c r="J72" s="73"/>
      <c r="K72" s="73">
        <v>-115193.7</v>
      </c>
      <c r="L72" s="172">
        <v>12685.07</v>
      </c>
      <c r="N72" s="172"/>
      <c r="O72" s="172"/>
      <c r="P72" s="123">
        <f t="shared" si="50"/>
        <v>-102508.63</v>
      </c>
      <c r="Q72" s="161"/>
      <c r="R72" s="161"/>
      <c r="S72" s="161"/>
      <c r="T72" s="161"/>
      <c r="U72" s="161"/>
      <c r="V72" s="161"/>
      <c r="W72" s="161"/>
      <c r="X72" s="161"/>
      <c r="Y72" s="161"/>
      <c r="Z72" s="161"/>
      <c r="AA72" s="161"/>
      <c r="AB72" s="161"/>
      <c r="AC72" s="161"/>
      <c r="AD72" s="161"/>
      <c r="AE72" s="161"/>
      <c r="AF72" s="161"/>
      <c r="AG72" s="161"/>
      <c r="AH72" s="161"/>
      <c r="AI72" s="161"/>
      <c r="AJ72" s="161"/>
      <c r="AK72" s="161"/>
      <c r="AL72" s="161"/>
      <c r="AM72" s="161"/>
      <c r="AN72" s="161"/>
      <c r="AO72" s="161"/>
      <c r="AP72" s="161"/>
      <c r="AQ72" s="161"/>
      <c r="AR72" s="161"/>
      <c r="AS72" s="161"/>
      <c r="AT72" s="161"/>
      <c r="AU72" s="161"/>
      <c r="AV72" s="161"/>
      <c r="AW72" s="161"/>
      <c r="AX72" s="161"/>
      <c r="AY72" s="161"/>
      <c r="AZ72" s="161"/>
      <c r="BA72" s="161"/>
      <c r="BB72" s="161"/>
      <c r="BC72" s="161"/>
      <c r="BD72" s="161"/>
      <c r="BE72" s="161"/>
      <c r="BF72" s="161"/>
    </row>
    <row r="73" spans="1:58" x14ac:dyDescent="0.25">
      <c r="A73" s="171">
        <v>42795</v>
      </c>
      <c r="D73" s="145"/>
      <c r="E73" s="73"/>
      <c r="F73" s="73"/>
      <c r="G73" s="73"/>
      <c r="H73" s="73"/>
      <c r="I73" s="73"/>
      <c r="J73" s="73"/>
      <c r="K73" s="73"/>
      <c r="L73" s="73">
        <v>-116514.06</v>
      </c>
      <c r="M73" s="73">
        <v>96547.44</v>
      </c>
      <c r="N73" s="73">
        <v>91427.56</v>
      </c>
      <c r="O73" s="172"/>
      <c r="P73" s="123">
        <f t="shared" si="50"/>
        <v>71460.94</v>
      </c>
      <c r="Q73" s="161"/>
      <c r="R73" s="161"/>
      <c r="S73" s="161"/>
      <c r="T73" s="161"/>
      <c r="U73" s="161"/>
      <c r="V73" s="161"/>
      <c r="W73" s="161"/>
      <c r="X73" s="161"/>
      <c r="Y73" s="161"/>
      <c r="Z73" s="161"/>
      <c r="AA73" s="161"/>
      <c r="AB73" s="161"/>
      <c r="AC73" s="161"/>
      <c r="AD73" s="161"/>
      <c r="AE73" s="161"/>
      <c r="AF73" s="161"/>
      <c r="AG73" s="161"/>
      <c r="AH73" s="161"/>
      <c r="AI73" s="161"/>
      <c r="AJ73" s="161"/>
      <c r="AK73" s="161"/>
      <c r="AL73" s="161"/>
      <c r="AM73" s="161"/>
      <c r="AN73" s="161"/>
      <c r="AO73" s="161"/>
      <c r="AP73" s="161"/>
      <c r="AQ73" s="161"/>
      <c r="AR73" s="161"/>
      <c r="AS73" s="161"/>
      <c r="AT73" s="161"/>
      <c r="AU73" s="161"/>
      <c r="AV73" s="161"/>
      <c r="AW73" s="161"/>
      <c r="AX73" s="161"/>
      <c r="AY73" s="161"/>
      <c r="AZ73" s="161"/>
      <c r="BA73" s="161"/>
      <c r="BB73" s="161"/>
      <c r="BC73" s="161"/>
      <c r="BD73" s="161"/>
      <c r="BE73" s="161"/>
      <c r="BF73" s="161"/>
    </row>
    <row r="74" spans="1:58" x14ac:dyDescent="0.25">
      <c r="A74" s="171">
        <v>42826</v>
      </c>
      <c r="D74" s="145"/>
      <c r="E74" s="73"/>
      <c r="F74" s="73"/>
      <c r="G74" s="73"/>
      <c r="H74" s="73"/>
      <c r="I74" s="73"/>
      <c r="J74" s="73"/>
      <c r="K74" s="73"/>
      <c r="L74" s="73"/>
      <c r="M74" s="172">
        <v>11484.6</v>
      </c>
      <c r="N74">
        <v>3149.91</v>
      </c>
      <c r="O74" s="73">
        <v>34612.550000000003</v>
      </c>
      <c r="P74" s="123">
        <f t="shared" si="50"/>
        <v>49247.060000000005</v>
      </c>
      <c r="Q74" s="161"/>
      <c r="R74" s="161"/>
      <c r="S74" s="161">
        <v>2021</v>
      </c>
      <c r="T74" s="161"/>
      <c r="U74" s="161"/>
      <c r="V74" s="161"/>
      <c r="W74" s="161"/>
      <c r="X74" s="161"/>
      <c r="Y74" s="161"/>
      <c r="Z74" s="161"/>
      <c r="AA74" s="161"/>
      <c r="AB74" s="161"/>
      <c r="AC74" s="161"/>
      <c r="AD74" s="161"/>
      <c r="AE74" s="161"/>
      <c r="AF74" s="161"/>
      <c r="AG74" s="161"/>
      <c r="AH74" s="161"/>
      <c r="AI74" s="161"/>
      <c r="AJ74" s="161"/>
      <c r="AK74" s="161"/>
      <c r="AL74" s="161"/>
      <c r="AM74" s="161"/>
      <c r="AN74" s="161"/>
      <c r="AO74" s="161"/>
      <c r="AP74" s="161"/>
      <c r="AQ74" s="161"/>
      <c r="AR74" s="161"/>
      <c r="AS74" s="161"/>
      <c r="AT74" s="161"/>
      <c r="AU74" s="161"/>
      <c r="AV74" s="161"/>
      <c r="AW74" s="161"/>
      <c r="AX74" s="161"/>
      <c r="AY74" s="161"/>
      <c r="AZ74" s="161"/>
      <c r="BA74" s="161"/>
      <c r="BB74" s="161"/>
      <c r="BC74" s="161"/>
      <c r="BD74" s="161"/>
      <c r="BE74" s="161"/>
      <c r="BF74" s="161"/>
    </row>
    <row r="75" spans="1:58" x14ac:dyDescent="0.25">
      <c r="A75" s="171">
        <v>42856</v>
      </c>
      <c r="D75" s="145"/>
      <c r="E75" s="73"/>
      <c r="F75" s="73"/>
      <c r="G75" s="73"/>
      <c r="H75" s="73"/>
      <c r="I75" s="73"/>
      <c r="J75" s="73"/>
      <c r="K75" s="73"/>
      <c r="L75" s="73"/>
      <c r="M75" s="73"/>
      <c r="N75" s="172">
        <f>-111519.54-109232.51</f>
        <v>-220752.05</v>
      </c>
      <c r="O75" s="172">
        <v>9735.17</v>
      </c>
      <c r="P75" s="123"/>
      <c r="Q75" s="161"/>
      <c r="R75" s="161"/>
      <c r="S75" s="161"/>
      <c r="T75" s="161"/>
      <c r="U75" s="161"/>
      <c r="V75" s="161"/>
      <c r="W75" s="161"/>
      <c r="X75" s="161"/>
      <c r="Y75" s="161"/>
      <c r="Z75" s="161"/>
      <c r="AA75" s="161"/>
      <c r="AB75" s="161"/>
      <c r="AC75" s="161"/>
      <c r="AD75" s="161"/>
      <c r="AE75" s="161"/>
      <c r="AF75" s="161"/>
      <c r="AG75" s="161"/>
      <c r="AH75" s="161"/>
      <c r="AI75" s="161"/>
      <c r="AJ75" s="161"/>
      <c r="AK75" s="161"/>
      <c r="AL75" s="161"/>
      <c r="AM75" s="161"/>
      <c r="AN75" s="161"/>
      <c r="AO75" s="161"/>
      <c r="AP75" s="161"/>
      <c r="AQ75" s="161"/>
      <c r="AR75" s="161"/>
      <c r="AS75" s="161"/>
      <c r="AT75" s="161"/>
      <c r="AU75" s="161"/>
      <c r="AV75" s="161"/>
      <c r="AW75" s="161"/>
      <c r="AX75" s="161"/>
      <c r="AY75" s="161"/>
      <c r="AZ75" s="161"/>
      <c r="BA75" s="161"/>
      <c r="BB75" s="161"/>
      <c r="BC75" s="161"/>
      <c r="BD75" s="161"/>
      <c r="BE75" s="161"/>
      <c r="BF75" s="161"/>
    </row>
    <row r="76" spans="1:58" x14ac:dyDescent="0.25">
      <c r="A76" s="171" t="s">
        <v>77</v>
      </c>
      <c r="D76" s="173">
        <v>-0.06</v>
      </c>
      <c r="E76" s="172">
        <f>24985.81-5.5</f>
        <v>24980.31</v>
      </c>
      <c r="F76" s="172">
        <v>171.48</v>
      </c>
      <c r="G76" s="172"/>
      <c r="H76" s="172"/>
      <c r="I76" s="172"/>
      <c r="J76" s="172"/>
      <c r="K76" s="172"/>
      <c r="L76" s="172"/>
      <c r="M76" s="172"/>
      <c r="N76" s="172"/>
      <c r="O76" s="172">
        <f>-89338.3-13573.86</f>
        <v>-102912.16</v>
      </c>
      <c r="P76" s="123"/>
      <c r="Q76" s="161"/>
      <c r="R76" s="161"/>
      <c r="S76" s="161"/>
      <c r="T76" s="161"/>
      <c r="U76" s="161"/>
      <c r="V76" s="161"/>
      <c r="W76" s="161"/>
      <c r="X76" s="161"/>
      <c r="Y76" s="161"/>
      <c r="Z76" s="161"/>
      <c r="AA76" s="161"/>
      <c r="AB76" s="161"/>
      <c r="AC76" s="161"/>
      <c r="AD76" s="161"/>
      <c r="AE76" s="161"/>
      <c r="AF76" s="161"/>
      <c r="AG76" s="161"/>
      <c r="AH76" s="161"/>
      <c r="AI76" s="161"/>
      <c r="AJ76" s="161"/>
      <c r="AK76" s="161"/>
      <c r="AL76" s="161"/>
      <c r="AM76" s="161"/>
      <c r="AN76" s="161"/>
      <c r="AO76" s="161"/>
      <c r="AP76" s="161"/>
      <c r="AQ76" s="161"/>
      <c r="AR76" s="161"/>
      <c r="AS76" s="161"/>
      <c r="AT76" s="161"/>
      <c r="AU76" s="161"/>
      <c r="AV76" s="161"/>
      <c r="AW76" s="161"/>
      <c r="AX76" s="161"/>
      <c r="AY76" s="161"/>
      <c r="AZ76" s="161"/>
      <c r="BA76" s="161"/>
      <c r="BB76" s="161"/>
      <c r="BC76" s="161"/>
      <c r="BD76" s="161"/>
      <c r="BE76" s="161"/>
      <c r="BF76" s="161"/>
    </row>
    <row r="77" spans="1:58" x14ac:dyDescent="0.25">
      <c r="A77" s="174" t="s">
        <v>78</v>
      </c>
      <c r="B77" s="175"/>
      <c r="C77" s="175"/>
      <c r="D77" s="176">
        <f t="shared" ref="D77:O77" si="51">SUM(D58:D76)</f>
        <v>122311.35</v>
      </c>
      <c r="E77" s="177">
        <f t="shared" si="51"/>
        <v>132100</v>
      </c>
      <c r="F77" s="177">
        <f t="shared" si="51"/>
        <v>112153.92000000001</v>
      </c>
      <c r="G77" s="177">
        <f t="shared" si="51"/>
        <v>112528.16999999998</v>
      </c>
      <c r="H77" s="177">
        <f t="shared" si="51"/>
        <v>118849.33999999998</v>
      </c>
      <c r="I77" s="177">
        <f t="shared" si="51"/>
        <v>124802.92999999998</v>
      </c>
      <c r="J77" s="177">
        <f t="shared" si="51"/>
        <v>127605.29999999999</v>
      </c>
      <c r="K77" s="177">
        <f t="shared" si="51"/>
        <v>128657.95000000003</v>
      </c>
      <c r="L77" s="177">
        <f t="shared" si="51"/>
        <v>124204.61000000004</v>
      </c>
      <c r="M77" s="177">
        <f t="shared" si="51"/>
        <v>232236.65000000005</v>
      </c>
      <c r="N77" s="177">
        <f t="shared" si="51"/>
        <v>106062.07000000007</v>
      </c>
      <c r="O77" s="177">
        <f t="shared" si="51"/>
        <v>47497.630000000063</v>
      </c>
      <c r="P77" s="178">
        <f>SUM(P60:P76)</f>
        <v>215865.66999999998</v>
      </c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61"/>
      <c r="AD77" s="161"/>
      <c r="AE77" s="161"/>
      <c r="AF77" s="161"/>
      <c r="AG77" s="161"/>
      <c r="AH77" s="161"/>
      <c r="AI77" s="161"/>
      <c r="AJ77" s="161"/>
      <c r="AK77" s="161"/>
      <c r="AL77" s="161"/>
      <c r="AM77" s="161"/>
      <c r="AN77" s="161"/>
      <c r="AO77" s="161"/>
      <c r="AP77" s="161"/>
      <c r="AQ77" s="161"/>
      <c r="AR77" s="161"/>
      <c r="AS77" s="161"/>
      <c r="AT77" s="161"/>
      <c r="AU77" s="161"/>
      <c r="AV77" s="161"/>
      <c r="AW77" s="161"/>
      <c r="AX77" s="161"/>
      <c r="AY77" s="161"/>
      <c r="AZ77" s="161"/>
      <c r="BA77" s="161"/>
      <c r="BB77" s="161"/>
      <c r="BC77" s="161"/>
      <c r="BD77" s="161"/>
      <c r="BE77" s="161"/>
      <c r="BF77" s="161"/>
    </row>
    <row r="78" spans="1:58" x14ac:dyDescent="0.25">
      <c r="A78" s="142"/>
      <c r="D78" s="145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170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61"/>
      <c r="AD78" s="161"/>
      <c r="AE78" s="161"/>
      <c r="AF78" s="161"/>
      <c r="AG78" s="161"/>
      <c r="AH78" s="161"/>
      <c r="AI78" s="161"/>
      <c r="AJ78" s="161"/>
      <c r="AK78" s="161"/>
      <c r="AL78" s="161"/>
      <c r="AM78" s="161"/>
      <c r="AN78" s="161"/>
      <c r="AO78" s="161"/>
      <c r="AP78" s="161"/>
      <c r="AQ78" s="161"/>
      <c r="AR78" s="161"/>
      <c r="AS78" s="161"/>
      <c r="AT78" s="161"/>
      <c r="AU78" s="161"/>
      <c r="AV78" s="161"/>
      <c r="AW78" s="161"/>
      <c r="AX78" s="161"/>
      <c r="AY78" s="161"/>
      <c r="AZ78" s="161"/>
      <c r="BA78" s="161"/>
      <c r="BB78" s="161"/>
      <c r="BC78" s="161"/>
      <c r="BD78" s="161"/>
      <c r="BE78" s="161"/>
      <c r="BF78" s="161"/>
    </row>
    <row r="79" spans="1:58" x14ac:dyDescent="0.25">
      <c r="A79" s="174" t="s">
        <v>79</v>
      </c>
      <c r="B79" s="175"/>
      <c r="C79" s="175"/>
      <c r="D79" s="179"/>
      <c r="E79" s="180"/>
      <c r="F79" s="180"/>
      <c r="G79" s="180"/>
      <c r="H79" s="180"/>
      <c r="I79" s="180"/>
      <c r="J79" s="180"/>
      <c r="K79" s="180"/>
      <c r="L79" s="180"/>
      <c r="M79" s="180"/>
      <c r="N79" s="180"/>
      <c r="O79" s="180"/>
      <c r="P79" s="178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61"/>
      <c r="AD79" s="161"/>
      <c r="AE79" s="161"/>
      <c r="AF79" s="161"/>
      <c r="AG79" s="161"/>
      <c r="AH79" s="161"/>
      <c r="AI79" s="161"/>
      <c r="AJ79" s="161"/>
      <c r="AK79" s="161"/>
      <c r="AL79" s="161"/>
      <c r="AM79" s="161"/>
      <c r="AN79" s="161"/>
      <c r="AO79" s="161"/>
      <c r="AP79" s="161"/>
      <c r="AQ79" s="161"/>
      <c r="AR79" s="161"/>
      <c r="AS79" s="161"/>
      <c r="AT79" s="161"/>
      <c r="AU79" s="161"/>
      <c r="AV79" s="161"/>
      <c r="AW79" s="161"/>
      <c r="AX79" s="161"/>
      <c r="AY79" s="161"/>
      <c r="AZ79" s="161"/>
      <c r="BA79" s="161"/>
      <c r="BB79" s="161"/>
      <c r="BC79" s="161"/>
      <c r="BD79" s="161"/>
      <c r="BE79" s="161"/>
      <c r="BF79" s="161"/>
    </row>
    <row r="80" spans="1:58" x14ac:dyDescent="0.25">
      <c r="A80" s="142"/>
      <c r="D80" s="145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170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61"/>
      <c r="AD80" s="161"/>
      <c r="AE80" s="161"/>
      <c r="AF80" s="161"/>
      <c r="AG80" s="161"/>
      <c r="AH80" s="161"/>
      <c r="AI80" s="161"/>
      <c r="AJ80" s="161"/>
      <c r="AK80" s="161"/>
      <c r="AL80" s="161"/>
      <c r="AM80" s="161"/>
      <c r="AN80" s="161"/>
      <c r="AO80" s="161"/>
      <c r="AP80" s="161"/>
      <c r="AQ80" s="161"/>
      <c r="AR80" s="161"/>
      <c r="AS80" s="161"/>
      <c r="AT80" s="161"/>
      <c r="AU80" s="161"/>
      <c r="AV80" s="161"/>
      <c r="AW80" s="161"/>
      <c r="AX80" s="161"/>
      <c r="AY80" s="161"/>
      <c r="AZ80" s="161"/>
      <c r="BA80" s="161"/>
      <c r="BB80" s="161"/>
      <c r="BC80" s="161"/>
      <c r="BD80" s="161"/>
      <c r="BE80" s="161"/>
      <c r="BF80" s="161"/>
    </row>
    <row r="81" spans="1:59" ht="15.75" thickBot="1" x14ac:dyDescent="0.3">
      <c r="A81" s="156" t="s">
        <v>72</v>
      </c>
      <c r="B81" s="157"/>
      <c r="C81" s="157"/>
      <c r="D81" s="159">
        <f t="shared" ref="D81:O81" si="52">IF(D79=0,0,ROUND(D77-D79,2))</f>
        <v>0</v>
      </c>
      <c r="E81" s="159">
        <f t="shared" si="52"/>
        <v>0</v>
      </c>
      <c r="F81" s="159">
        <f t="shared" si="52"/>
        <v>0</v>
      </c>
      <c r="G81" s="159">
        <f t="shared" si="52"/>
        <v>0</v>
      </c>
      <c r="H81" s="159">
        <f t="shared" si="52"/>
        <v>0</v>
      </c>
      <c r="I81" s="159">
        <f t="shared" si="52"/>
        <v>0</v>
      </c>
      <c r="J81" s="159">
        <f t="shared" si="52"/>
        <v>0</v>
      </c>
      <c r="K81" s="159">
        <f t="shared" si="52"/>
        <v>0</v>
      </c>
      <c r="L81" s="159">
        <f t="shared" si="52"/>
        <v>0</v>
      </c>
      <c r="M81" s="159">
        <f t="shared" si="52"/>
        <v>0</v>
      </c>
      <c r="N81" s="159">
        <f t="shared" si="52"/>
        <v>0</v>
      </c>
      <c r="O81" s="159">
        <f t="shared" si="52"/>
        <v>0</v>
      </c>
      <c r="P81" s="181"/>
      <c r="Q81" s="161"/>
      <c r="R81" s="161"/>
      <c r="S81" s="161"/>
      <c r="T81" s="161"/>
      <c r="U81" s="161"/>
      <c r="V81" s="161"/>
      <c r="W81" s="161"/>
      <c r="X81" s="161"/>
      <c r="Y81" s="161"/>
      <c r="Z81" s="161"/>
      <c r="AA81" s="161"/>
      <c r="AB81" s="161"/>
      <c r="AC81" s="161"/>
      <c r="AD81" s="161"/>
      <c r="AE81" s="161"/>
      <c r="AF81" s="161"/>
      <c r="AG81" s="161"/>
      <c r="AH81" s="161"/>
      <c r="AI81" s="161"/>
      <c r="AJ81" s="161"/>
      <c r="AK81" s="161"/>
      <c r="AL81" s="161"/>
      <c r="AM81" s="161"/>
      <c r="AN81" s="161"/>
      <c r="AO81" s="161"/>
      <c r="AP81" s="161"/>
      <c r="AQ81" s="161"/>
      <c r="AR81" s="161"/>
      <c r="AS81" s="161"/>
      <c r="AT81" s="161"/>
      <c r="AU81" s="161"/>
      <c r="AV81" s="161"/>
      <c r="AW81" s="161"/>
      <c r="AX81" s="161"/>
      <c r="AY81" s="161"/>
      <c r="AZ81" s="161"/>
      <c r="BA81" s="161"/>
      <c r="BB81" s="161"/>
      <c r="BC81" s="161"/>
      <c r="BD81" s="161"/>
      <c r="BE81" s="161"/>
      <c r="BF81" s="161"/>
    </row>
    <row r="82" spans="1:59" x14ac:dyDescent="0.25">
      <c r="D82" s="161"/>
      <c r="E82" s="161"/>
      <c r="F82" s="161"/>
      <c r="G82" s="161"/>
      <c r="H82" s="161"/>
      <c r="I82" s="161"/>
      <c r="J82" s="161"/>
      <c r="K82" s="161"/>
      <c r="L82" s="161"/>
      <c r="M82" s="161"/>
      <c r="N82" s="161"/>
      <c r="O82" s="161"/>
      <c r="P82" s="161"/>
      <c r="Q82" s="161"/>
      <c r="R82" s="161"/>
      <c r="S82" s="161"/>
      <c r="T82" s="161"/>
      <c r="U82" s="161"/>
      <c r="V82" s="161"/>
      <c r="W82" s="161"/>
      <c r="X82" s="161"/>
      <c r="Y82" s="161"/>
      <c r="Z82" s="161"/>
      <c r="AA82" s="161"/>
      <c r="AB82" s="161"/>
      <c r="AC82" s="161"/>
      <c r="AD82" s="161"/>
      <c r="AE82" s="161"/>
      <c r="AF82" s="161"/>
      <c r="AG82" s="161"/>
      <c r="AH82" s="161"/>
      <c r="AI82" s="161"/>
      <c r="AJ82" s="161"/>
      <c r="AK82" s="161"/>
      <c r="AL82" s="161"/>
      <c r="AM82" s="161"/>
      <c r="AN82" s="161"/>
      <c r="AO82" s="161"/>
      <c r="AP82" s="161"/>
      <c r="AQ82" s="161"/>
      <c r="AR82" s="161"/>
      <c r="AS82" s="161"/>
      <c r="AT82" s="161"/>
      <c r="AU82" s="161"/>
      <c r="AV82" s="161"/>
      <c r="AW82" s="161"/>
      <c r="AX82" s="161"/>
      <c r="AY82" s="161"/>
      <c r="AZ82" s="161"/>
      <c r="BA82" s="161"/>
      <c r="BB82" s="161"/>
      <c r="BC82" s="161"/>
      <c r="BD82" s="161"/>
      <c r="BE82" s="161"/>
      <c r="BF82" s="161"/>
    </row>
    <row r="83" spans="1:59" x14ac:dyDescent="0.25">
      <c r="D83" s="161"/>
      <c r="E83" s="161"/>
      <c r="F83" s="161"/>
      <c r="G83" s="161"/>
      <c r="H83" s="161"/>
      <c r="I83" s="161"/>
      <c r="J83" s="161"/>
      <c r="K83" s="161"/>
      <c r="L83" s="161"/>
      <c r="M83" s="161"/>
      <c r="N83" s="161"/>
      <c r="O83" s="161"/>
      <c r="P83" s="161"/>
      <c r="Q83" s="161"/>
      <c r="R83" s="161"/>
      <c r="S83" s="161"/>
      <c r="T83" s="161"/>
      <c r="U83" s="161"/>
      <c r="V83" s="161"/>
      <c r="W83" s="161"/>
      <c r="X83" s="161"/>
      <c r="Y83" s="161"/>
      <c r="Z83" s="161"/>
      <c r="AA83" s="161"/>
      <c r="AB83" s="161"/>
      <c r="AC83" s="161"/>
      <c r="AD83" s="161"/>
      <c r="AE83" s="161"/>
      <c r="AF83" s="161"/>
      <c r="AG83" s="161"/>
      <c r="AH83" s="161"/>
      <c r="AI83" s="161"/>
      <c r="AJ83" s="161"/>
      <c r="AK83" s="161"/>
      <c r="AL83" s="161"/>
      <c r="AM83" s="161"/>
      <c r="AN83" s="161"/>
      <c r="AO83" s="161"/>
      <c r="AP83" s="161"/>
      <c r="AQ83" s="161"/>
      <c r="AR83" s="161"/>
      <c r="AS83" s="161"/>
      <c r="AT83" s="161"/>
      <c r="AU83" s="161"/>
      <c r="AV83" s="161"/>
      <c r="AW83" s="161"/>
      <c r="AX83" s="161"/>
      <c r="AY83" s="161"/>
      <c r="AZ83" s="161"/>
      <c r="BA83" s="161"/>
      <c r="BB83" s="161"/>
      <c r="BC83" s="161"/>
      <c r="BD83" s="161"/>
      <c r="BE83" s="161"/>
      <c r="BF83" s="161"/>
    </row>
    <row r="84" spans="1:59" x14ac:dyDescent="0.25">
      <c r="A84" s="161" t="s">
        <v>80</v>
      </c>
      <c r="D84" s="161"/>
      <c r="E84" s="161"/>
      <c r="F84" s="161"/>
      <c r="G84" s="161"/>
      <c r="H84" s="161"/>
      <c r="I84" s="161"/>
      <c r="J84" s="161"/>
      <c r="K84" s="161"/>
      <c r="L84" s="161"/>
      <c r="M84" s="161"/>
      <c r="N84" s="161"/>
      <c r="O84" s="161"/>
      <c r="P84" s="161"/>
      <c r="Q84" s="161"/>
      <c r="R84" s="161"/>
      <c r="S84" s="161"/>
      <c r="T84" s="161"/>
      <c r="U84" s="161"/>
      <c r="V84" s="161"/>
      <c r="W84" s="161"/>
      <c r="X84" s="161"/>
      <c r="Y84" s="161"/>
      <c r="Z84" s="161"/>
      <c r="AA84" s="161"/>
      <c r="AB84" s="161"/>
      <c r="AC84" s="161"/>
      <c r="AD84" s="161"/>
      <c r="AE84" s="161"/>
      <c r="AF84" s="161"/>
      <c r="AG84" s="161"/>
      <c r="AH84" s="161"/>
      <c r="AI84" s="161"/>
      <c r="AJ84" s="161"/>
      <c r="AK84" s="161"/>
      <c r="AL84" s="161"/>
      <c r="AM84" s="161"/>
      <c r="AN84" s="161"/>
      <c r="AO84" s="161"/>
      <c r="AP84" s="161"/>
      <c r="AQ84" s="161"/>
      <c r="AR84" s="161"/>
      <c r="AS84" s="161"/>
      <c r="AT84" s="161"/>
      <c r="AU84" s="161"/>
      <c r="AV84" s="161"/>
      <c r="AW84" s="161"/>
      <c r="AX84" s="161"/>
      <c r="AY84" s="161"/>
      <c r="AZ84" s="161"/>
      <c r="BA84" s="161"/>
      <c r="BB84" s="161"/>
      <c r="BC84" s="161"/>
      <c r="BD84" s="161"/>
      <c r="BE84" s="161"/>
      <c r="BF84" s="161"/>
    </row>
    <row r="85" spans="1:59" x14ac:dyDescent="0.25">
      <c r="D85" s="161"/>
      <c r="E85" s="161"/>
      <c r="F85" s="161"/>
      <c r="G85" s="161"/>
      <c r="H85" s="161"/>
      <c r="I85" s="161"/>
      <c r="J85" s="161"/>
      <c r="K85" s="161"/>
      <c r="L85" s="161"/>
      <c r="M85" s="161"/>
      <c r="N85" s="161"/>
      <c r="O85" s="161"/>
      <c r="P85" s="161"/>
      <c r="Q85" s="161"/>
      <c r="R85" s="161"/>
      <c r="S85" s="161"/>
      <c r="T85" s="161"/>
      <c r="U85" s="161"/>
      <c r="V85" s="161"/>
      <c r="W85" s="161"/>
      <c r="X85" s="161"/>
      <c r="Y85" s="161"/>
      <c r="Z85" s="161"/>
      <c r="AA85" s="161"/>
      <c r="AB85" s="161"/>
      <c r="AC85" s="161"/>
      <c r="AD85" s="161"/>
      <c r="AE85" s="161"/>
      <c r="AF85" s="161"/>
      <c r="AG85" s="161"/>
      <c r="AH85" s="161"/>
      <c r="AI85" s="161"/>
      <c r="AJ85" s="161"/>
      <c r="AK85" s="161"/>
      <c r="AL85" s="161"/>
      <c r="AM85" s="161"/>
      <c r="AN85" s="161"/>
      <c r="AO85" s="161"/>
      <c r="AP85" s="161"/>
      <c r="AQ85" s="161"/>
      <c r="AR85" s="161"/>
      <c r="AS85" s="161"/>
      <c r="AT85" s="161"/>
      <c r="AU85" s="161"/>
      <c r="AV85" s="161"/>
      <c r="AW85" s="161"/>
      <c r="AX85" s="161"/>
      <c r="AY85" s="161"/>
      <c r="AZ85" s="161"/>
      <c r="BA85" s="161"/>
      <c r="BB85" s="161"/>
      <c r="BC85" s="161"/>
      <c r="BD85" s="161"/>
      <c r="BE85" s="161"/>
      <c r="BF85" s="161"/>
      <c r="BG85" s="161"/>
    </row>
    <row r="86" spans="1:59" x14ac:dyDescent="0.25">
      <c r="D86" s="161"/>
      <c r="E86" s="161"/>
      <c r="F86" s="161"/>
      <c r="G86" s="161"/>
      <c r="H86" s="161"/>
      <c r="I86" s="161"/>
      <c r="J86" s="161"/>
      <c r="K86" s="161"/>
      <c r="L86" s="161"/>
      <c r="M86" s="161"/>
      <c r="N86" s="161"/>
      <c r="O86" s="161"/>
      <c r="P86" s="161"/>
      <c r="Q86" s="161"/>
      <c r="R86" s="161"/>
      <c r="S86" s="161"/>
      <c r="T86" s="161"/>
      <c r="U86" s="161"/>
      <c r="V86" s="161"/>
      <c r="W86" s="161"/>
      <c r="X86" s="161"/>
      <c r="Y86" s="161"/>
      <c r="Z86" s="161"/>
      <c r="AA86" s="161"/>
      <c r="AB86" s="161"/>
      <c r="AC86" s="161"/>
      <c r="AD86" s="161"/>
      <c r="AE86" s="161"/>
      <c r="AF86" s="161"/>
      <c r="AG86" s="161"/>
      <c r="AH86" s="161"/>
      <c r="AI86" s="161"/>
      <c r="AJ86" s="161"/>
      <c r="AK86" s="161"/>
      <c r="AL86" s="161"/>
      <c r="AM86" s="161"/>
      <c r="AN86" s="161"/>
      <c r="AO86" s="161"/>
      <c r="AP86" s="161"/>
      <c r="AQ86" s="161"/>
      <c r="AR86" s="161"/>
      <c r="AS86" s="161"/>
      <c r="AT86" s="161"/>
      <c r="AU86" s="161"/>
      <c r="AV86" s="161"/>
      <c r="AW86" s="161"/>
      <c r="AX86" s="161"/>
      <c r="AY86" s="161"/>
      <c r="AZ86" s="161"/>
      <c r="BA86" s="161"/>
      <c r="BB86" s="161"/>
      <c r="BC86" s="161"/>
      <c r="BD86" s="161"/>
      <c r="BE86" s="161"/>
      <c r="BF86" s="161"/>
      <c r="BG86" s="161"/>
    </row>
    <row r="87" spans="1:59" x14ac:dyDescent="0.25">
      <c r="D87" s="161"/>
      <c r="E87" s="161"/>
      <c r="F87" s="161"/>
      <c r="G87" s="161"/>
      <c r="H87" s="161"/>
      <c r="I87" s="161"/>
      <c r="J87" s="161"/>
      <c r="K87" s="161"/>
      <c r="L87" s="161"/>
      <c r="M87" s="161"/>
      <c r="N87" s="161"/>
      <c r="O87" s="161"/>
      <c r="P87" s="161"/>
      <c r="Q87" s="161"/>
      <c r="R87" s="161"/>
      <c r="S87" s="161"/>
      <c r="T87" s="161"/>
      <c r="U87" s="161"/>
      <c r="V87" s="161"/>
      <c r="W87" s="161"/>
      <c r="X87" s="161"/>
      <c r="Y87" s="161"/>
      <c r="Z87" s="161"/>
      <c r="AA87" s="161"/>
      <c r="AB87" s="161"/>
      <c r="AC87" s="161"/>
      <c r="AD87" s="161"/>
      <c r="AE87" s="161"/>
      <c r="AF87" s="161"/>
      <c r="AG87" s="161"/>
      <c r="AH87" s="161"/>
      <c r="AI87" s="161"/>
      <c r="AJ87" s="161"/>
      <c r="AK87" s="161"/>
      <c r="AL87" s="161"/>
      <c r="AM87" s="161"/>
      <c r="AN87" s="161"/>
      <c r="AO87" s="161"/>
      <c r="AP87" s="161"/>
      <c r="AQ87" s="161"/>
      <c r="AR87" s="161"/>
      <c r="AS87" s="161"/>
      <c r="AT87" s="161"/>
      <c r="AU87" s="161"/>
      <c r="AV87" s="161"/>
      <c r="AW87" s="161"/>
      <c r="AX87" s="161"/>
      <c r="AY87" s="161"/>
      <c r="AZ87" s="161"/>
      <c r="BA87" s="161"/>
      <c r="BB87" s="161"/>
      <c r="BC87" s="161"/>
      <c r="BD87" s="161"/>
      <c r="BE87" s="161"/>
      <c r="BF87" s="161"/>
      <c r="BG87" s="161"/>
    </row>
    <row r="90" spans="1:59" x14ac:dyDescent="0.25">
      <c r="B90" t="s">
        <v>5</v>
      </c>
      <c r="C90" t="s">
        <v>26</v>
      </c>
      <c r="D90" t="s">
        <v>27</v>
      </c>
      <c r="E90" t="s">
        <v>28</v>
      </c>
      <c r="F90" t="s">
        <v>29</v>
      </c>
      <c r="G90" t="s">
        <v>30</v>
      </c>
      <c r="H90" t="s">
        <v>31</v>
      </c>
      <c r="I90" t="s">
        <v>32</v>
      </c>
      <c r="J90" t="s">
        <v>33</v>
      </c>
      <c r="K90" t="s">
        <v>34</v>
      </c>
      <c r="L90" t="s">
        <v>35</v>
      </c>
      <c r="M90" t="s">
        <v>36</v>
      </c>
    </row>
    <row r="91" spans="1:59" x14ac:dyDescent="0.25">
      <c r="A91" t="s">
        <v>97</v>
      </c>
      <c r="B91" s="53">
        <f>D27</f>
        <v>8364556.6300000008</v>
      </c>
      <c r="C91" s="53">
        <f>H27</f>
        <v>8606582.629999999</v>
      </c>
      <c r="D91" s="53">
        <f>L27</f>
        <v>8798115.6099999994</v>
      </c>
      <c r="E91" s="53">
        <f>P27</f>
        <v>8965891.3000000007</v>
      </c>
      <c r="F91" s="53">
        <f>T27</f>
        <v>9269983.8000000007</v>
      </c>
      <c r="G91" s="53">
        <f>X27</f>
        <v>9895138.4100000001</v>
      </c>
      <c r="H91" s="53">
        <f>AB27</f>
        <v>9438238.5199999996</v>
      </c>
      <c r="I91" s="53">
        <f>AF27</f>
        <v>8845877.4600000009</v>
      </c>
      <c r="J91" s="53">
        <f>AJ27</f>
        <v>8354018.04</v>
      </c>
      <c r="K91" s="53">
        <f>AN27</f>
        <v>2149143.33</v>
      </c>
      <c r="L91" s="53">
        <f>AR27</f>
        <v>6646351.2999999998</v>
      </c>
      <c r="M91" s="53">
        <f>AV27</f>
        <v>8164878.3200000003</v>
      </c>
    </row>
    <row r="92" spans="1:59" x14ac:dyDescent="0.25">
      <c r="A92" t="s">
        <v>98</v>
      </c>
      <c r="B92" s="53">
        <f>F27</f>
        <v>13724191.969999999</v>
      </c>
      <c r="C92" s="53">
        <f>J27</f>
        <v>13392814.779999999</v>
      </c>
      <c r="D92" s="53">
        <f>N27</f>
        <v>14616515.01</v>
      </c>
      <c r="E92" s="53">
        <f>R27</f>
        <v>15998877.6</v>
      </c>
      <c r="F92" s="53">
        <f>V27</f>
        <v>16367212.709999999</v>
      </c>
      <c r="G92" s="53">
        <f>Z27</f>
        <v>15517011.98</v>
      </c>
      <c r="H92" s="53">
        <f>AD27</f>
        <v>14917324.200000001</v>
      </c>
      <c r="I92" s="53">
        <f>AH27</f>
        <v>15409000.760000002</v>
      </c>
      <c r="J92" s="53">
        <f>AL27</f>
        <v>14477462.91</v>
      </c>
      <c r="K92" s="53">
        <f>AP27</f>
        <v>7144883.4100000001</v>
      </c>
      <c r="L92" s="53">
        <f>AT27</f>
        <v>14088939.98</v>
      </c>
      <c r="M92" s="53">
        <f>AX27</f>
        <v>14127726.789999999</v>
      </c>
    </row>
  </sheetData>
  <mergeCells count="41">
    <mergeCell ref="AV14:AY14"/>
    <mergeCell ref="D14:G14"/>
    <mergeCell ref="H14:K14"/>
    <mergeCell ref="L14:O14"/>
    <mergeCell ref="P14:S14"/>
    <mergeCell ref="T14:W14"/>
    <mergeCell ref="X14:AA14"/>
    <mergeCell ref="AB14:AE14"/>
    <mergeCell ref="AF14:AI14"/>
    <mergeCell ref="AJ14:AM14"/>
    <mergeCell ref="AN14:AQ14"/>
    <mergeCell ref="AR14:AU14"/>
    <mergeCell ref="Z15:AA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AX15:AY15"/>
    <mergeCell ref="AB15:AC15"/>
    <mergeCell ref="AD15:AE15"/>
    <mergeCell ref="AF15:AG15"/>
    <mergeCell ref="AH15:AI15"/>
    <mergeCell ref="AJ15:AK15"/>
    <mergeCell ref="AV15:AW15"/>
    <mergeCell ref="AL15:AM15"/>
    <mergeCell ref="AN15:AO15"/>
    <mergeCell ref="AP15:AQ15"/>
    <mergeCell ref="AR15:AS15"/>
    <mergeCell ref="AT15:AU15"/>
    <mergeCell ref="D28:E28"/>
    <mergeCell ref="W30:AB30"/>
    <mergeCell ref="W31:X31"/>
    <mergeCell ref="Y31:Z31"/>
    <mergeCell ref="AA31:AB31"/>
  </mergeCells>
  <phoneticPr fontId="17" type="noConversion"/>
  <pageMargins left="0.7" right="0.7" top="0.75" bottom="0.75" header="0.3" footer="0.3"/>
  <pageSetup paperSize="9" scale="4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9"/>
  <sheetViews>
    <sheetView zoomScale="150" workbookViewId="0">
      <selection activeCell="E8" sqref="E8"/>
    </sheetView>
  </sheetViews>
  <sheetFormatPr defaultColWidth="9.140625" defaultRowHeight="15" x14ac:dyDescent="0.25"/>
  <cols>
    <col min="1" max="1" width="10" style="109" bestFit="1" customWidth="1"/>
    <col min="2" max="2" width="7.28515625" style="109" bestFit="1" customWidth="1"/>
    <col min="3" max="3" width="9.42578125" style="109" bestFit="1" customWidth="1"/>
    <col min="4" max="4" width="9.42578125" style="109" customWidth="1"/>
    <col min="5" max="5" width="20.140625" style="109" bestFit="1" customWidth="1"/>
    <col min="6" max="6" width="20.140625" style="109" customWidth="1"/>
    <col min="7" max="7" width="13.28515625" style="109" bestFit="1" customWidth="1"/>
    <col min="8" max="16384" width="9.140625" style="109"/>
  </cols>
  <sheetData>
    <row r="1" spans="1:10" ht="40.5" customHeight="1" x14ac:dyDescent="0.25">
      <c r="A1" s="109" t="s">
        <v>81</v>
      </c>
      <c r="B1" s="109" t="s">
        <v>84</v>
      </c>
      <c r="C1" s="109" t="s">
        <v>82</v>
      </c>
      <c r="D1" s="109" t="s">
        <v>87</v>
      </c>
      <c r="E1" s="187" t="s">
        <v>83</v>
      </c>
      <c r="F1" s="187" t="s">
        <v>95</v>
      </c>
      <c r="G1" s="109" t="s">
        <v>65</v>
      </c>
    </row>
    <row r="2" spans="1:10" x14ac:dyDescent="0.25">
      <c r="A2" s="109" t="s">
        <v>85</v>
      </c>
      <c r="B2" s="109">
        <v>2018</v>
      </c>
      <c r="C2" s="109" t="s">
        <v>90</v>
      </c>
      <c r="D2" s="109" t="s">
        <v>89</v>
      </c>
      <c r="E2" s="183">
        <f>148.608/0.33</f>
        <v>450.32727272727271</v>
      </c>
      <c r="F2" s="183"/>
      <c r="G2" s="188">
        <f>E2*(3.6/1000000)</f>
        <v>1.6211781818181818E-3</v>
      </c>
    </row>
    <row r="3" spans="1:10" x14ac:dyDescent="0.25">
      <c r="A3" s="109" t="s">
        <v>85</v>
      </c>
      <c r="B3" s="109">
        <v>2018</v>
      </c>
      <c r="C3" s="109" t="s">
        <v>38</v>
      </c>
      <c r="D3" s="109" t="s">
        <v>92</v>
      </c>
      <c r="E3" s="183">
        <v>167561</v>
      </c>
      <c r="F3" s="183"/>
      <c r="G3" s="188">
        <f>E3*(3.6/1000000000)</f>
        <v>6.0321959999999999E-4</v>
      </c>
    </row>
    <row r="4" spans="1:10" x14ac:dyDescent="0.25">
      <c r="A4" s="109" t="s">
        <v>86</v>
      </c>
      <c r="B4" s="109">
        <v>2018</v>
      </c>
      <c r="C4" s="109" t="s">
        <v>38</v>
      </c>
      <c r="D4" s="109" t="s">
        <v>88</v>
      </c>
      <c r="E4" s="183">
        <f>33174+10801</f>
        <v>43975</v>
      </c>
      <c r="F4" s="183"/>
      <c r="G4" s="188">
        <f>E4*38.45/1000000000</f>
        <v>1.6908387500000003E-3</v>
      </c>
      <c r="H4" s="189">
        <f>SUM(G3+G4)</f>
        <v>2.2940583500000002E-3</v>
      </c>
      <c r="I4" s="200"/>
      <c r="J4" s="200"/>
    </row>
    <row r="5" spans="1:10" x14ac:dyDescent="0.25">
      <c r="A5" s="109" t="s">
        <v>85</v>
      </c>
      <c r="B5" s="109">
        <v>2019</v>
      </c>
      <c r="C5" s="109" t="s">
        <v>38</v>
      </c>
      <c r="D5" s="109" t="s">
        <v>92</v>
      </c>
      <c r="E5" s="183">
        <v>37496</v>
      </c>
      <c r="F5" s="183"/>
      <c r="G5" s="188">
        <f>E5*(3.6/1000000000)</f>
        <v>1.349856E-4</v>
      </c>
    </row>
    <row r="6" spans="1:10" x14ac:dyDescent="0.25">
      <c r="A6" s="109" t="s">
        <v>86</v>
      </c>
      <c r="B6" s="109">
        <v>2019</v>
      </c>
      <c r="C6" s="109" t="s">
        <v>38</v>
      </c>
      <c r="D6" s="109" t="s">
        <v>88</v>
      </c>
      <c r="E6" s="183">
        <f>983+2690</f>
        <v>3673</v>
      </c>
      <c r="F6" s="183"/>
      <c r="G6" s="188">
        <f>E6*38.45/1000000000</f>
        <v>1.4122685000000001E-4</v>
      </c>
      <c r="H6" s="189">
        <f>SUM(G5+G6)</f>
        <v>2.7621245000000001E-4</v>
      </c>
      <c r="I6" s="202">
        <f>H4-H6</f>
        <v>2.0178459000000002E-3</v>
      </c>
    </row>
    <row r="7" spans="1:10" x14ac:dyDescent="0.25">
      <c r="A7" s="109" t="s">
        <v>94</v>
      </c>
      <c r="B7" s="109">
        <v>2020</v>
      </c>
      <c r="C7" s="109" t="s">
        <v>90</v>
      </c>
      <c r="D7" s="109" t="s">
        <v>89</v>
      </c>
      <c r="E7" s="204">
        <f>4685526/1000</f>
        <v>4685.5259999999998</v>
      </c>
      <c r="F7" s="204"/>
      <c r="G7" s="188">
        <f>E7*(3.6/1000000)</f>
        <v>1.6867893599999999E-2</v>
      </c>
      <c r="H7" s="189"/>
      <c r="I7" s="202"/>
    </row>
    <row r="8" spans="1:10" x14ac:dyDescent="0.25">
      <c r="A8" s="109" t="s">
        <v>85</v>
      </c>
      <c r="B8" s="109">
        <v>2020</v>
      </c>
      <c r="C8" s="109" t="s">
        <v>38</v>
      </c>
      <c r="D8" s="109" t="s">
        <v>92</v>
      </c>
      <c r="E8" s="204">
        <v>231513</v>
      </c>
      <c r="F8" s="204"/>
      <c r="G8" s="205">
        <f>E8*(3.6/1000000000)</f>
        <v>8.334468E-4</v>
      </c>
      <c r="I8" s="202">
        <f>I6*5</f>
        <v>1.0089229500000001E-2</v>
      </c>
    </row>
    <row r="9" spans="1:10" x14ac:dyDescent="0.25">
      <c r="A9" s="109" t="s">
        <v>86</v>
      </c>
      <c r="B9" s="109">
        <v>2020</v>
      </c>
      <c r="C9" s="109" t="s">
        <v>90</v>
      </c>
      <c r="D9" s="109" t="s">
        <v>88</v>
      </c>
      <c r="E9" s="206">
        <v>29900</v>
      </c>
      <c r="F9" s="206">
        <f>E9*26.44</f>
        <v>790556</v>
      </c>
      <c r="G9" s="205">
        <f>F9/1000/1000/1000</f>
        <v>7.9055599999999998E-4</v>
      </c>
      <c r="I9" s="200">
        <f>I8/0.015</f>
        <v>0.67261530000000014</v>
      </c>
      <c r="J9" s="200">
        <f>1-I9</f>
        <v>0.32738469999999986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78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N66" sqref="N66"/>
    </sheetView>
  </sheetViews>
  <sheetFormatPr defaultColWidth="8.85546875" defaultRowHeight="15" x14ac:dyDescent="0.25"/>
  <cols>
    <col min="2" max="2" width="9.140625" style="118"/>
    <col min="3" max="4" width="14.28515625" style="138" bestFit="1" customWidth="1"/>
    <col min="5" max="5" width="13.28515625" bestFit="1" customWidth="1"/>
    <col min="6" max="6" width="14.28515625" bestFit="1" customWidth="1"/>
    <col min="7" max="8" width="10.28515625" customWidth="1"/>
  </cols>
  <sheetData>
    <row r="1" spans="1:9" x14ac:dyDescent="0.25">
      <c r="A1" s="109"/>
      <c r="B1" s="243" t="s">
        <v>8</v>
      </c>
      <c r="C1" s="241" t="s">
        <v>54</v>
      </c>
      <c r="D1" s="241"/>
      <c r="E1" s="242" t="s">
        <v>55</v>
      </c>
      <c r="F1" s="242"/>
      <c r="G1" s="242" t="s">
        <v>56</v>
      </c>
      <c r="H1" s="242"/>
      <c r="I1" s="242"/>
    </row>
    <row r="2" spans="1:9" x14ac:dyDescent="0.25">
      <c r="A2" s="109"/>
      <c r="B2" s="243"/>
      <c r="C2" s="112" t="s">
        <v>37</v>
      </c>
      <c r="D2" s="112" t="s">
        <v>38</v>
      </c>
      <c r="E2" s="110" t="s">
        <v>37</v>
      </c>
      <c r="F2" s="110" t="s">
        <v>38</v>
      </c>
      <c r="G2" s="110" t="s">
        <v>37</v>
      </c>
      <c r="H2" s="110" t="s">
        <v>38</v>
      </c>
    </row>
    <row r="3" spans="1:9" x14ac:dyDescent="0.25">
      <c r="A3" s="111">
        <v>41821</v>
      </c>
      <c r="B3" s="110">
        <f>IF(MONTH(A3)&gt;6,YEAR(A3)+1,YEAR(A3))</f>
        <v>2015</v>
      </c>
      <c r="C3" s="112">
        <f ca="1">INDEX(INDIRECT("'"&amp;$B3&amp;"'!$D$27:$AY$27"),IF(((MONTH($A3))&gt;6),(MONTH($A3)-7)*4+1,(MONTH($A3)+5)*4+1))</f>
        <v>7968529.3888739226</v>
      </c>
      <c r="D3" s="112">
        <f ca="1">INDEX(INDIRECT("'"&amp;$B3&amp;"'!$D$27:$AY$27"),IF(((MONTH($A3))&gt;6),(MONTH($A3)-7)*4+3,(MONTH($A3)+5)*4+3))</f>
        <v>10345287.309664095</v>
      </c>
      <c r="E3" s="112">
        <f t="shared" ref="E3:E14" ca="1" si="0">C3*0.7041</f>
        <v>5610641.5427061282</v>
      </c>
      <c r="F3" s="112">
        <f t="shared" ref="F3:F14" ca="1" si="1">D3*0.7041</f>
        <v>7284116.7947344882</v>
      </c>
      <c r="G3" s="106">
        <f t="shared" ref="G3:G17" ca="1" si="2">E3*35.08/1000000000</f>
        <v>0.19682130531813097</v>
      </c>
      <c r="H3" s="106">
        <f t="shared" ref="H3:H17" ca="1" si="3">F3*38.45/1000000000</f>
        <v>0.28007429075754114</v>
      </c>
    </row>
    <row r="4" spans="1:9" x14ac:dyDescent="0.25">
      <c r="A4" s="111">
        <v>41852</v>
      </c>
      <c r="B4" s="110">
        <f t="shared" ref="B4:B67" si="4">IF(MONTH(A4)&gt;6,YEAR(A4)+1,YEAR(A4))</f>
        <v>2015</v>
      </c>
      <c r="C4" s="112">
        <f t="shared" ref="C4:C67" ca="1" si="5">INDEX(INDIRECT("'"&amp;$B4&amp;"'!$D$27:$AY$27"),IF(((MONTH($A4))&gt;6),(MONTH($A4)-7)*4+1,(MONTH($A4)+5)*4+1))</f>
        <v>8096491.420165618</v>
      </c>
      <c r="D4" s="112">
        <f t="shared" ref="D4:D67" ca="1" si="6">INDEX(INDIRECT("'"&amp;$B4&amp;"'!$D$27:$AY$27"),IF(((MONTH($A4))&gt;6),(MONTH($A4)-7)*4+3,(MONTH($A4)+5)*4+3))</f>
        <v>10377095.340853767</v>
      </c>
      <c r="E4" s="112">
        <f t="shared" ca="1" si="0"/>
        <v>5700739.6089386111</v>
      </c>
      <c r="F4" s="112">
        <f t="shared" ca="1" si="1"/>
        <v>7306512.8294951376</v>
      </c>
      <c r="G4" s="106">
        <f t="shared" ca="1" si="2"/>
        <v>0.19998194548156645</v>
      </c>
      <c r="H4" s="106">
        <f t="shared" ca="1" si="3"/>
        <v>0.28093541829408808</v>
      </c>
    </row>
    <row r="5" spans="1:9" x14ac:dyDescent="0.25">
      <c r="A5" s="111">
        <v>41883</v>
      </c>
      <c r="B5" s="110">
        <f t="shared" si="4"/>
        <v>2015</v>
      </c>
      <c r="C5" s="112">
        <f t="shared" ca="1" si="5"/>
        <v>6926870.9977492942</v>
      </c>
      <c r="D5" s="112">
        <f t="shared" ca="1" si="6"/>
        <v>10755331.471114248</v>
      </c>
      <c r="E5" s="112">
        <f t="shared" ca="1" si="0"/>
        <v>4877209.8695152774</v>
      </c>
      <c r="F5" s="112">
        <f t="shared" ca="1" si="1"/>
        <v>7572828.8888115417</v>
      </c>
      <c r="G5" s="106">
        <f t="shared" ca="1" si="2"/>
        <v>0.17109252222259594</v>
      </c>
      <c r="H5" s="106">
        <f t="shared" ca="1" si="3"/>
        <v>0.29117527077480382</v>
      </c>
    </row>
    <row r="6" spans="1:9" x14ac:dyDescent="0.25">
      <c r="A6" s="111">
        <v>41913</v>
      </c>
      <c r="B6" s="110">
        <f t="shared" si="4"/>
        <v>2015</v>
      </c>
      <c r="C6" s="112">
        <f t="shared" ca="1" si="5"/>
        <v>8838554.0076038036</v>
      </c>
      <c r="D6" s="112">
        <f t="shared" ca="1" si="6"/>
        <v>12198353.788309764</v>
      </c>
      <c r="E6" s="112">
        <f t="shared" ca="1" si="0"/>
        <v>6223225.8767538378</v>
      </c>
      <c r="F6" s="112">
        <f t="shared" ca="1" si="1"/>
        <v>8588860.9023489039</v>
      </c>
      <c r="G6" s="106">
        <f t="shared" ca="1" si="2"/>
        <v>0.21831076375652461</v>
      </c>
      <c r="H6" s="106">
        <f t="shared" ca="1" si="3"/>
        <v>0.33024170169531536</v>
      </c>
    </row>
    <row r="7" spans="1:9" x14ac:dyDescent="0.25">
      <c r="A7" s="111">
        <v>41944</v>
      </c>
      <c r="B7" s="110">
        <f t="shared" si="4"/>
        <v>2015</v>
      </c>
      <c r="C7" s="112">
        <f t="shared" ca="1" si="5"/>
        <v>8537984.0283828676</v>
      </c>
      <c r="D7" s="112">
        <f t="shared" ca="1" si="6"/>
        <v>11912082.997297313</v>
      </c>
      <c r="E7" s="112">
        <f t="shared" ca="1" si="0"/>
        <v>6011594.5543843769</v>
      </c>
      <c r="F7" s="112">
        <f t="shared" ca="1" si="1"/>
        <v>8387297.6383970371</v>
      </c>
      <c r="G7" s="106">
        <f t="shared" ca="1" si="2"/>
        <v>0.21088673696780391</v>
      </c>
      <c r="H7" s="106">
        <f t="shared" ca="1" si="3"/>
        <v>0.32249159419636608</v>
      </c>
    </row>
    <row r="8" spans="1:9" x14ac:dyDescent="0.25">
      <c r="A8" s="111">
        <v>41974</v>
      </c>
      <c r="B8" s="110">
        <f t="shared" si="4"/>
        <v>2015</v>
      </c>
      <c r="C8" s="112">
        <f t="shared" ca="1" si="5"/>
        <v>9466217.9158760104</v>
      </c>
      <c r="D8" s="112">
        <f t="shared" ca="1" si="6"/>
        <v>11455805.155111147</v>
      </c>
      <c r="E8" s="112">
        <f t="shared" ca="1" si="0"/>
        <v>6665164.0345682986</v>
      </c>
      <c r="F8" s="112">
        <f t="shared" ca="1" si="1"/>
        <v>8066032.4097137582</v>
      </c>
      <c r="G8" s="106">
        <f t="shared" ca="1" si="2"/>
        <v>0.23381395433265589</v>
      </c>
      <c r="H8" s="106">
        <f t="shared" ca="1" si="3"/>
        <v>0.31013894615349402</v>
      </c>
    </row>
    <row r="9" spans="1:9" x14ac:dyDescent="0.25">
      <c r="A9" s="111">
        <v>42005</v>
      </c>
      <c r="B9" s="110">
        <f t="shared" si="4"/>
        <v>2015</v>
      </c>
      <c r="C9" s="112">
        <f t="shared" ca="1" si="5"/>
        <v>8515124.1212121211</v>
      </c>
      <c r="D9" s="112">
        <f t="shared" ca="1" si="6"/>
        <v>12332248.727272728</v>
      </c>
      <c r="E9" s="112">
        <f t="shared" ca="1" si="0"/>
        <v>5995498.893745454</v>
      </c>
      <c r="F9" s="112">
        <f t="shared" ca="1" si="1"/>
        <v>8683136.3288727272</v>
      </c>
      <c r="G9" s="106">
        <f t="shared" ca="1" si="2"/>
        <v>0.21032210119259051</v>
      </c>
      <c r="H9" s="106">
        <f t="shared" ca="1" si="3"/>
        <v>0.33386659184515638</v>
      </c>
    </row>
    <row r="10" spans="1:9" x14ac:dyDescent="0.25">
      <c r="A10" s="111">
        <v>42036</v>
      </c>
      <c r="B10" s="110">
        <f t="shared" si="4"/>
        <v>2015</v>
      </c>
      <c r="C10" s="112">
        <f t="shared" ca="1" si="5"/>
        <v>8480078.9393939395</v>
      </c>
      <c r="D10" s="112">
        <f t="shared" ca="1" si="6"/>
        <v>12281493.636363637</v>
      </c>
      <c r="E10" s="112">
        <f t="shared" ca="1" si="0"/>
        <v>5970823.5812272727</v>
      </c>
      <c r="F10" s="112">
        <f t="shared" ca="1" si="1"/>
        <v>8647399.6693636365</v>
      </c>
      <c r="G10" s="106">
        <f t="shared" ca="1" si="2"/>
        <v>0.20945649122945273</v>
      </c>
      <c r="H10" s="106">
        <f t="shared" ca="1" si="3"/>
        <v>0.33249251728703183</v>
      </c>
    </row>
    <row r="11" spans="1:9" x14ac:dyDescent="0.25">
      <c r="A11" s="111">
        <v>42064</v>
      </c>
      <c r="B11" s="110">
        <f t="shared" si="4"/>
        <v>2015</v>
      </c>
      <c r="C11" s="112">
        <f t="shared" ca="1" si="5"/>
        <v>9417340.4848484844</v>
      </c>
      <c r="D11" s="112">
        <f t="shared" ca="1" si="6"/>
        <v>13638906.90909091</v>
      </c>
      <c r="E11" s="112">
        <f t="shared" ca="1" si="0"/>
        <v>6630749.4353818176</v>
      </c>
      <c r="F11" s="112">
        <f t="shared" ca="1" si="1"/>
        <v>9603154.3546909094</v>
      </c>
      <c r="G11" s="106">
        <f t="shared" ca="1" si="2"/>
        <v>0.23260669019319416</v>
      </c>
      <c r="H11" s="106">
        <f t="shared" ca="1" si="3"/>
        <v>0.36924128493786551</v>
      </c>
    </row>
    <row r="12" spans="1:9" x14ac:dyDescent="0.25">
      <c r="A12" s="111">
        <v>42095</v>
      </c>
      <c r="B12" s="110">
        <f t="shared" si="4"/>
        <v>2015</v>
      </c>
      <c r="C12" s="112">
        <f t="shared" ca="1" si="5"/>
        <v>8453470.1212121211</v>
      </c>
      <c r="D12" s="112">
        <f t="shared" ca="1" si="6"/>
        <v>12242956.727272727</v>
      </c>
      <c r="E12" s="112">
        <f t="shared" ca="1" si="0"/>
        <v>5952088.3123454545</v>
      </c>
      <c r="F12" s="112">
        <f t="shared" ca="1" si="1"/>
        <v>8620265.8316727262</v>
      </c>
      <c r="G12" s="106">
        <f t="shared" ca="1" si="2"/>
        <v>0.20879925799707855</v>
      </c>
      <c r="H12" s="106">
        <f t="shared" ca="1" si="3"/>
        <v>0.33144922122781634</v>
      </c>
    </row>
    <row r="13" spans="1:9" x14ac:dyDescent="0.25">
      <c r="A13" s="111">
        <v>42125</v>
      </c>
      <c r="B13" s="110">
        <f t="shared" si="4"/>
        <v>2015</v>
      </c>
      <c r="C13" s="112">
        <f t="shared" ca="1" si="5"/>
        <v>8044107.8787878789</v>
      </c>
      <c r="D13" s="112">
        <f t="shared" ca="1" si="6"/>
        <v>11650087.272727273</v>
      </c>
      <c r="E13" s="112">
        <f t="shared" ca="1" si="0"/>
        <v>5663856.3574545449</v>
      </c>
      <c r="F13" s="112">
        <f t="shared" ca="1" si="1"/>
        <v>8202826.4487272725</v>
      </c>
      <c r="G13" s="106">
        <f t="shared" ca="1" si="2"/>
        <v>0.19868808101950541</v>
      </c>
      <c r="H13" s="106">
        <f t="shared" ca="1" si="3"/>
        <v>0.31539867695356361</v>
      </c>
    </row>
    <row r="14" spans="1:9" x14ac:dyDescent="0.25">
      <c r="A14" s="111">
        <v>42156</v>
      </c>
      <c r="B14" s="110">
        <f t="shared" si="4"/>
        <v>2015</v>
      </c>
      <c r="C14" s="112">
        <f t="shared" ca="1" si="5"/>
        <v>7773574.7878787881</v>
      </c>
      <c r="D14" s="112">
        <f t="shared" ca="1" si="6"/>
        <v>11258280.727272727</v>
      </c>
      <c r="E14" s="112">
        <f t="shared" ca="1" si="0"/>
        <v>5473374.0081454543</v>
      </c>
      <c r="F14" s="112">
        <f t="shared" ca="1" si="1"/>
        <v>7926955.460072726</v>
      </c>
      <c r="G14" s="106">
        <f t="shared" ca="1" si="2"/>
        <v>0.19200596020574254</v>
      </c>
      <c r="H14" s="106">
        <f t="shared" ca="1" si="3"/>
        <v>0.30479143743979631</v>
      </c>
    </row>
    <row r="15" spans="1:9" x14ac:dyDescent="0.25">
      <c r="A15" s="111">
        <v>42186</v>
      </c>
      <c r="B15" s="110">
        <f t="shared" si="4"/>
        <v>2016</v>
      </c>
      <c r="C15" s="112">
        <f t="shared" ca="1" si="5"/>
        <v>7874587.5060606059</v>
      </c>
      <c r="D15" s="112">
        <f t="shared" ca="1" si="6"/>
        <v>11652696.752121212</v>
      </c>
      <c r="E15" s="112">
        <f t="shared" ref="E15:E38" ca="1" si="7">C15*0.7041</f>
        <v>5544497.0630172724</v>
      </c>
      <c r="F15" s="112">
        <f t="shared" ref="F15:F26" ca="1" si="8">D15*0.7044</f>
        <v>8208159.5921941819</v>
      </c>
      <c r="G15" s="106">
        <f t="shared" ca="1" si="2"/>
        <v>0.1945009569706459</v>
      </c>
      <c r="H15" s="106">
        <f t="shared" ca="1" si="3"/>
        <v>0.31560373631986632</v>
      </c>
    </row>
    <row r="16" spans="1:9" x14ac:dyDescent="0.25">
      <c r="A16" s="111">
        <v>42217</v>
      </c>
      <c r="B16" s="110">
        <f t="shared" si="4"/>
        <v>2016</v>
      </c>
      <c r="C16" s="112">
        <f t="shared" ca="1" si="5"/>
        <v>7807618.1903030295</v>
      </c>
      <c r="D16" s="112">
        <f t="shared" ca="1" si="6"/>
        <v>11639952.780606061</v>
      </c>
      <c r="E16" s="112">
        <f t="shared" ca="1" si="7"/>
        <v>5497343.9677923629</v>
      </c>
      <c r="F16" s="112">
        <f t="shared" ca="1" si="8"/>
        <v>8199182.7386589097</v>
      </c>
      <c r="G16" s="106">
        <f t="shared" ca="1" si="2"/>
        <v>0.1928468263901561</v>
      </c>
      <c r="H16" s="106">
        <f t="shared" ca="1" si="3"/>
        <v>0.31525857630143511</v>
      </c>
    </row>
    <row r="17" spans="1:8" x14ac:dyDescent="0.25">
      <c r="A17" s="111">
        <v>42248</v>
      </c>
      <c r="B17" s="110">
        <f t="shared" si="4"/>
        <v>2016</v>
      </c>
      <c r="C17" s="112">
        <f t="shared" ca="1" si="5"/>
        <v>8177807.1760606058</v>
      </c>
      <c r="D17" s="112">
        <f t="shared" ca="1" si="6"/>
        <v>12238790.652121212</v>
      </c>
      <c r="E17" s="112">
        <f t="shared" ca="1" si="7"/>
        <v>5757994.032664272</v>
      </c>
      <c r="F17" s="112">
        <f t="shared" ca="1" si="8"/>
        <v>8621004.1353541818</v>
      </c>
      <c r="G17" s="106">
        <f t="shared" ca="1" si="2"/>
        <v>0.20199043066586264</v>
      </c>
      <c r="H17" s="106">
        <f t="shared" ca="1" si="3"/>
        <v>0.33147760900436829</v>
      </c>
    </row>
    <row r="18" spans="1:8" x14ac:dyDescent="0.25">
      <c r="A18" s="111">
        <v>42278</v>
      </c>
      <c r="B18" s="110">
        <f t="shared" si="4"/>
        <v>2016</v>
      </c>
      <c r="C18" s="112">
        <f t="shared" ca="1" si="5"/>
        <v>9185666.8145454545</v>
      </c>
      <c r="D18" s="112">
        <f t="shared" ca="1" si="6"/>
        <v>12392100.749090908</v>
      </c>
      <c r="E18" s="112">
        <f t="shared" ca="1" si="7"/>
        <v>6467628.0041214544</v>
      </c>
      <c r="F18" s="112">
        <f t="shared" ca="1" si="8"/>
        <v>8728995.7676596362</v>
      </c>
      <c r="G18" s="106">
        <f t="shared" ref="G18:G38" ca="1" si="9">E18*35.08/1000000000</f>
        <v>0.22688439038458061</v>
      </c>
      <c r="H18" s="106">
        <f t="shared" ref="H18:H38" ca="1" si="10">F18*38.45/1000000000</f>
        <v>0.33562988726651305</v>
      </c>
    </row>
    <row r="19" spans="1:8" x14ac:dyDescent="0.25">
      <c r="A19" s="111">
        <v>42309</v>
      </c>
      <c r="B19" s="110">
        <f t="shared" si="4"/>
        <v>2016</v>
      </c>
      <c r="C19" s="112">
        <f t="shared" ca="1" si="5"/>
        <v>9209346.6600000001</v>
      </c>
      <c r="D19" s="112">
        <f t="shared" ca="1" si="6"/>
        <v>13071806.140000001</v>
      </c>
      <c r="E19" s="112">
        <f t="shared" ca="1" si="7"/>
        <v>6484300.983306</v>
      </c>
      <c r="F19" s="112">
        <f t="shared" ca="1" si="8"/>
        <v>9207780.2450160012</v>
      </c>
      <c r="G19" s="106">
        <f t="shared" ca="1" si="9"/>
        <v>0.22746927849437448</v>
      </c>
      <c r="H19" s="106">
        <f t="shared" ca="1" si="10"/>
        <v>0.35403915042086531</v>
      </c>
    </row>
    <row r="20" spans="1:8" x14ac:dyDescent="0.25">
      <c r="A20" s="111">
        <v>42339</v>
      </c>
      <c r="B20" s="110">
        <f t="shared" si="4"/>
        <v>2016</v>
      </c>
      <c r="C20" s="112">
        <f t="shared" ca="1" si="5"/>
        <v>9501053.4890909083</v>
      </c>
      <c r="D20" s="112">
        <f t="shared" ca="1" si="6"/>
        <v>13613495.528181817</v>
      </c>
      <c r="E20" s="112">
        <f t="shared" ca="1" si="7"/>
        <v>6689691.7616689084</v>
      </c>
      <c r="F20" s="112">
        <f t="shared" ca="1" si="8"/>
        <v>9589346.250051273</v>
      </c>
      <c r="G20" s="106">
        <f t="shared" ca="1" si="9"/>
        <v>0.23467438699934531</v>
      </c>
      <c r="H20" s="106">
        <f t="shared" ca="1" si="10"/>
        <v>0.36871036331447149</v>
      </c>
    </row>
    <row r="21" spans="1:8" x14ac:dyDescent="0.25">
      <c r="A21" s="111">
        <v>42370</v>
      </c>
      <c r="B21" s="110">
        <f>IF(MONTH(A21)&gt;6,YEAR(A21)+1,YEAR(A21))</f>
        <v>2016</v>
      </c>
      <c r="C21" s="112">
        <f t="shared" ca="1" si="5"/>
        <v>7641061.0881818179</v>
      </c>
      <c r="D21" s="112">
        <f t="shared" ca="1" si="6"/>
        <v>13905422.856363637</v>
      </c>
      <c r="E21" s="112">
        <f t="shared" ca="1" si="7"/>
        <v>5380071.1121888179</v>
      </c>
      <c r="F21" s="112">
        <f t="shared" ca="1" si="8"/>
        <v>9794979.8600225467</v>
      </c>
      <c r="G21" s="106">
        <f t="shared" ca="1" si="9"/>
        <v>0.18873289461558371</v>
      </c>
      <c r="H21" s="106">
        <f t="shared" ca="1" si="10"/>
        <v>0.37661697561786694</v>
      </c>
    </row>
    <row r="22" spans="1:8" x14ac:dyDescent="0.25">
      <c r="A22" s="111">
        <v>42401</v>
      </c>
      <c r="B22" s="110">
        <f t="shared" si="4"/>
        <v>2016</v>
      </c>
      <c r="C22" s="112">
        <f t="shared" ca="1" si="5"/>
        <v>9755723.870000001</v>
      </c>
      <c r="D22" s="112">
        <f t="shared" ca="1" si="6"/>
        <v>12305959.719999999</v>
      </c>
      <c r="E22" s="112">
        <f t="shared" ca="1" si="7"/>
        <v>6869005.1768669998</v>
      </c>
      <c r="F22" s="112">
        <f t="shared" ca="1" si="8"/>
        <v>8668318.0267679989</v>
      </c>
      <c r="G22" s="106">
        <f t="shared" ca="1" si="9"/>
        <v>0.24096470160449435</v>
      </c>
      <c r="H22" s="106">
        <f t="shared" ca="1" si="10"/>
        <v>0.33329682812922962</v>
      </c>
    </row>
    <row r="23" spans="1:8" x14ac:dyDescent="0.25">
      <c r="A23" s="111">
        <v>42430</v>
      </c>
      <c r="B23" s="110">
        <f t="shared" si="4"/>
        <v>2016</v>
      </c>
      <c r="C23" s="112">
        <f t="shared" ca="1" si="5"/>
        <v>10013203</v>
      </c>
      <c r="D23" s="112">
        <f t="shared" ca="1" si="6"/>
        <v>12608493.16</v>
      </c>
      <c r="E23" s="112">
        <f t="shared" ca="1" si="7"/>
        <v>7050296.2322999993</v>
      </c>
      <c r="F23" s="112">
        <f t="shared" ca="1" si="8"/>
        <v>8881422.5819039997</v>
      </c>
      <c r="G23" s="106">
        <f t="shared" ca="1" si="9"/>
        <v>0.24732439182908397</v>
      </c>
      <c r="H23" s="106">
        <f t="shared" ca="1" si="10"/>
        <v>0.3414906982742088</v>
      </c>
    </row>
    <row r="24" spans="1:8" x14ac:dyDescent="0.25">
      <c r="A24" s="111">
        <v>42461</v>
      </c>
      <c r="B24" s="110">
        <f t="shared" si="4"/>
        <v>2016</v>
      </c>
      <c r="C24" s="112">
        <f t="shared" ca="1" si="5"/>
        <v>7998786.6915151514</v>
      </c>
      <c r="D24" s="112">
        <f t="shared" ca="1" si="6"/>
        <v>13947803.033030303</v>
      </c>
      <c r="E24" s="112">
        <f t="shared" ca="1" si="7"/>
        <v>5631945.7094958173</v>
      </c>
      <c r="F24" s="112">
        <f t="shared" ca="1" si="8"/>
        <v>9824832.4564665463</v>
      </c>
      <c r="G24" s="106">
        <f t="shared" ca="1" si="9"/>
        <v>0.19756865548911326</v>
      </c>
      <c r="H24" s="106">
        <f t="shared" ca="1" si="10"/>
        <v>0.37776480795113876</v>
      </c>
    </row>
    <row r="25" spans="1:8" x14ac:dyDescent="0.25">
      <c r="A25" s="111">
        <v>42491</v>
      </c>
      <c r="B25" s="110">
        <f t="shared" si="4"/>
        <v>2016</v>
      </c>
      <c r="C25" s="112">
        <f t="shared" ca="1" si="5"/>
        <v>8940126</v>
      </c>
      <c r="D25" s="112">
        <f t="shared" ca="1" si="6"/>
        <v>12712688</v>
      </c>
      <c r="E25" s="112">
        <f t="shared" ca="1" si="7"/>
        <v>6294742.7165999999</v>
      </c>
      <c r="F25" s="112">
        <f t="shared" ca="1" si="8"/>
        <v>8954817.4272000007</v>
      </c>
      <c r="G25" s="106">
        <f t="shared" ca="1" si="9"/>
        <v>0.22081957449832801</v>
      </c>
      <c r="H25" s="106">
        <f t="shared" ca="1" si="10"/>
        <v>0.34431273007584007</v>
      </c>
    </row>
    <row r="26" spans="1:8" x14ac:dyDescent="0.25">
      <c r="A26" s="111">
        <v>42522</v>
      </c>
      <c r="B26" s="110">
        <f t="shared" si="4"/>
        <v>2016</v>
      </c>
      <c r="C26" s="112">
        <f t="shared" ca="1" si="5"/>
        <v>8651229.9800000004</v>
      </c>
      <c r="D26" s="112">
        <f t="shared" ca="1" si="6"/>
        <v>10586096.66</v>
      </c>
      <c r="E26" s="112">
        <f t="shared" ca="1" si="7"/>
        <v>6091331.0289179999</v>
      </c>
      <c r="F26" s="112">
        <f t="shared" ca="1" si="8"/>
        <v>7456846.4873040002</v>
      </c>
      <c r="G26" s="106">
        <f t="shared" ca="1" si="9"/>
        <v>0.21368389249444342</v>
      </c>
      <c r="H26" s="106">
        <f t="shared" ca="1" si="10"/>
        <v>0.28671574743683881</v>
      </c>
    </row>
    <row r="27" spans="1:8" x14ac:dyDescent="0.25">
      <c r="A27" s="111">
        <v>42552</v>
      </c>
      <c r="B27" s="110">
        <f t="shared" si="4"/>
        <v>2017</v>
      </c>
      <c r="C27" s="112">
        <f t="shared" ca="1" si="5"/>
        <v>8782954</v>
      </c>
      <c r="D27" s="112">
        <f t="shared" ca="1" si="6"/>
        <v>10937130.25</v>
      </c>
      <c r="E27" s="112">
        <f t="shared" ca="1" si="7"/>
        <v>6184077.9113999996</v>
      </c>
      <c r="F27" s="112">
        <f ca="1">D27*'2017'!$C$9</f>
        <v>7704275.7698856117</v>
      </c>
      <c r="G27" s="106">
        <f t="shared" ca="1" si="9"/>
        <v>0.21693745313191196</v>
      </c>
      <c r="H27" s="106">
        <f t="shared" ca="1" si="10"/>
        <v>0.29622940335210179</v>
      </c>
    </row>
    <row r="28" spans="1:8" x14ac:dyDescent="0.25">
      <c r="A28" s="111">
        <v>42583</v>
      </c>
      <c r="B28" s="110">
        <f t="shared" si="4"/>
        <v>2017</v>
      </c>
      <c r="C28" s="112">
        <f t="shared" ca="1" si="5"/>
        <v>8450985</v>
      </c>
      <c r="D28" s="112">
        <f t="shared" ca="1" si="6"/>
        <v>13371647.950000001</v>
      </c>
      <c r="E28" s="112">
        <f t="shared" ca="1" si="7"/>
        <v>5950338.5384999998</v>
      </c>
      <c r="F28" s="112">
        <f ca="1">D28*'2017'!$C$9</f>
        <v>9419185.9244453646</v>
      </c>
      <c r="G28" s="106">
        <f t="shared" ca="1" si="9"/>
        <v>0.20873787593057999</v>
      </c>
      <c r="H28" s="106">
        <f t="shared" ca="1" si="10"/>
        <v>0.36216769879492433</v>
      </c>
    </row>
    <row r="29" spans="1:8" x14ac:dyDescent="0.25">
      <c r="A29" s="111">
        <v>42614</v>
      </c>
      <c r="B29" s="110">
        <f t="shared" si="4"/>
        <v>2017</v>
      </c>
      <c r="C29" s="112">
        <f t="shared" ca="1" si="5"/>
        <v>9236476.8100000005</v>
      </c>
      <c r="D29" s="112">
        <f t="shared" ca="1" si="6"/>
        <v>12975742.02</v>
      </c>
      <c r="E29" s="112">
        <f t="shared" ca="1" si="7"/>
        <v>6503403.3219210003</v>
      </c>
      <c r="F29" s="112">
        <f ca="1">D29*'2017'!$C$9</f>
        <v>9140303.9513927866</v>
      </c>
      <c r="G29" s="106">
        <f t="shared" ca="1" si="9"/>
        <v>0.22813938853298868</v>
      </c>
      <c r="H29" s="106">
        <f t="shared" ca="1" si="10"/>
        <v>0.35144468693105269</v>
      </c>
    </row>
    <row r="30" spans="1:8" x14ac:dyDescent="0.25">
      <c r="A30" s="111">
        <v>42644</v>
      </c>
      <c r="B30" s="110">
        <f t="shared" si="4"/>
        <v>2017</v>
      </c>
      <c r="C30" s="112">
        <f t="shared" ca="1" si="5"/>
        <v>8081264.0800000001</v>
      </c>
      <c r="D30" s="112">
        <f t="shared" ca="1" si="6"/>
        <v>9584060.6799999997</v>
      </c>
      <c r="E30" s="112">
        <f t="shared" ca="1" si="7"/>
        <v>5690018.0387279997</v>
      </c>
      <c r="F30" s="112">
        <f ca="1">D30*'2017'!$C$9</f>
        <v>6751153.6194823515</v>
      </c>
      <c r="G30" s="106">
        <f t="shared" ca="1" si="9"/>
        <v>0.19960583279857824</v>
      </c>
      <c r="H30" s="106">
        <f t="shared" ca="1" si="10"/>
        <v>0.25958185666909644</v>
      </c>
    </row>
    <row r="31" spans="1:8" x14ac:dyDescent="0.25">
      <c r="A31" s="111">
        <v>42675</v>
      </c>
      <c r="B31" s="110">
        <f t="shared" si="4"/>
        <v>2017</v>
      </c>
      <c r="C31" s="112">
        <f t="shared" ca="1" si="5"/>
        <v>8330746.1799999997</v>
      </c>
      <c r="D31" s="112">
        <f t="shared" ca="1" si="6"/>
        <v>9984149.5899999999</v>
      </c>
      <c r="E31" s="112">
        <f t="shared" ca="1" si="7"/>
        <v>5865678.3853379991</v>
      </c>
      <c r="F31" s="112">
        <f ca="1">D31*'2017'!$C$9</f>
        <v>7032982.1453072997</v>
      </c>
      <c r="G31" s="106">
        <f t="shared" ca="1" si="9"/>
        <v>0.205767997757657</v>
      </c>
      <c r="H31" s="106">
        <f t="shared" ca="1" si="10"/>
        <v>0.27041816348706565</v>
      </c>
    </row>
    <row r="32" spans="1:8" x14ac:dyDescent="0.25">
      <c r="A32" s="111">
        <v>42705</v>
      </c>
      <c r="B32" s="110">
        <f t="shared" si="4"/>
        <v>2017</v>
      </c>
      <c r="C32" s="112">
        <f t="shared" ca="1" si="5"/>
        <v>10402649.73</v>
      </c>
      <c r="D32" s="112">
        <f t="shared" ca="1" si="6"/>
        <v>12737150.220000001</v>
      </c>
      <c r="E32" s="112">
        <f t="shared" ca="1" si="7"/>
        <v>7324505.6748930002</v>
      </c>
      <c r="F32" s="112">
        <f ca="1">D32*'2017'!$C$9</f>
        <v>8972236.3704445399</v>
      </c>
      <c r="G32" s="106">
        <f t="shared" ca="1" si="9"/>
        <v>0.25694365907524641</v>
      </c>
      <c r="H32" s="106">
        <f t="shared" ca="1" si="10"/>
        <v>0.34498248844359258</v>
      </c>
    </row>
    <row r="33" spans="1:8" x14ac:dyDescent="0.25">
      <c r="A33" s="111">
        <v>42736</v>
      </c>
      <c r="B33" s="110">
        <f t="shared" si="4"/>
        <v>2017</v>
      </c>
      <c r="C33" s="112">
        <f t="shared" ca="1" si="5"/>
        <v>8639531.540000001</v>
      </c>
      <c r="D33" s="112">
        <f t="shared" ca="1" si="6"/>
        <v>12335617.33</v>
      </c>
      <c r="E33" s="112">
        <f t="shared" ca="1" si="7"/>
        <v>6083094.1573140007</v>
      </c>
      <c r="F33" s="112">
        <f ca="1">D33*'2017'!$C$9</f>
        <v>8689390.6838222072</v>
      </c>
      <c r="G33" s="106">
        <f t="shared" ca="1" si="9"/>
        <v>0.21339494303857515</v>
      </c>
      <c r="H33" s="106">
        <f t="shared" ca="1" si="10"/>
        <v>0.33410707179296384</v>
      </c>
    </row>
    <row r="34" spans="1:8" x14ac:dyDescent="0.25">
      <c r="A34" s="111">
        <v>42767</v>
      </c>
      <c r="B34" s="110">
        <f t="shared" si="4"/>
        <v>2017</v>
      </c>
      <c r="C34" s="112">
        <f t="shared" ca="1" si="5"/>
        <v>9362173.5600000005</v>
      </c>
      <c r="D34" s="112">
        <f t="shared" ca="1" si="6"/>
        <v>11647338.060000001</v>
      </c>
      <c r="E34" s="112">
        <f t="shared" ca="1" si="7"/>
        <v>6591906.4035959998</v>
      </c>
      <c r="F34" s="112">
        <f ca="1">D34*'2017'!$C$9</f>
        <v>8204556.6202637563</v>
      </c>
      <c r="G34" s="106">
        <f t="shared" ca="1" si="9"/>
        <v>0.23124407663814764</v>
      </c>
      <c r="H34" s="106">
        <f t="shared" ca="1" si="10"/>
        <v>0.31546520204914147</v>
      </c>
    </row>
    <row r="35" spans="1:8" x14ac:dyDescent="0.25">
      <c r="A35" s="111">
        <v>42795</v>
      </c>
      <c r="B35" s="110">
        <f t="shared" si="4"/>
        <v>2017</v>
      </c>
      <c r="C35" s="112">
        <f t="shared" ca="1" si="5"/>
        <v>9127539.0299999993</v>
      </c>
      <c r="D35" s="112">
        <f t="shared" ca="1" si="6"/>
        <v>15274062.629999999</v>
      </c>
      <c r="E35" s="112">
        <f t="shared" ca="1" si="7"/>
        <v>6426700.2310229987</v>
      </c>
      <c r="F35" s="112">
        <f ca="1">D35*'2017'!$C$9</f>
        <v>10759274.868105762</v>
      </c>
      <c r="G35" s="106">
        <f t="shared" ca="1" si="9"/>
        <v>0.22544864410428678</v>
      </c>
      <c r="H35" s="106">
        <f t="shared" ca="1" si="10"/>
        <v>0.41369411867866657</v>
      </c>
    </row>
    <row r="36" spans="1:8" x14ac:dyDescent="0.25">
      <c r="A36" s="111">
        <v>42826</v>
      </c>
      <c r="B36" s="110">
        <f t="shared" si="4"/>
        <v>2017</v>
      </c>
      <c r="C36" s="112">
        <f t="shared" ca="1" si="5"/>
        <v>9099834.7599999998</v>
      </c>
      <c r="D36" s="112">
        <f t="shared" ca="1" si="6"/>
        <v>11071198.240000002</v>
      </c>
      <c r="E36" s="112">
        <f t="shared" ca="1" si="7"/>
        <v>6407193.6545159994</v>
      </c>
      <c r="F36" s="112">
        <f ca="1">D36*'2017'!$C$9</f>
        <v>7798715.2383078039</v>
      </c>
      <c r="G36" s="106">
        <f t="shared" ca="1" si="9"/>
        <v>0.22476435340042125</v>
      </c>
      <c r="H36" s="106">
        <f t="shared" ca="1" si="10"/>
        <v>0.29986060091293509</v>
      </c>
    </row>
    <row r="37" spans="1:8" x14ac:dyDescent="0.25">
      <c r="A37" s="111">
        <v>42856</v>
      </c>
      <c r="B37" s="110">
        <f t="shared" si="4"/>
        <v>2017</v>
      </c>
      <c r="C37" s="112">
        <f t="shared" ca="1" si="5"/>
        <v>9150321.2699999996</v>
      </c>
      <c r="D37" s="112">
        <f t="shared" ca="1" si="6"/>
        <v>12637075.979999999</v>
      </c>
      <c r="E37" s="112">
        <f t="shared" ca="1" si="7"/>
        <v>6442741.2062069988</v>
      </c>
      <c r="F37" s="112">
        <f ca="1">D37*'2017'!$C$9</f>
        <v>8901742.6006165966</v>
      </c>
      <c r="G37" s="106">
        <f t="shared" ca="1" si="9"/>
        <v>0.22601136151374149</v>
      </c>
      <c r="H37" s="106">
        <f t="shared" ca="1" si="10"/>
        <v>0.34227200299370819</v>
      </c>
    </row>
    <row r="38" spans="1:8" x14ac:dyDescent="0.25">
      <c r="A38" s="111">
        <v>42887</v>
      </c>
      <c r="B38" s="110">
        <f t="shared" si="4"/>
        <v>2017</v>
      </c>
      <c r="C38" s="112">
        <f t="shared" ca="1" si="5"/>
        <v>8728956.5399999991</v>
      </c>
      <c r="D38" s="112">
        <f t="shared" ca="1" si="6"/>
        <v>11099117.020000001</v>
      </c>
      <c r="E38" s="112">
        <f t="shared" ca="1" si="7"/>
        <v>6146058.2998139989</v>
      </c>
      <c r="F38" s="112">
        <f ca="1">D38*'2017'!$C$9</f>
        <v>7818381.6384842824</v>
      </c>
      <c r="G38" s="106">
        <f t="shared" ca="1" si="9"/>
        <v>0.21560372515747508</v>
      </c>
      <c r="H38" s="106">
        <f t="shared" ca="1" si="10"/>
        <v>0.3006167739997207</v>
      </c>
    </row>
    <row r="39" spans="1:8" x14ac:dyDescent="0.25">
      <c r="A39" s="111">
        <v>42917</v>
      </c>
      <c r="B39" s="110">
        <f t="shared" si="4"/>
        <v>2018</v>
      </c>
      <c r="C39" s="112">
        <f t="shared" ca="1" si="5"/>
        <v>8237149.7400000002</v>
      </c>
      <c r="D39" s="112">
        <f t="shared" ca="1" si="6"/>
        <v>11059122.15</v>
      </c>
      <c r="E39" s="112">
        <f t="shared" ref="E39:E74" ca="1" si="11">C39*0.7041</f>
        <v>5799777.1319340002</v>
      </c>
      <c r="F39" s="112">
        <f ca="1">D39*'2017'!$C$9</f>
        <v>7790208.6625008667</v>
      </c>
      <c r="G39" s="106">
        <f t="shared" ref="G39:G74" ca="1" si="12">E39*35.08/1000000000</f>
        <v>0.20345618178824473</v>
      </c>
      <c r="H39" s="106">
        <f t="shared" ref="H39:H74" ca="1" si="13">F39*38.45/1000000000</f>
        <v>0.29953352307315834</v>
      </c>
    </row>
    <row r="40" spans="1:8" x14ac:dyDescent="0.25">
      <c r="A40" s="111">
        <v>42948</v>
      </c>
      <c r="B40" s="110">
        <f t="shared" si="4"/>
        <v>2018</v>
      </c>
      <c r="C40" s="112">
        <f t="shared" ca="1" si="5"/>
        <v>10051367.5</v>
      </c>
      <c r="D40" s="112">
        <f t="shared" ca="1" si="6"/>
        <v>13761647.26</v>
      </c>
      <c r="E40" s="112">
        <f t="shared" ca="1" si="11"/>
        <v>7077167.8567499993</v>
      </c>
      <c r="F40" s="112">
        <f ca="1">D40*'2017'!$C$9</f>
        <v>9693907.1873017792</v>
      </c>
      <c r="G40" s="106">
        <f t="shared" ca="1" si="12"/>
        <v>0.24826704841478997</v>
      </c>
      <c r="H40" s="106">
        <f t="shared" ca="1" si="13"/>
        <v>0.37273073135175339</v>
      </c>
    </row>
    <row r="41" spans="1:8" x14ac:dyDescent="0.25">
      <c r="A41" s="111">
        <v>42979</v>
      </c>
      <c r="B41" s="110">
        <f t="shared" si="4"/>
        <v>2018</v>
      </c>
      <c r="C41" s="112">
        <f t="shared" ca="1" si="5"/>
        <v>8666743.5399999991</v>
      </c>
      <c r="D41" s="112">
        <f t="shared" ca="1" si="6"/>
        <v>12475990.800000001</v>
      </c>
      <c r="E41" s="112">
        <f t="shared" ca="1" si="11"/>
        <v>6102254.126513999</v>
      </c>
      <c r="F41" s="112">
        <f ca="1">D41*'2017'!$C$9</f>
        <v>8788271.8253040649</v>
      </c>
      <c r="G41" s="106">
        <f t="shared" ca="1" si="12"/>
        <v>0.21406707475811107</v>
      </c>
      <c r="H41" s="106">
        <f t="shared" ca="1" si="13"/>
        <v>0.33790905168294133</v>
      </c>
    </row>
    <row r="42" spans="1:8" x14ac:dyDescent="0.25">
      <c r="A42" s="111">
        <v>43009</v>
      </c>
      <c r="B42" s="110">
        <f t="shared" si="4"/>
        <v>2018</v>
      </c>
      <c r="C42" s="112">
        <f t="shared" ca="1" si="5"/>
        <v>9612854.2599999998</v>
      </c>
      <c r="D42" s="112">
        <f t="shared" ca="1" si="6"/>
        <v>14234316.58</v>
      </c>
      <c r="E42" s="112">
        <f t="shared" ca="1" si="11"/>
        <v>6768410.6844659997</v>
      </c>
      <c r="F42" s="112">
        <f ca="1">D42*'2017'!$C$9</f>
        <v>10026862.423822284</v>
      </c>
      <c r="G42" s="106">
        <f t="shared" ca="1" si="12"/>
        <v>0.23743584681106725</v>
      </c>
      <c r="H42" s="106">
        <f t="shared" ca="1" si="13"/>
        <v>0.38553286019596683</v>
      </c>
    </row>
    <row r="43" spans="1:8" x14ac:dyDescent="0.25">
      <c r="A43" s="111">
        <v>43040</v>
      </c>
      <c r="B43" s="110">
        <f t="shared" si="4"/>
        <v>2018</v>
      </c>
      <c r="C43" s="112">
        <f t="shared" ca="1" si="5"/>
        <v>9426684.7899999991</v>
      </c>
      <c r="D43" s="112">
        <f t="shared" ca="1" si="6"/>
        <v>14929022.119999999</v>
      </c>
      <c r="E43" s="112">
        <f t="shared" ca="1" si="11"/>
        <v>6637328.7606389988</v>
      </c>
      <c r="F43" s="112">
        <f ca="1">D43*'2017'!$C$9</f>
        <v>10516223.24669694</v>
      </c>
      <c r="G43" s="106">
        <f t="shared" ca="1" si="12"/>
        <v>0.23283749292321607</v>
      </c>
      <c r="H43" s="106">
        <f t="shared" ca="1" si="13"/>
        <v>0.40434878383549738</v>
      </c>
    </row>
    <row r="44" spans="1:8" x14ac:dyDescent="0.25">
      <c r="A44" s="111">
        <v>43070</v>
      </c>
      <c r="B44" s="110">
        <f t="shared" si="4"/>
        <v>2018</v>
      </c>
      <c r="C44" s="112">
        <f t="shared" ca="1" si="5"/>
        <v>10359519.540000001</v>
      </c>
      <c r="D44" s="112">
        <f t="shared" ca="1" si="6"/>
        <v>13082609.600000001</v>
      </c>
      <c r="E44" s="112">
        <f t="shared" ca="1" si="11"/>
        <v>7294137.708114</v>
      </c>
      <c r="F44" s="112">
        <f ca="1">D44*'2017'!$C$9</f>
        <v>9215583.0500558317</v>
      </c>
      <c r="G44" s="106">
        <f t="shared" ca="1" si="12"/>
        <v>0.25587835080063914</v>
      </c>
      <c r="H44" s="106">
        <f t="shared" ca="1" si="13"/>
        <v>0.35433916827464673</v>
      </c>
    </row>
    <row r="45" spans="1:8" x14ac:dyDescent="0.25">
      <c r="A45" s="111">
        <v>43101</v>
      </c>
      <c r="B45" s="110">
        <f t="shared" si="4"/>
        <v>2018</v>
      </c>
      <c r="C45" s="112">
        <f t="shared" ca="1" si="5"/>
        <v>9685934.6099999994</v>
      </c>
      <c r="D45" s="112">
        <f t="shared" ca="1" si="6"/>
        <v>12932777.189999999</v>
      </c>
      <c r="E45" s="112">
        <f t="shared" ca="1" si="11"/>
        <v>6819866.5589009989</v>
      </c>
      <c r="F45" s="112">
        <f ca="1">D45*'2017'!$C$9</f>
        <v>9110038.8918058574</v>
      </c>
      <c r="G45" s="106">
        <f t="shared" ca="1" si="12"/>
        <v>0.23924091888624704</v>
      </c>
      <c r="H45" s="106">
        <f t="shared" ca="1" si="13"/>
        <v>0.35028099538993523</v>
      </c>
    </row>
    <row r="46" spans="1:8" x14ac:dyDescent="0.25">
      <c r="A46" s="111">
        <v>43132</v>
      </c>
      <c r="B46" s="110">
        <f t="shared" si="4"/>
        <v>2018</v>
      </c>
      <c r="C46" s="112">
        <f t="shared" ca="1" si="5"/>
        <v>9388286.629999999</v>
      </c>
      <c r="D46" s="112">
        <f t="shared" ca="1" si="6"/>
        <v>12498251.019999998</v>
      </c>
      <c r="E46" s="112">
        <f t="shared" ca="1" si="11"/>
        <v>6610292.6161829988</v>
      </c>
      <c r="F46" s="112">
        <f ca="1">D46*'2017'!$C$9</f>
        <v>8803952.2524049766</v>
      </c>
      <c r="G46" s="106">
        <f t="shared" ca="1" si="12"/>
        <v>0.23188906497569958</v>
      </c>
      <c r="H46" s="106">
        <f t="shared" ca="1" si="13"/>
        <v>0.33851196410497136</v>
      </c>
    </row>
    <row r="47" spans="1:8" x14ac:dyDescent="0.25">
      <c r="A47" s="111">
        <v>43160</v>
      </c>
      <c r="B47" s="110">
        <f t="shared" si="4"/>
        <v>2018</v>
      </c>
      <c r="C47" s="112">
        <f t="shared" ca="1" si="5"/>
        <v>10396643.220000001</v>
      </c>
      <c r="D47" s="112">
        <f t="shared" ca="1" si="6"/>
        <v>14125400.380000001</v>
      </c>
      <c r="E47" s="112">
        <f t="shared" ca="1" si="11"/>
        <v>7320276.4912019996</v>
      </c>
      <c r="F47" s="112">
        <f ca="1">D47*'2017'!$C$9</f>
        <v>9950140.2470329925</v>
      </c>
      <c r="G47" s="106">
        <f t="shared" ca="1" si="12"/>
        <v>0.25679529931136613</v>
      </c>
      <c r="H47" s="106">
        <f t="shared" ca="1" si="13"/>
        <v>0.38258289249841859</v>
      </c>
    </row>
    <row r="48" spans="1:8" x14ac:dyDescent="0.25">
      <c r="A48" s="111">
        <v>43191</v>
      </c>
      <c r="B48" s="110">
        <f t="shared" si="4"/>
        <v>2018</v>
      </c>
      <c r="C48" s="112">
        <f t="shared" ca="1" si="5"/>
        <v>8415274.6300000008</v>
      </c>
      <c r="D48" s="112">
        <f t="shared" ca="1" si="6"/>
        <v>14453674.67</v>
      </c>
      <c r="E48" s="112">
        <f t="shared" ca="1" si="11"/>
        <v>5925194.8669830002</v>
      </c>
      <c r="F48" s="112">
        <f ca="1">D48*'2017'!$C$9</f>
        <v>10181381.495926723</v>
      </c>
      <c r="G48" s="106">
        <f t="shared" ca="1" si="12"/>
        <v>0.20785583593376361</v>
      </c>
      <c r="H48" s="106">
        <f t="shared" ca="1" si="13"/>
        <v>0.39147411851838254</v>
      </c>
    </row>
    <row r="49" spans="1:8" x14ac:dyDescent="0.25">
      <c r="A49" s="111">
        <v>43221</v>
      </c>
      <c r="B49" s="110">
        <f t="shared" si="4"/>
        <v>2018</v>
      </c>
      <c r="C49" s="112">
        <f t="shared" ca="1" si="5"/>
        <v>9059267.5700000003</v>
      </c>
      <c r="D49" s="112">
        <f t="shared" ca="1" si="6"/>
        <v>14115031.880000001</v>
      </c>
      <c r="E49" s="112">
        <f t="shared" ca="1" si="11"/>
        <v>6378630.2960369997</v>
      </c>
      <c r="F49" s="112">
        <f ca="1">D49*'2017'!$C$9</f>
        <v>9942836.5227932576</v>
      </c>
      <c r="G49" s="106">
        <f t="shared" ca="1" si="12"/>
        <v>0.22376235078497794</v>
      </c>
      <c r="H49" s="106">
        <f t="shared" ca="1" si="13"/>
        <v>0.38230206430140079</v>
      </c>
    </row>
    <row r="50" spans="1:8" x14ac:dyDescent="0.25">
      <c r="A50" s="111">
        <v>43252</v>
      </c>
      <c r="B50" s="110">
        <f t="shared" si="4"/>
        <v>2018</v>
      </c>
      <c r="C50" s="112">
        <f ca="1">INDEX(INDIRECT("'"&amp;$B50&amp;"'!$D$27:$AY$27"),IF(((MONTH($A50))&gt;6),(MONTH($A50)-7)*4+1,(MONTH($A50)+5)*4+1))</f>
        <v>8340260.96</v>
      </c>
      <c r="D50" s="112">
        <f t="shared" ca="1" si="6"/>
        <v>12773427.060000001</v>
      </c>
      <c r="E50" s="112">
        <f t="shared" ca="1" si="11"/>
        <v>5872377.7419359991</v>
      </c>
      <c r="F50" s="112">
        <f ca="1">D50*'2017'!$C$9</f>
        <v>8997790.3112893086</v>
      </c>
      <c r="G50" s="106">
        <f t="shared" ca="1" si="12"/>
        <v>0.20600301118711484</v>
      </c>
      <c r="H50" s="106">
        <f t="shared" ca="1" si="13"/>
        <v>0.34596503746907398</v>
      </c>
    </row>
    <row r="51" spans="1:8" x14ac:dyDescent="0.25">
      <c r="A51" s="111">
        <v>43282</v>
      </c>
      <c r="B51" s="110">
        <f t="shared" si="4"/>
        <v>2019</v>
      </c>
      <c r="C51" s="112">
        <f t="shared" ca="1" si="5"/>
        <v>8634680.3500000015</v>
      </c>
      <c r="D51" s="112">
        <f t="shared" ca="1" si="6"/>
        <v>13559625.119999999</v>
      </c>
      <c r="E51" s="112">
        <f t="shared" ca="1" si="11"/>
        <v>6079678.4344350006</v>
      </c>
      <c r="F51" s="112">
        <f ca="1">D51*'2017'!$C$9</f>
        <v>9551599.813922694</v>
      </c>
      <c r="G51" s="106">
        <f t="shared" ca="1" si="12"/>
        <v>0.21327511947997982</v>
      </c>
      <c r="H51" s="106">
        <f t="shared" ca="1" si="13"/>
        <v>0.36725901284532764</v>
      </c>
    </row>
    <row r="52" spans="1:8" x14ac:dyDescent="0.25">
      <c r="A52" s="111">
        <v>43313</v>
      </c>
      <c r="B52" s="110">
        <f t="shared" si="4"/>
        <v>2019</v>
      </c>
      <c r="C52" s="112">
        <f t="shared" ca="1" si="5"/>
        <v>8928873.5599999987</v>
      </c>
      <c r="D52" s="112">
        <f t="shared" ca="1" si="6"/>
        <v>13754146.620000001</v>
      </c>
      <c r="E52" s="112">
        <f t="shared" ca="1" si="11"/>
        <v>6286819.8735959986</v>
      </c>
      <c r="F52" s="112">
        <f ca="1">D52*'2017'!$C$9</f>
        <v>9688623.6259205285</v>
      </c>
      <c r="G52" s="106">
        <f t="shared" ca="1" si="12"/>
        <v>0.22054164116574762</v>
      </c>
      <c r="H52" s="106">
        <f t="shared" ca="1" si="13"/>
        <v>0.37252757841664436</v>
      </c>
    </row>
    <row r="53" spans="1:8" x14ac:dyDescent="0.25">
      <c r="A53" s="111">
        <v>43344</v>
      </c>
      <c r="B53" s="110">
        <f t="shared" si="4"/>
        <v>2019</v>
      </c>
      <c r="C53" s="112">
        <f t="shared" ca="1" si="5"/>
        <v>8850615.6999999993</v>
      </c>
      <c r="D53" s="112">
        <f t="shared" ca="1" si="6"/>
        <v>14800898.5</v>
      </c>
      <c r="E53" s="112">
        <f t="shared" ca="1" si="11"/>
        <v>6231718.5143699991</v>
      </c>
      <c r="F53" s="112">
        <f ca="1">D53*'2017'!$C$9</f>
        <v>10425971.080127375</v>
      </c>
      <c r="G53" s="106">
        <f t="shared" ca="1" si="12"/>
        <v>0.21860868548409956</v>
      </c>
      <c r="H53" s="106">
        <f t="shared" ca="1" si="13"/>
        <v>0.4008785880308976</v>
      </c>
    </row>
    <row r="54" spans="1:8" x14ac:dyDescent="0.25">
      <c r="A54" s="111">
        <v>43374</v>
      </c>
      <c r="B54" s="110">
        <f t="shared" si="4"/>
        <v>2019</v>
      </c>
      <c r="C54" s="112">
        <f t="shared" ca="1" si="5"/>
        <v>9309226.9299999997</v>
      </c>
      <c r="D54" s="112">
        <f t="shared" ca="1" si="6"/>
        <v>16549278.689999999</v>
      </c>
      <c r="E54" s="112">
        <f t="shared" ca="1" si="11"/>
        <v>6554626.6814129995</v>
      </c>
      <c r="F54" s="112">
        <f ca="1">D54*'2017'!$C$9</f>
        <v>11657555.85844388</v>
      </c>
      <c r="G54" s="106">
        <f t="shared" ca="1" si="12"/>
        <v>0.22993630398396803</v>
      </c>
      <c r="H54" s="106">
        <f t="shared" ca="1" si="13"/>
        <v>0.4482330227571672</v>
      </c>
    </row>
    <row r="55" spans="1:8" x14ac:dyDescent="0.25">
      <c r="A55" s="111">
        <v>43405</v>
      </c>
      <c r="B55" s="110">
        <f t="shared" si="4"/>
        <v>2019</v>
      </c>
      <c r="C55" s="112">
        <f t="shared" ca="1" si="5"/>
        <v>9198602</v>
      </c>
      <c r="D55" s="112">
        <f t="shared" ca="1" si="6"/>
        <v>16301942</v>
      </c>
      <c r="E55" s="112">
        <f t="shared" ca="1" si="11"/>
        <v>6476735.6681999993</v>
      </c>
      <c r="F55" s="112">
        <f ca="1">D55*'2017'!$C$9</f>
        <v>11483328.248073172</v>
      </c>
      <c r="G55" s="106">
        <f t="shared" ca="1" si="12"/>
        <v>0.22720388724045595</v>
      </c>
      <c r="H55" s="106">
        <f t="shared" ca="1" si="13"/>
        <v>0.44153397113841347</v>
      </c>
    </row>
    <row r="56" spans="1:8" x14ac:dyDescent="0.25">
      <c r="A56" s="111">
        <v>43435</v>
      </c>
      <c r="B56" s="110">
        <f t="shared" si="4"/>
        <v>2019</v>
      </c>
      <c r="C56" s="112">
        <f t="shared" ca="1" si="5"/>
        <v>10025393</v>
      </c>
      <c r="D56" s="112">
        <f t="shared" ca="1" si="6"/>
        <v>15431527</v>
      </c>
      <c r="E56" s="112">
        <f t="shared" ca="1" si="11"/>
        <v>7058879.2112999996</v>
      </c>
      <c r="F56" s="112">
        <f ca="1">D56*'2017'!$C$9</f>
        <v>10870195.091480747</v>
      </c>
      <c r="G56" s="106">
        <f t="shared" ca="1" si="12"/>
        <v>0.24762548273240395</v>
      </c>
      <c r="H56" s="106">
        <f t="shared" ca="1" si="13"/>
        <v>0.41795900126743479</v>
      </c>
    </row>
    <row r="57" spans="1:8" x14ac:dyDescent="0.25">
      <c r="A57" s="111">
        <v>43466</v>
      </c>
      <c r="B57" s="110">
        <f t="shared" si="4"/>
        <v>2019</v>
      </c>
      <c r="C57" s="112">
        <f t="shared" ca="1" si="5"/>
        <v>9382457</v>
      </c>
      <c r="D57" s="112">
        <f t="shared" ca="1" si="6"/>
        <v>15279136</v>
      </c>
      <c r="E57" s="112">
        <f t="shared" ca="1" si="11"/>
        <v>6606187.9737</v>
      </c>
      <c r="F57" s="112">
        <f ca="1">D57*'2017'!$C$9</f>
        <v>10762848.624719173</v>
      </c>
      <c r="G57" s="106">
        <f t="shared" ca="1" si="12"/>
        <v>0.231745074117396</v>
      </c>
      <c r="H57" s="106">
        <f t="shared" ca="1" si="13"/>
        <v>0.41383152962045222</v>
      </c>
    </row>
    <row r="58" spans="1:8" x14ac:dyDescent="0.25">
      <c r="A58" s="111">
        <v>43497</v>
      </c>
      <c r="B58" s="110">
        <f t="shared" si="4"/>
        <v>2019</v>
      </c>
      <c r="C58" s="112">
        <f t="shared" ca="1" si="5"/>
        <v>9237957</v>
      </c>
      <c r="D58" s="112">
        <f t="shared" ca="1" si="6"/>
        <v>14398005</v>
      </c>
      <c r="E58" s="112">
        <f t="shared" ca="1" si="11"/>
        <v>6504445.5236999998</v>
      </c>
      <c r="F58" s="112">
        <f ca="1">D58*'2017'!$C$9</f>
        <v>10142166.959764594</v>
      </c>
      <c r="G58" s="106">
        <f t="shared" ca="1" si="12"/>
        <v>0.22817594897139598</v>
      </c>
      <c r="H58" s="106">
        <f t="shared" ca="1" si="13"/>
        <v>0.38996631960294864</v>
      </c>
    </row>
    <row r="59" spans="1:8" x14ac:dyDescent="0.25">
      <c r="A59" s="111">
        <v>43525</v>
      </c>
      <c r="B59" s="110">
        <f t="shared" si="4"/>
        <v>2019</v>
      </c>
      <c r="C59" s="112">
        <f t="shared" ca="1" si="5"/>
        <v>9300430</v>
      </c>
      <c r="D59" s="112">
        <f t="shared" ca="1" si="6"/>
        <v>16787574</v>
      </c>
      <c r="E59" s="112">
        <f t="shared" ca="1" si="11"/>
        <v>6548432.7629999993</v>
      </c>
      <c r="F59" s="112">
        <f ca="1">D59*'2017'!$C$9</f>
        <v>11825414.587465636</v>
      </c>
      <c r="G59" s="106">
        <f t="shared" ca="1" si="12"/>
        <v>0.22971902132603997</v>
      </c>
      <c r="H59" s="106">
        <f t="shared" ca="1" si="13"/>
        <v>0.45468719088805376</v>
      </c>
    </row>
    <row r="60" spans="1:8" x14ac:dyDescent="0.25">
      <c r="A60" s="111">
        <v>43556</v>
      </c>
      <c r="B60" s="110">
        <f t="shared" si="4"/>
        <v>2019</v>
      </c>
      <c r="C60" s="112">
        <f t="shared" ca="1" si="5"/>
        <v>9226894</v>
      </c>
      <c r="D60" s="112">
        <f t="shared" ca="1" si="6"/>
        <v>14213379</v>
      </c>
      <c r="E60" s="112">
        <f t="shared" ca="1" si="11"/>
        <v>6496656.0653999997</v>
      </c>
      <c r="F60" s="112">
        <f ca="1">D60*'2017'!$C$9</f>
        <v>10012113.683834109</v>
      </c>
      <c r="G60" s="106">
        <f t="shared" ca="1" si="12"/>
        <v>0.22790269477423197</v>
      </c>
      <c r="H60" s="106">
        <f t="shared" ca="1" si="13"/>
        <v>0.38496577114342151</v>
      </c>
    </row>
    <row r="61" spans="1:8" x14ac:dyDescent="0.25">
      <c r="A61" s="111">
        <v>43586</v>
      </c>
      <c r="B61" s="110">
        <f t="shared" si="4"/>
        <v>2019</v>
      </c>
      <c r="C61" s="112">
        <f t="shared" ca="1" si="5"/>
        <v>9033713</v>
      </c>
      <c r="D61" s="112">
        <f t="shared" ca="1" si="6"/>
        <v>15922216</v>
      </c>
      <c r="E61" s="112">
        <f t="shared" ca="1" si="11"/>
        <v>6360637.3232999993</v>
      </c>
      <c r="F61" s="112">
        <f ca="1">D61*'2017'!$C$9</f>
        <v>11215843.656217316</v>
      </c>
      <c r="G61" s="106">
        <f t="shared" ca="1" si="12"/>
        <v>0.22313115730136399</v>
      </c>
      <c r="H61" s="106">
        <f t="shared" ca="1" si="13"/>
        <v>0.43124918858155586</v>
      </c>
    </row>
    <row r="62" spans="1:8" x14ac:dyDescent="0.25">
      <c r="A62" s="111">
        <v>43617</v>
      </c>
      <c r="B62" s="110">
        <f t="shared" si="4"/>
        <v>2019</v>
      </c>
      <c r="C62" s="112">
        <f t="shared" ca="1" si="5"/>
        <v>7957445</v>
      </c>
      <c r="D62" s="112">
        <f t="shared" ca="1" si="6"/>
        <v>13105048</v>
      </c>
      <c r="E62" s="112">
        <f t="shared" ca="1" si="11"/>
        <v>5602837.0244999994</v>
      </c>
      <c r="F62" s="112">
        <f ca="1">D62*'2017'!$C$9</f>
        <v>9231388.9897752553</v>
      </c>
      <c r="G62" s="106">
        <f t="shared" ca="1" si="12"/>
        <v>0.19654752281945997</v>
      </c>
      <c r="H62" s="106">
        <f t="shared" ca="1" si="13"/>
        <v>0.35494690665685863</v>
      </c>
    </row>
    <row r="63" spans="1:8" x14ac:dyDescent="0.25">
      <c r="A63" s="111">
        <v>43647</v>
      </c>
      <c r="B63" s="198">
        <f t="shared" si="4"/>
        <v>2020</v>
      </c>
      <c r="C63" s="197">
        <f t="shared" ca="1" si="5"/>
        <v>8364556.6300000008</v>
      </c>
      <c r="D63" s="197">
        <f t="shared" ca="1" si="6"/>
        <v>13724191.969999999</v>
      </c>
      <c r="E63" s="197">
        <f t="shared" ca="1" si="11"/>
        <v>5889484.3231830001</v>
      </c>
      <c r="F63" s="197">
        <f ca="1">D63*'2017'!$C$9</f>
        <v>9667523.1289057452</v>
      </c>
      <c r="G63" s="106">
        <f t="shared" ca="1" si="12"/>
        <v>0.20660311005725962</v>
      </c>
      <c r="H63" s="106">
        <f t="shared" ca="1" si="13"/>
        <v>0.3717162643064259</v>
      </c>
    </row>
    <row r="64" spans="1:8" x14ac:dyDescent="0.25">
      <c r="A64" s="111">
        <v>43678</v>
      </c>
      <c r="B64" s="198">
        <f t="shared" si="4"/>
        <v>2020</v>
      </c>
      <c r="C64" s="197">
        <f t="shared" ca="1" si="5"/>
        <v>8606582.629999999</v>
      </c>
      <c r="D64" s="197">
        <f t="shared" ca="1" si="6"/>
        <v>13392814.779999999</v>
      </c>
      <c r="E64" s="197">
        <f t="shared" ca="1" si="11"/>
        <v>6059894.8297829991</v>
      </c>
      <c r="F64" s="197">
        <f ca="1">D64*'2017'!$C$9</f>
        <v>9434096.1515128613</v>
      </c>
      <c r="G64" s="106">
        <f t="shared" ca="1" si="12"/>
        <v>0.2125811106287876</v>
      </c>
      <c r="H64" s="106">
        <f t="shared" ca="1" si="13"/>
        <v>0.36274099702566953</v>
      </c>
    </row>
    <row r="65" spans="1:8" x14ac:dyDescent="0.25">
      <c r="A65" s="111">
        <v>43709</v>
      </c>
      <c r="B65" s="198">
        <f t="shared" si="4"/>
        <v>2020</v>
      </c>
      <c r="C65" s="197">
        <f t="shared" ca="1" si="5"/>
        <v>8798115.6099999994</v>
      </c>
      <c r="D65" s="197">
        <f t="shared" ca="1" si="6"/>
        <v>14616515.01</v>
      </c>
      <c r="E65" s="197">
        <f t="shared" ca="1" si="11"/>
        <v>6194753.2010009987</v>
      </c>
      <c r="F65" s="197">
        <f ca="1">D65*'2017'!$C$9</f>
        <v>10296088.631815676</v>
      </c>
      <c r="G65" s="106">
        <f t="shared" ca="1" si="12"/>
        <v>0.21731194229111503</v>
      </c>
      <c r="H65" s="106">
        <f t="shared" ca="1" si="13"/>
        <v>0.39588460789331276</v>
      </c>
    </row>
    <row r="66" spans="1:8" x14ac:dyDescent="0.25">
      <c r="A66" s="111">
        <v>43739</v>
      </c>
      <c r="B66" s="198">
        <f t="shared" si="4"/>
        <v>2020</v>
      </c>
      <c r="C66" s="197">
        <f t="shared" ca="1" si="5"/>
        <v>8965891.3000000007</v>
      </c>
      <c r="D66" s="197">
        <f t="shared" ca="1" si="6"/>
        <v>15998877.6</v>
      </c>
      <c r="E66" s="197">
        <f t="shared" ca="1" si="11"/>
        <v>6312884.0643300004</v>
      </c>
      <c r="F66" s="197">
        <f ca="1">D66*'2017'!$C$9</f>
        <v>11269845.217308778</v>
      </c>
      <c r="G66" s="106">
        <f t="shared" ca="1" si="12"/>
        <v>0.22145597297669639</v>
      </c>
      <c r="H66" s="106">
        <f t="shared" ca="1" si="13"/>
        <v>0.43332554860552258</v>
      </c>
    </row>
    <row r="67" spans="1:8" x14ac:dyDescent="0.25">
      <c r="A67" s="111">
        <v>43770</v>
      </c>
      <c r="B67" s="198">
        <f t="shared" si="4"/>
        <v>2020</v>
      </c>
      <c r="C67" s="197">
        <f t="shared" ca="1" si="5"/>
        <v>9269983.8000000007</v>
      </c>
      <c r="D67" s="197">
        <f t="shared" ca="1" si="6"/>
        <v>16367212.709999999</v>
      </c>
      <c r="E67" s="197">
        <f t="shared" ca="1" si="11"/>
        <v>6526995.5935800001</v>
      </c>
      <c r="F67" s="197">
        <f ca="1">D67*'2017'!$C$9</f>
        <v>11529305.898338078</v>
      </c>
      <c r="G67" s="106">
        <f t="shared" ca="1" si="12"/>
        <v>0.22896700542278639</v>
      </c>
      <c r="H67" s="106">
        <f t="shared" ca="1" si="13"/>
        <v>0.44330181179109912</v>
      </c>
    </row>
    <row r="68" spans="1:8" x14ac:dyDescent="0.25">
      <c r="A68" s="111">
        <v>43800</v>
      </c>
      <c r="B68" s="198">
        <f t="shared" ref="B68:B74" si="14">IF(MONTH(A68)&gt;6,YEAR(A68)+1,YEAR(A68))</f>
        <v>2020</v>
      </c>
      <c r="C68" s="197">
        <f t="shared" ref="C68:C74" ca="1" si="15">INDEX(INDIRECT("'"&amp;$B68&amp;"'!$D$27:$AY$27"),IF(((MONTH($A68))&gt;6),(MONTH($A68)-7)*4+1,(MONTH($A68)+5)*4+1))</f>
        <v>9895138.4100000001</v>
      </c>
      <c r="D68" s="197">
        <f t="shared" ref="D68:D74" ca="1" si="16">INDEX(INDIRECT("'"&amp;$B68&amp;"'!$D$27:$AY$27"),IF(((MONTH($A68))&gt;6),(MONTH($A68)-7)*4+3,(MONTH($A68)+5)*4+3))</f>
        <v>15517011.98</v>
      </c>
      <c r="E68" s="197">
        <f t="shared" ca="1" si="11"/>
        <v>6967166.9544809991</v>
      </c>
      <c r="F68" s="197">
        <f ca="1">D68*'2017'!$C$9</f>
        <v>10930411.971507678</v>
      </c>
      <c r="G68" s="106">
        <f t="shared" ca="1" si="12"/>
        <v>0.24440821676319344</v>
      </c>
      <c r="H68" s="106">
        <f t="shared" ca="1" si="13"/>
        <v>0.42027434030447025</v>
      </c>
    </row>
    <row r="69" spans="1:8" x14ac:dyDescent="0.25">
      <c r="A69" s="111">
        <v>43831</v>
      </c>
      <c r="B69" s="198">
        <f t="shared" si="14"/>
        <v>2020</v>
      </c>
      <c r="C69" s="197">
        <f t="shared" ca="1" si="15"/>
        <v>9438238.5199999996</v>
      </c>
      <c r="D69" s="197">
        <f t="shared" ca="1" si="16"/>
        <v>14917324.200000001</v>
      </c>
      <c r="E69" s="197">
        <f t="shared" ca="1" si="11"/>
        <v>6645463.7419319991</v>
      </c>
      <c r="F69" s="197">
        <f ca="1">D69*'2017'!$C$9</f>
        <v>10507983.059412524</v>
      </c>
      <c r="G69" s="106">
        <f t="shared" ca="1" si="12"/>
        <v>0.23312286806697452</v>
      </c>
      <c r="H69" s="106">
        <f t="shared" ca="1" si="13"/>
        <v>0.40403194863441155</v>
      </c>
    </row>
    <row r="70" spans="1:8" x14ac:dyDescent="0.25">
      <c r="A70" s="111">
        <v>43862</v>
      </c>
      <c r="B70" s="198">
        <f t="shared" si="14"/>
        <v>2020</v>
      </c>
      <c r="C70" s="197">
        <f t="shared" ca="1" si="15"/>
        <v>8845877.4600000009</v>
      </c>
      <c r="D70" s="197">
        <f t="shared" ca="1" si="16"/>
        <v>15409000.760000002</v>
      </c>
      <c r="E70" s="197">
        <f t="shared" ca="1" si="11"/>
        <v>6228382.3195860004</v>
      </c>
      <c r="F70" s="197">
        <f ca="1">D70*'2017'!$C$9</f>
        <v>10854327.275970494</v>
      </c>
      <c r="G70" s="106">
        <f t="shared" ca="1" si="12"/>
        <v>0.21849165177107688</v>
      </c>
      <c r="H70" s="106">
        <f t="shared" ca="1" si="13"/>
        <v>0.41734888376106555</v>
      </c>
    </row>
    <row r="71" spans="1:8" x14ac:dyDescent="0.25">
      <c r="A71" s="111">
        <v>43891</v>
      </c>
      <c r="B71" s="198">
        <f t="shared" si="14"/>
        <v>2020</v>
      </c>
      <c r="C71" s="197">
        <f t="shared" ca="1" si="15"/>
        <v>8354018.04</v>
      </c>
      <c r="D71" s="197">
        <f t="shared" ca="1" si="16"/>
        <v>14477462.91</v>
      </c>
      <c r="E71" s="197">
        <f t="shared" ca="1" si="11"/>
        <v>5882064.1019639997</v>
      </c>
      <c r="F71" s="197">
        <f ca="1">D71*'2017'!$C$9</f>
        <v>10198138.282839837</v>
      </c>
      <c r="G71" s="106">
        <f t="shared" ca="1" si="12"/>
        <v>0.20634280869689708</v>
      </c>
      <c r="H71" s="106">
        <f t="shared" ca="1" si="13"/>
        <v>0.39211841697519179</v>
      </c>
    </row>
    <row r="72" spans="1:8" x14ac:dyDescent="0.25">
      <c r="A72" s="111">
        <v>43922</v>
      </c>
      <c r="B72" s="198">
        <f t="shared" si="14"/>
        <v>2020</v>
      </c>
      <c r="C72" s="197">
        <f t="shared" ca="1" si="15"/>
        <v>2149143.33</v>
      </c>
      <c r="D72" s="197">
        <f t="shared" ca="1" si="16"/>
        <v>7144883.4100000001</v>
      </c>
      <c r="E72" s="197">
        <f t="shared" ca="1" si="11"/>
        <v>1513211.8186530001</v>
      </c>
      <c r="F72" s="197">
        <f ca="1">D72*'2017'!$C$9</f>
        <v>5032961.1951289224</v>
      </c>
      <c r="G72" s="106">
        <f t="shared" ca="1" si="12"/>
        <v>5.308347059834724E-2</v>
      </c>
      <c r="H72" s="106">
        <f t="shared" ca="1" si="13"/>
        <v>0.19351735795270708</v>
      </c>
    </row>
    <row r="73" spans="1:8" x14ac:dyDescent="0.25">
      <c r="A73" s="111">
        <v>43952</v>
      </c>
      <c r="B73" s="198">
        <f t="shared" si="14"/>
        <v>2020</v>
      </c>
      <c r="C73" s="197">
        <f t="shared" ca="1" si="15"/>
        <v>6646351.2999999998</v>
      </c>
      <c r="D73" s="197">
        <f t="shared" ca="1" si="16"/>
        <v>14088939.98</v>
      </c>
      <c r="E73" s="197">
        <f t="shared" ca="1" si="11"/>
        <v>4679695.9503299994</v>
      </c>
      <c r="F73" s="197">
        <f ca="1">D73*'2017'!$C$9</f>
        <v>9924457.0038184077</v>
      </c>
      <c r="G73" s="106">
        <f t="shared" ca="1" si="12"/>
        <v>0.16416373393757638</v>
      </c>
      <c r="H73" s="106">
        <f t="shared" ca="1" si="13"/>
        <v>0.38159537179681779</v>
      </c>
    </row>
    <row r="74" spans="1:8" x14ac:dyDescent="0.25">
      <c r="A74" s="111">
        <v>43983</v>
      </c>
      <c r="B74" s="198">
        <f t="shared" si="14"/>
        <v>2020</v>
      </c>
      <c r="C74" s="197">
        <f t="shared" ca="1" si="15"/>
        <v>8164878.3200000003</v>
      </c>
      <c r="D74" s="197">
        <f t="shared" ca="1" si="16"/>
        <v>14127726.789999999</v>
      </c>
      <c r="E74" s="197">
        <f t="shared" ca="1" si="11"/>
        <v>5748890.8251120001</v>
      </c>
      <c r="F74" s="197">
        <f ca="1">D74*'2017'!$C$9</f>
        <v>9951779.0045300797</v>
      </c>
      <c r="G74" s="106">
        <f t="shared" ca="1" si="12"/>
        <v>0.20167109014492896</v>
      </c>
      <c r="H74" s="106">
        <f t="shared" ca="1" si="13"/>
        <v>0.38264590272418159</v>
      </c>
    </row>
    <row r="75" spans="1:8" x14ac:dyDescent="0.25">
      <c r="A75" s="111"/>
      <c r="B75" s="198"/>
      <c r="C75" s="197"/>
    </row>
    <row r="76" spans="1:8" x14ac:dyDescent="0.25">
      <c r="A76" s="111"/>
      <c r="B76" s="198"/>
      <c r="C76" s="197"/>
    </row>
    <row r="77" spans="1:8" x14ac:dyDescent="0.25">
      <c r="A77" s="111"/>
      <c r="B77" s="198"/>
    </row>
    <row r="78" spans="1:8" x14ac:dyDescent="0.25">
      <c r="A78" s="111"/>
      <c r="B78" s="198"/>
    </row>
  </sheetData>
  <mergeCells count="4">
    <mergeCell ref="C1:D1"/>
    <mergeCell ref="E1:F1"/>
    <mergeCell ref="G1:I1"/>
    <mergeCell ref="B1:B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workbookViewId="0">
      <selection activeCell="J54" sqref="J54"/>
    </sheetView>
  </sheetViews>
  <sheetFormatPr defaultColWidth="9.140625" defaultRowHeight="15" x14ac:dyDescent="0.25"/>
  <cols>
    <col min="1" max="1" width="12.28515625" style="183" bestFit="1" customWidth="1"/>
    <col min="2" max="2" width="4.42578125" style="183" bestFit="1" customWidth="1"/>
    <col min="3" max="7" width="12.42578125" style="183" bestFit="1" customWidth="1"/>
    <col min="8" max="11" width="12.42578125" style="183" customWidth="1"/>
    <col min="12" max="12" width="9.85546875" style="183" customWidth="1"/>
    <col min="13" max="16384" width="9.140625" style="183"/>
  </cols>
  <sheetData>
    <row r="1" spans="1:11" ht="23.25" x14ac:dyDescent="0.25">
      <c r="A1" s="182" t="s">
        <v>37</v>
      </c>
      <c r="B1" s="182"/>
      <c r="C1" s="244" t="s">
        <v>39</v>
      </c>
      <c r="D1" s="244"/>
      <c r="E1" s="244"/>
      <c r="F1" s="244"/>
      <c r="G1" s="244"/>
      <c r="H1" s="199"/>
      <c r="I1" s="199"/>
      <c r="J1" s="199"/>
      <c r="K1" s="199"/>
    </row>
    <row r="2" spans="1:11" s="184" customFormat="1" x14ac:dyDescent="0.25">
      <c r="C2" s="184">
        <v>2015</v>
      </c>
      <c r="D2" s="184">
        <v>2016</v>
      </c>
      <c r="E2" s="184">
        <v>2017</v>
      </c>
      <c r="F2" s="184">
        <v>2018</v>
      </c>
      <c r="G2" s="184">
        <v>2019</v>
      </c>
      <c r="H2" s="184">
        <v>2020</v>
      </c>
    </row>
    <row r="3" spans="1:11" x14ac:dyDescent="0.25">
      <c r="A3" s="183" t="s">
        <v>5</v>
      </c>
      <c r="B3" s="183">
        <v>7</v>
      </c>
      <c r="C3" s="183">
        <f ca="1">VLOOKUP(DATE(IF($B3&gt;6,C$2-1,C$2),$B3,1),Summary!$A:$H,5,FALSE)</f>
        <v>5610641.5427061282</v>
      </c>
      <c r="D3" s="183">
        <f ca="1">VLOOKUP(DATE(IF($B3&gt;6,D$2-1,D$2),$B3,1),Summary!$A:$H,5,FALSE)</f>
        <v>5544497.0630172724</v>
      </c>
      <c r="E3" s="183">
        <f ca="1">VLOOKUP(DATE(IF($B3&gt;6,E$2-1,E$2),$B3,1),Summary!$A:$H,5,FALSE)</f>
        <v>6184077.9113999996</v>
      </c>
      <c r="F3" s="183">
        <f ca="1">VLOOKUP(DATE(IF($B3&gt;6,F$2-1,F$2),$B3,1),Summary!$A:$H,5,FALSE)</f>
        <v>5799777.1319340002</v>
      </c>
      <c r="G3" s="183">
        <f ca="1">VLOOKUP(DATE(IF($B3&gt;6,G$2-1,G$2),$B3,1),Summary!$A:$H,5,FALSE)</f>
        <v>6079678.4344350006</v>
      </c>
      <c r="H3" s="183">
        <f ca="1">VLOOKUP(DATE(IF($B3&gt;6,H$2-1,H$2),$B3,1),Summary!$A:$H,5,FALSE)</f>
        <v>5889484.3231830001</v>
      </c>
    </row>
    <row r="4" spans="1:11" x14ac:dyDescent="0.25">
      <c r="A4" s="183" t="s">
        <v>26</v>
      </c>
      <c r="B4" s="183">
        <v>8</v>
      </c>
      <c r="C4" s="183">
        <f ca="1">VLOOKUP(DATE(IF($B4&gt;6,C$2-1,C$2),$B4,1),Summary!$A:$H,5,FALSE)</f>
        <v>5700739.6089386111</v>
      </c>
      <c r="D4" s="183">
        <f ca="1">VLOOKUP(DATE(IF($B4&gt;6,D$2-1,D$2),$B4,1),Summary!$A:$H,5,FALSE)</f>
        <v>5497343.9677923629</v>
      </c>
      <c r="E4" s="183">
        <f ca="1">VLOOKUP(DATE(IF($B4&gt;6,E$2-1,E$2),$B4,1),Summary!$A:$H,5,FALSE)</f>
        <v>5950338.5384999998</v>
      </c>
      <c r="F4" s="183">
        <f ca="1">VLOOKUP(DATE(IF($B4&gt;6,F$2-1,F$2),$B4,1),Summary!$A:$H,5,FALSE)</f>
        <v>7077167.8567499993</v>
      </c>
      <c r="G4" s="183">
        <f ca="1">VLOOKUP(DATE(IF($B4&gt;6,G$2-1,G$2),$B4,1),Summary!$A:$H,5,FALSE)</f>
        <v>6286819.8735959986</v>
      </c>
      <c r="H4" s="183">
        <f ca="1">VLOOKUP(DATE(IF($B4&gt;6,H$2-1,H$2),$B4,1),Summary!$A:$H,5,FALSE)</f>
        <v>6059894.8297829991</v>
      </c>
    </row>
    <row r="5" spans="1:11" x14ac:dyDescent="0.25">
      <c r="A5" s="183" t="s">
        <v>27</v>
      </c>
      <c r="B5" s="183">
        <v>9</v>
      </c>
      <c r="C5" s="183">
        <f ca="1">VLOOKUP(DATE(IF($B5&gt;6,C$2-1,C$2),$B5,1),Summary!$A:$H,5,FALSE)</f>
        <v>4877209.8695152774</v>
      </c>
      <c r="D5" s="183">
        <f ca="1">VLOOKUP(DATE(IF($B5&gt;6,D$2-1,D$2),$B5,1),Summary!$A:$H,5,FALSE)</f>
        <v>5757994.032664272</v>
      </c>
      <c r="E5" s="183">
        <f ca="1">VLOOKUP(DATE(IF($B5&gt;6,E$2-1,E$2),$B5,1),Summary!$A:$H,5,FALSE)</f>
        <v>6503403.3219210003</v>
      </c>
      <c r="F5" s="183">
        <f ca="1">VLOOKUP(DATE(IF($B5&gt;6,F$2-1,F$2),$B5,1),Summary!$A:$H,5,FALSE)</f>
        <v>6102254.126513999</v>
      </c>
      <c r="G5" s="183">
        <f ca="1">VLOOKUP(DATE(IF($B5&gt;6,G$2-1,G$2),$B5,1),Summary!$A:$H,5,FALSE)</f>
        <v>6231718.5143699991</v>
      </c>
      <c r="H5" s="183">
        <f ca="1">VLOOKUP(DATE(IF($B5&gt;6,H$2-1,H$2),$B5,1),Summary!$A:$H,5,FALSE)</f>
        <v>6194753.2010009987</v>
      </c>
    </row>
    <row r="6" spans="1:11" x14ac:dyDescent="0.25">
      <c r="A6" s="183" t="s">
        <v>28</v>
      </c>
      <c r="B6" s="183">
        <v>10</v>
      </c>
      <c r="C6" s="183">
        <f ca="1">VLOOKUP(DATE(IF($B6&gt;6,C$2-1,C$2),$B6,1),Summary!$A:$H,5,FALSE)</f>
        <v>6223225.8767538378</v>
      </c>
      <c r="D6" s="183">
        <f ca="1">VLOOKUP(DATE(IF($B6&gt;6,D$2-1,D$2),$B6,1),Summary!$A:$H,5,FALSE)</f>
        <v>6467628.0041214544</v>
      </c>
      <c r="E6" s="183">
        <f ca="1">VLOOKUP(DATE(IF($B6&gt;6,E$2-1,E$2),$B6,1),Summary!$A:$H,5,FALSE)</f>
        <v>5690018.0387279997</v>
      </c>
      <c r="F6" s="183">
        <f ca="1">VLOOKUP(DATE(IF($B6&gt;6,F$2-1,F$2),$B6,1),Summary!$A:$H,5,FALSE)</f>
        <v>6768410.6844659997</v>
      </c>
      <c r="G6" s="183">
        <f ca="1">VLOOKUP(DATE(IF($B6&gt;6,G$2-1,G$2),$B6,1),Summary!$A:$H,5,FALSE)</f>
        <v>6554626.6814129995</v>
      </c>
      <c r="H6" s="183">
        <f ca="1">VLOOKUP(DATE(IF($B6&gt;6,H$2-1,H$2),$B6,1),Summary!$A:$H,5,FALSE)</f>
        <v>6312884.0643300004</v>
      </c>
    </row>
    <row r="7" spans="1:11" x14ac:dyDescent="0.25">
      <c r="A7" s="183" t="s">
        <v>29</v>
      </c>
      <c r="B7" s="183">
        <v>11</v>
      </c>
      <c r="C7" s="183">
        <f ca="1">VLOOKUP(DATE(IF($B7&gt;6,C$2-1,C$2),$B7,1),Summary!$A:$H,5,FALSE)</f>
        <v>6011594.5543843769</v>
      </c>
      <c r="D7" s="183">
        <f ca="1">VLOOKUP(DATE(IF($B7&gt;6,D$2-1,D$2),$B7,1),Summary!$A:$H,5,FALSE)</f>
        <v>6484300.983306</v>
      </c>
      <c r="E7" s="183">
        <f ca="1">VLOOKUP(DATE(IF($B7&gt;6,E$2-1,E$2),$B7,1),Summary!$A:$H,5,FALSE)</f>
        <v>5865678.3853379991</v>
      </c>
      <c r="F7" s="183">
        <f ca="1">VLOOKUP(DATE(IF($B7&gt;6,F$2-1,F$2),$B7,1),Summary!$A:$H,5,FALSE)</f>
        <v>6637328.7606389988</v>
      </c>
      <c r="G7" s="183">
        <f ca="1">VLOOKUP(DATE(IF($B7&gt;6,G$2-1,G$2),$B7,1),Summary!$A:$H,5,FALSE)</f>
        <v>6476735.6681999993</v>
      </c>
      <c r="H7" s="183">
        <f ca="1">VLOOKUP(DATE(IF($B7&gt;6,H$2-1,H$2),$B7,1),Summary!$A:$H,5,FALSE)</f>
        <v>6526995.5935800001</v>
      </c>
    </row>
    <row r="8" spans="1:11" x14ac:dyDescent="0.25">
      <c r="A8" s="183" t="s">
        <v>30</v>
      </c>
      <c r="B8" s="183">
        <v>12</v>
      </c>
      <c r="C8" s="183">
        <f ca="1">VLOOKUP(DATE(IF($B8&gt;6,C$2-1,C$2),$B8,1),Summary!$A:$H,5,FALSE)</f>
        <v>6665164.0345682986</v>
      </c>
      <c r="D8" s="183">
        <f ca="1">VLOOKUP(DATE(IF($B8&gt;6,D$2-1,D$2),$B8,1),Summary!$A:$H,5,FALSE)</f>
        <v>6689691.7616689084</v>
      </c>
      <c r="E8" s="183">
        <f ca="1">VLOOKUP(DATE(IF($B8&gt;6,E$2-1,E$2),$B8,1),Summary!$A:$H,5,FALSE)</f>
        <v>7324505.6748930002</v>
      </c>
      <c r="F8" s="183">
        <f ca="1">VLOOKUP(DATE(IF($B8&gt;6,F$2-1,F$2),$B8,1),Summary!$A:$H,5,FALSE)</f>
        <v>7294137.708114</v>
      </c>
      <c r="G8" s="183">
        <f ca="1">VLOOKUP(DATE(IF($B8&gt;6,G$2-1,G$2),$B8,1),Summary!$A:$H,5,FALSE)</f>
        <v>7058879.2112999996</v>
      </c>
      <c r="H8" s="183">
        <f ca="1">VLOOKUP(DATE(IF($B8&gt;6,H$2-1,H$2),$B8,1),Summary!$A:$H,5,FALSE)</f>
        <v>6967166.9544809991</v>
      </c>
    </row>
    <row r="9" spans="1:11" x14ac:dyDescent="0.25">
      <c r="A9" s="183" t="s">
        <v>31</v>
      </c>
      <c r="B9" s="183">
        <v>1</v>
      </c>
      <c r="C9" s="183">
        <f ca="1">VLOOKUP(DATE(IF($B9&gt;6,C$2-1,C$2),$B9,1),Summary!$A:$H,5,FALSE)</f>
        <v>5995498.893745454</v>
      </c>
      <c r="D9" s="183">
        <f ca="1">VLOOKUP(DATE(IF($B9&gt;6,D$2-1,D$2),$B9,1),Summary!$A:$H,5,FALSE)</f>
        <v>5380071.1121888179</v>
      </c>
      <c r="E9" s="183">
        <f ca="1">VLOOKUP(DATE(IF($B9&gt;6,E$2-1,E$2),$B9,1),Summary!$A:$H,5,FALSE)</f>
        <v>6083094.1573140007</v>
      </c>
      <c r="F9" s="183">
        <f ca="1">VLOOKUP(DATE(IF($B9&gt;6,F$2-1,F$2),$B9,1),Summary!$A:$H,5,FALSE)</f>
        <v>6819866.5589009989</v>
      </c>
      <c r="G9" s="183">
        <f ca="1">VLOOKUP(DATE(IF($B9&gt;6,G$2-1,G$2),$B9,1),Summary!$A:$H,5,FALSE)</f>
        <v>6606187.9737</v>
      </c>
      <c r="H9" s="183">
        <f ca="1">VLOOKUP(DATE(IF($B9&gt;6,H$2-1,H$2),$B9,1),Summary!$A:$H,5,FALSE)</f>
        <v>6645463.7419319991</v>
      </c>
    </row>
    <row r="10" spans="1:11" x14ac:dyDescent="0.25">
      <c r="A10" s="183" t="s">
        <v>32</v>
      </c>
      <c r="B10" s="183">
        <v>2</v>
      </c>
      <c r="C10" s="183">
        <f ca="1">VLOOKUP(DATE(IF($B10&gt;6,C$2-1,C$2),$B10,1),Summary!$A:$H,5,FALSE)</f>
        <v>5970823.5812272727</v>
      </c>
      <c r="D10" s="183">
        <f ca="1">VLOOKUP(DATE(IF($B10&gt;6,D$2-1,D$2),$B10,1),Summary!$A:$H,5,FALSE)</f>
        <v>6869005.1768669998</v>
      </c>
      <c r="E10" s="183">
        <f ca="1">VLOOKUP(DATE(IF($B10&gt;6,E$2-1,E$2),$B10,1),Summary!$A:$H,5,FALSE)</f>
        <v>6591906.4035959998</v>
      </c>
      <c r="F10" s="183">
        <f ca="1">VLOOKUP(DATE(IF($B10&gt;6,F$2-1,F$2),$B10,1),Summary!$A:$H,5,FALSE)</f>
        <v>6610292.6161829988</v>
      </c>
      <c r="G10" s="183">
        <f ca="1">VLOOKUP(DATE(IF($B10&gt;6,G$2-1,G$2),$B10,1),Summary!$A:$H,5,FALSE)</f>
        <v>6504445.5236999998</v>
      </c>
      <c r="H10" s="183">
        <f ca="1">VLOOKUP(DATE(IF($B10&gt;6,H$2-1,H$2),$B10,1),Summary!$A:$H,5,FALSE)</f>
        <v>6228382.3195860004</v>
      </c>
    </row>
    <row r="11" spans="1:11" x14ac:dyDescent="0.25">
      <c r="A11" s="183" t="s">
        <v>33</v>
      </c>
      <c r="B11" s="183">
        <v>3</v>
      </c>
      <c r="C11" s="183">
        <f ca="1">VLOOKUP(DATE(IF($B11&gt;6,C$2-1,C$2),$B11,1),Summary!$A:$H,5,FALSE)</f>
        <v>6630749.4353818176</v>
      </c>
      <c r="D11" s="183">
        <f ca="1">VLOOKUP(DATE(IF($B11&gt;6,D$2-1,D$2),$B11,1),Summary!$A:$H,5,FALSE)</f>
        <v>7050296.2322999993</v>
      </c>
      <c r="E11" s="183">
        <f ca="1">VLOOKUP(DATE(IF($B11&gt;6,E$2-1,E$2),$B11,1),Summary!$A:$H,5,FALSE)</f>
        <v>6426700.2310229987</v>
      </c>
      <c r="F11" s="183">
        <f ca="1">VLOOKUP(DATE(IF($B11&gt;6,F$2-1,F$2),$B11,1),Summary!$A:$H,5,FALSE)</f>
        <v>7320276.4912019996</v>
      </c>
      <c r="G11" s="183">
        <f ca="1">VLOOKUP(DATE(IF($B11&gt;6,G$2-1,G$2),$B11,1),Summary!$A:$H,5,FALSE)</f>
        <v>6548432.7629999993</v>
      </c>
      <c r="H11" s="183">
        <f ca="1">VLOOKUP(DATE(IF($B11&gt;6,H$2-1,H$2),$B11,1),Summary!$A:$H,5,FALSE)</f>
        <v>5882064.1019639997</v>
      </c>
    </row>
    <row r="12" spans="1:11" x14ac:dyDescent="0.25">
      <c r="A12" s="183" t="s">
        <v>34</v>
      </c>
      <c r="B12" s="183">
        <v>4</v>
      </c>
      <c r="C12" s="183">
        <f ca="1">VLOOKUP(DATE(IF($B12&gt;6,C$2-1,C$2),$B12,1),Summary!$A:$H,5,FALSE)</f>
        <v>5952088.3123454545</v>
      </c>
      <c r="D12" s="183">
        <f ca="1">VLOOKUP(DATE(IF($B12&gt;6,D$2-1,D$2),$B12,1),Summary!$A:$H,5,FALSE)</f>
        <v>5631945.7094958173</v>
      </c>
      <c r="E12" s="183">
        <f ca="1">VLOOKUP(DATE(IF($B12&gt;6,E$2-1,E$2),$B12,1),Summary!$A:$H,5,FALSE)</f>
        <v>6407193.6545159994</v>
      </c>
      <c r="F12" s="183">
        <f ca="1">VLOOKUP(DATE(IF($B12&gt;6,F$2-1,F$2),$B12,1),Summary!$A:$H,5,FALSE)</f>
        <v>5925194.8669830002</v>
      </c>
      <c r="G12" s="183">
        <f ca="1">VLOOKUP(DATE(IF($B12&gt;6,G$2-1,G$2),$B12,1),Summary!$A:$H,5,FALSE)</f>
        <v>6496656.0653999997</v>
      </c>
      <c r="H12" s="183">
        <f ca="1">VLOOKUP(DATE(IF($B12&gt;6,H$2-1,H$2),$B12,1),Summary!$A:$H,5,FALSE)</f>
        <v>1513211.8186530001</v>
      </c>
    </row>
    <row r="13" spans="1:11" x14ac:dyDescent="0.25">
      <c r="A13" s="183" t="s">
        <v>35</v>
      </c>
      <c r="B13" s="183">
        <v>5</v>
      </c>
      <c r="C13" s="183">
        <f ca="1">VLOOKUP(DATE(IF($B13&gt;6,C$2-1,C$2),$B13,1),Summary!$A:$H,5,FALSE)</f>
        <v>5663856.3574545449</v>
      </c>
      <c r="D13" s="183">
        <f ca="1">VLOOKUP(DATE(IF($B13&gt;6,D$2-1,D$2),$B13,1),Summary!$A:$H,5,FALSE)</f>
        <v>6294742.7165999999</v>
      </c>
      <c r="E13" s="183">
        <f ca="1">VLOOKUP(DATE(IF($B13&gt;6,E$2-1,E$2),$B13,1),Summary!$A:$H,5,FALSE)</f>
        <v>6442741.2062069988</v>
      </c>
      <c r="F13" s="183">
        <f ca="1">VLOOKUP(DATE(IF($B13&gt;6,F$2-1,F$2),$B13,1),Summary!$A:$H,5,FALSE)</f>
        <v>6378630.2960369997</v>
      </c>
      <c r="G13" s="183">
        <f ca="1">VLOOKUP(DATE(IF($B13&gt;6,G$2-1,G$2),$B13,1),Summary!$A:$H,5,FALSE)</f>
        <v>6360637.3232999993</v>
      </c>
      <c r="H13" s="183">
        <f ca="1">VLOOKUP(DATE(IF($B13&gt;6,H$2-1,H$2),$B13,1),Summary!$A:$H,5,FALSE)</f>
        <v>4679695.9503299994</v>
      </c>
    </row>
    <row r="14" spans="1:11" x14ac:dyDescent="0.25">
      <c r="A14" s="183" t="s">
        <v>36</v>
      </c>
      <c r="B14" s="183">
        <v>6</v>
      </c>
      <c r="C14" s="183">
        <f ca="1">VLOOKUP(DATE(IF($B14&gt;6,C$2-1,C$2),$B14,1),Summary!$A:$H,5,FALSE)</f>
        <v>5473374.0081454543</v>
      </c>
      <c r="D14" s="183">
        <f ca="1">VLOOKUP(DATE(IF($B14&gt;6,D$2-1,D$2),$B14,1),Summary!$A:$H,5,FALSE)</f>
        <v>6091331.0289179999</v>
      </c>
      <c r="E14" s="183">
        <f ca="1">VLOOKUP(DATE(IF($B14&gt;6,E$2-1,E$2),$B14,1),Summary!$A:$H,5,FALSE)</f>
        <v>6146058.2998139989</v>
      </c>
      <c r="F14" s="183">
        <f ca="1">VLOOKUP(DATE(IF($B14&gt;6,F$2-1,F$2),$B14,1),Summary!$A:$H,5,FALSE)</f>
        <v>5872377.7419359991</v>
      </c>
      <c r="G14" s="183">
        <f ca="1">VLOOKUP(DATE(IF($B14&gt;6,G$2-1,G$2),$B14,1),Summary!$A:$H,5,FALSE)</f>
        <v>5602837.0244999994</v>
      </c>
      <c r="H14" s="183">
        <f ca="1">VLOOKUP(DATE(IF($B14&gt;6,H$2-1,H$2),$B14,1),Summary!$A:$H,5,FALSE)</f>
        <v>5748890.8251120001</v>
      </c>
    </row>
    <row r="16" spans="1:11" x14ac:dyDescent="0.25">
      <c r="A16" s="183" t="s">
        <v>51</v>
      </c>
      <c r="C16" s="183">
        <f ca="1">SUM(C3:C14)</f>
        <v>70774966.075166523</v>
      </c>
      <c r="D16" s="183">
        <f t="shared" ref="D16:E16" ca="1" si="0">SUM(D3:D14)</f>
        <v>73758847.788939893</v>
      </c>
      <c r="E16" s="183">
        <f t="shared" ca="1" si="0"/>
        <v>75615715.823249996</v>
      </c>
      <c r="F16" s="183">
        <f t="shared" ref="F16:H16" ca="1" si="1">SUM(F3:F14)</f>
        <v>78605714.839658991</v>
      </c>
      <c r="G16" s="183">
        <f t="shared" ca="1" si="1"/>
        <v>76807655.056913987</v>
      </c>
      <c r="H16" s="183">
        <f t="shared" ca="1" si="1"/>
        <v>68648887.723934993</v>
      </c>
    </row>
    <row r="17" spans="1:11" x14ac:dyDescent="0.25">
      <c r="A17" s="183" t="s">
        <v>63</v>
      </c>
      <c r="C17" s="183">
        <f ca="1">MAX(C3:C14)</f>
        <v>6665164.0345682986</v>
      </c>
      <c r="D17" s="183">
        <f t="shared" ref="D17:E17" ca="1" si="2">MAX(D3:D14)</f>
        <v>7050296.2322999993</v>
      </c>
      <c r="E17" s="183">
        <f t="shared" ca="1" si="2"/>
        <v>7324505.6748930002</v>
      </c>
      <c r="F17" s="183">
        <f t="shared" ref="F17:H17" ca="1" si="3">MAX(F3:F14)</f>
        <v>7320276.4912019996</v>
      </c>
      <c r="G17" s="183">
        <f t="shared" ca="1" si="3"/>
        <v>7058879.2112999996</v>
      </c>
      <c r="H17" s="183">
        <f t="shared" ca="1" si="3"/>
        <v>6967166.9544809991</v>
      </c>
    </row>
    <row r="18" spans="1:11" x14ac:dyDescent="0.25">
      <c r="A18" s="183" t="s">
        <v>62</v>
      </c>
      <c r="C18" s="183">
        <f ca="1">MIN(C3:C14)</f>
        <v>4877209.8695152774</v>
      </c>
      <c r="D18" s="183">
        <f t="shared" ref="D18:E18" ca="1" si="4">MIN(D3:D14)</f>
        <v>5380071.1121888179</v>
      </c>
      <c r="E18" s="183">
        <f t="shared" ca="1" si="4"/>
        <v>5690018.0387279997</v>
      </c>
      <c r="F18" s="183">
        <f t="shared" ref="F18:H18" ca="1" si="5">MIN(F3:F14)</f>
        <v>5799777.1319340002</v>
      </c>
      <c r="G18" s="183">
        <f t="shared" ca="1" si="5"/>
        <v>5602837.0244999994</v>
      </c>
      <c r="H18" s="183">
        <f t="shared" ca="1" si="5"/>
        <v>1513211.8186530001</v>
      </c>
    </row>
    <row r="20" spans="1:11" ht="23.25" x14ac:dyDescent="0.25">
      <c r="A20" s="182" t="s">
        <v>38</v>
      </c>
      <c r="B20" s="182"/>
      <c r="C20" s="244" t="s">
        <v>39</v>
      </c>
      <c r="D20" s="244"/>
      <c r="E20" s="244"/>
      <c r="F20" s="244"/>
      <c r="G20" s="244"/>
      <c r="H20" s="199"/>
      <c r="I20" s="199"/>
      <c r="J20" s="199"/>
      <c r="K20" s="199"/>
    </row>
    <row r="21" spans="1:11" s="184" customFormat="1" x14ac:dyDescent="0.25">
      <c r="C21" s="184">
        <v>2015</v>
      </c>
      <c r="D21" s="184">
        <v>2016</v>
      </c>
      <c r="E21" s="184">
        <v>2017</v>
      </c>
      <c r="F21" s="184">
        <v>2018</v>
      </c>
      <c r="G21" s="184">
        <v>2019</v>
      </c>
      <c r="H21" s="184">
        <v>2020</v>
      </c>
    </row>
    <row r="22" spans="1:11" x14ac:dyDescent="0.25">
      <c r="A22" s="183" t="s">
        <v>5</v>
      </c>
      <c r="B22" s="183">
        <v>7</v>
      </c>
      <c r="C22" s="183">
        <f ca="1">VLOOKUP(DATE(IF($B22&gt;6,C$21-1,C$21),$B22,1),Summary!$A:$H,6,FALSE)</f>
        <v>7284116.7947344882</v>
      </c>
      <c r="D22" s="183">
        <f ca="1">VLOOKUP(DATE(IF($B22&gt;6,D$21-1,D$21),$B22,1),Summary!$A:$H,6,FALSE)</f>
        <v>8208159.5921941819</v>
      </c>
      <c r="E22" s="183">
        <f ca="1">VLOOKUP(DATE(IF($B22&gt;6,E$21-1,E$21),$B22,1),Summary!$A:$H,6,FALSE)</f>
        <v>7704275.7698856117</v>
      </c>
      <c r="F22" s="183">
        <f ca="1">VLOOKUP(DATE(IF($B22&gt;6,F$21-1,F$21),$B22,1),Summary!$A:$H,6,FALSE)</f>
        <v>7790208.6625008667</v>
      </c>
      <c r="G22" s="183">
        <f ca="1">VLOOKUP(DATE(IF($B22&gt;6,G$21-1,G$21),$B22,1),Summary!$A:$H,6,FALSE)</f>
        <v>9551599.813922694</v>
      </c>
      <c r="H22" s="183">
        <f ca="1">VLOOKUP(DATE(IF($B22&gt;6,H$21-1,H$21),$B22,1),Summary!$A:$H,6,FALSE)</f>
        <v>9667523.1289057452</v>
      </c>
    </row>
    <row r="23" spans="1:11" x14ac:dyDescent="0.25">
      <c r="A23" s="183" t="s">
        <v>26</v>
      </c>
      <c r="B23" s="183">
        <v>8</v>
      </c>
      <c r="C23" s="183">
        <f ca="1">VLOOKUP(DATE(IF($B23&gt;6,C$21-1,C$21),$B23,1),Summary!$A:$H,6,FALSE)</f>
        <v>7306512.8294951376</v>
      </c>
      <c r="D23" s="183">
        <f ca="1">VLOOKUP(DATE(IF($B23&gt;6,D$21-1,D$21),$B23,1),Summary!$A:$H,6,FALSE)</f>
        <v>8199182.7386589097</v>
      </c>
      <c r="E23" s="183">
        <f ca="1">VLOOKUP(DATE(IF($B23&gt;6,E$21-1,E$21),$B23,1),Summary!$A:$H,6,FALSE)</f>
        <v>9419185.9244453646</v>
      </c>
      <c r="F23" s="183">
        <f ca="1">VLOOKUP(DATE(IF($B23&gt;6,F$21-1,F$21),$B23,1),Summary!$A:$H,6,FALSE)</f>
        <v>9693907.1873017792</v>
      </c>
      <c r="G23" s="183">
        <f ca="1">VLOOKUP(DATE(IF($B23&gt;6,G$21-1,G$21),$B23,1),Summary!$A:$H,6,FALSE)</f>
        <v>9688623.6259205285</v>
      </c>
      <c r="H23" s="183">
        <f ca="1">VLOOKUP(DATE(IF($B23&gt;6,H$21-1,H$21),$B23,1),Summary!$A:$H,6,FALSE)</f>
        <v>9434096.1515128613</v>
      </c>
    </row>
    <row r="24" spans="1:11" x14ac:dyDescent="0.25">
      <c r="A24" s="183" t="s">
        <v>27</v>
      </c>
      <c r="B24" s="183">
        <v>9</v>
      </c>
      <c r="C24" s="183">
        <f ca="1">VLOOKUP(DATE(IF($B24&gt;6,C$21-1,C$21),$B24,1),Summary!$A:$H,6,FALSE)</f>
        <v>7572828.8888115417</v>
      </c>
      <c r="D24" s="183">
        <f ca="1">VLOOKUP(DATE(IF($B24&gt;6,D$21-1,D$21),$B24,1),Summary!$A:$H,6,FALSE)</f>
        <v>8621004.1353541818</v>
      </c>
      <c r="E24" s="183">
        <f ca="1">VLOOKUP(DATE(IF($B24&gt;6,E$21-1,E$21),$B24,1),Summary!$A:$H,6,FALSE)</f>
        <v>9140303.9513927866</v>
      </c>
      <c r="F24" s="183">
        <f ca="1">VLOOKUP(DATE(IF($B24&gt;6,F$21-1,F$21),$B24,1),Summary!$A:$H,6,FALSE)</f>
        <v>8788271.8253040649</v>
      </c>
      <c r="G24" s="183">
        <f ca="1">VLOOKUP(DATE(IF($B24&gt;6,G$21-1,G$21),$B24,1),Summary!$A:$H,6,FALSE)</f>
        <v>10425971.080127375</v>
      </c>
      <c r="H24" s="183">
        <f ca="1">VLOOKUP(DATE(IF($B24&gt;6,H$21-1,H$21),$B24,1),Summary!$A:$H,6,FALSE)</f>
        <v>10296088.631815676</v>
      </c>
    </row>
    <row r="25" spans="1:11" x14ac:dyDescent="0.25">
      <c r="A25" s="183" t="s">
        <v>28</v>
      </c>
      <c r="B25" s="183">
        <v>10</v>
      </c>
      <c r="C25" s="183">
        <f ca="1">VLOOKUP(DATE(IF($B25&gt;6,C$21-1,C$21),$B25,1),Summary!$A:$H,6,FALSE)</f>
        <v>8588860.9023489039</v>
      </c>
      <c r="D25" s="183">
        <f ca="1">VLOOKUP(DATE(IF($B25&gt;6,D$21-1,D$21),$B25,1),Summary!$A:$H,6,FALSE)</f>
        <v>8728995.7676596362</v>
      </c>
      <c r="E25" s="183">
        <f ca="1">VLOOKUP(DATE(IF($B25&gt;6,E$21-1,E$21),$B25,1),Summary!$A:$H,6,FALSE)</f>
        <v>6751153.6194823515</v>
      </c>
      <c r="F25" s="183">
        <f ca="1">VLOOKUP(DATE(IF($B25&gt;6,F$21-1,F$21),$B25,1),Summary!$A:$H,6,FALSE)</f>
        <v>10026862.423822284</v>
      </c>
      <c r="G25" s="183">
        <f ca="1">VLOOKUP(DATE(IF($B25&gt;6,G$21-1,G$21),$B25,1),Summary!$A:$H,6,FALSE)</f>
        <v>11657555.85844388</v>
      </c>
      <c r="H25" s="183">
        <f ca="1">VLOOKUP(DATE(IF($B25&gt;6,H$21-1,H$21),$B25,1),Summary!$A:$H,6,FALSE)</f>
        <v>11269845.217308778</v>
      </c>
    </row>
    <row r="26" spans="1:11" x14ac:dyDescent="0.25">
      <c r="A26" s="183" t="s">
        <v>29</v>
      </c>
      <c r="B26" s="183">
        <v>11</v>
      </c>
      <c r="C26" s="183">
        <f ca="1">VLOOKUP(DATE(IF($B26&gt;6,C$21-1,C$21),$B26,1),Summary!$A:$H,6,FALSE)</f>
        <v>8387297.6383970371</v>
      </c>
      <c r="D26" s="183">
        <f ca="1">VLOOKUP(DATE(IF($B26&gt;6,D$21-1,D$21),$B26,1),Summary!$A:$H,6,FALSE)</f>
        <v>9207780.2450160012</v>
      </c>
      <c r="E26" s="183">
        <f ca="1">VLOOKUP(DATE(IF($B26&gt;6,E$21-1,E$21),$B26,1),Summary!$A:$H,6,FALSE)</f>
        <v>7032982.1453072997</v>
      </c>
      <c r="F26" s="183">
        <f ca="1">VLOOKUP(DATE(IF($B26&gt;6,F$21-1,F$21),$B26,1),Summary!$A:$H,6,FALSE)</f>
        <v>10516223.24669694</v>
      </c>
      <c r="G26" s="183">
        <f ca="1">VLOOKUP(DATE(IF($B26&gt;6,G$21-1,G$21),$B26,1),Summary!$A:$H,6,FALSE)</f>
        <v>11483328.248073172</v>
      </c>
      <c r="H26" s="183">
        <f ca="1">VLOOKUP(DATE(IF($B26&gt;6,H$21-1,H$21),$B26,1),Summary!$A:$H,6,FALSE)</f>
        <v>11529305.898338078</v>
      </c>
    </row>
    <row r="27" spans="1:11" x14ac:dyDescent="0.25">
      <c r="A27" s="183" t="s">
        <v>30</v>
      </c>
      <c r="B27" s="183">
        <v>12</v>
      </c>
      <c r="C27" s="183">
        <f ca="1">VLOOKUP(DATE(IF($B27&gt;6,C$21-1,C$21),$B27,1),Summary!$A:$H,6,FALSE)</f>
        <v>8066032.4097137582</v>
      </c>
      <c r="D27" s="183">
        <f ca="1">VLOOKUP(DATE(IF($B27&gt;6,D$21-1,D$21),$B27,1),Summary!$A:$H,6,FALSE)</f>
        <v>9589346.250051273</v>
      </c>
      <c r="E27" s="183">
        <f ca="1">VLOOKUP(DATE(IF($B27&gt;6,E$21-1,E$21),$B27,1),Summary!$A:$H,6,FALSE)</f>
        <v>8972236.3704445399</v>
      </c>
      <c r="F27" s="183">
        <f ca="1">VLOOKUP(DATE(IF($B27&gt;6,F$21-1,F$21),$B27,1),Summary!$A:$H,6,FALSE)</f>
        <v>9215583.0500558317</v>
      </c>
      <c r="G27" s="183">
        <f ca="1">VLOOKUP(DATE(IF($B27&gt;6,G$21-1,G$21),$B27,1),Summary!$A:$H,6,FALSE)</f>
        <v>10870195.091480747</v>
      </c>
      <c r="H27" s="183">
        <f ca="1">VLOOKUP(DATE(IF($B27&gt;6,H$21-1,H$21),$B27,1),Summary!$A:$H,6,FALSE)</f>
        <v>10930411.971507678</v>
      </c>
    </row>
    <row r="28" spans="1:11" x14ac:dyDescent="0.25">
      <c r="A28" s="183" t="s">
        <v>31</v>
      </c>
      <c r="B28" s="183">
        <v>1</v>
      </c>
      <c r="C28" s="183">
        <f ca="1">VLOOKUP(DATE(IF($B28&gt;6,C$21-1,C$21),$B28,1),Summary!$A:$H,6,FALSE)</f>
        <v>8683136.3288727272</v>
      </c>
      <c r="D28" s="183">
        <f ca="1">VLOOKUP(DATE(IF($B28&gt;6,D$21-1,D$21),$B28,1),Summary!$A:$H,6,FALSE)</f>
        <v>9794979.8600225467</v>
      </c>
      <c r="E28" s="183">
        <f ca="1">VLOOKUP(DATE(IF($B28&gt;6,E$21-1,E$21),$B28,1),Summary!$A:$H,6,FALSE)</f>
        <v>8689390.6838222072</v>
      </c>
      <c r="F28" s="183">
        <f ca="1">VLOOKUP(DATE(IF($B28&gt;6,F$21-1,F$21),$B28,1),Summary!$A:$H,6,FALSE)</f>
        <v>9110038.8918058574</v>
      </c>
      <c r="G28" s="183">
        <f ca="1">VLOOKUP(DATE(IF($B28&gt;6,G$21-1,G$21),$B28,1),Summary!$A:$H,6,FALSE)</f>
        <v>10762848.624719173</v>
      </c>
      <c r="H28" s="183">
        <f ca="1">VLOOKUP(DATE(IF($B28&gt;6,H$21-1,H$21),$B28,1),Summary!$A:$H,6,FALSE)</f>
        <v>10507983.059412524</v>
      </c>
    </row>
    <row r="29" spans="1:11" x14ac:dyDescent="0.25">
      <c r="A29" s="183" t="s">
        <v>32</v>
      </c>
      <c r="B29" s="183">
        <v>2</v>
      </c>
      <c r="C29" s="183">
        <f ca="1">VLOOKUP(DATE(IF($B29&gt;6,C$21-1,C$21),$B29,1),Summary!$A:$H,6,FALSE)</f>
        <v>8647399.6693636365</v>
      </c>
      <c r="D29" s="183">
        <f ca="1">VLOOKUP(DATE(IF($B29&gt;6,D$21-1,D$21),$B29,1),Summary!$A:$H,6,FALSE)</f>
        <v>8668318.0267679989</v>
      </c>
      <c r="E29" s="183">
        <f ca="1">VLOOKUP(DATE(IF($B29&gt;6,E$21-1,E$21),$B29,1),Summary!$A:$H,6,FALSE)</f>
        <v>8204556.6202637563</v>
      </c>
      <c r="F29" s="183">
        <f ca="1">VLOOKUP(DATE(IF($B29&gt;6,F$21-1,F$21),$B29,1),Summary!$A:$H,6,FALSE)</f>
        <v>8803952.2524049766</v>
      </c>
      <c r="G29" s="183">
        <f ca="1">VLOOKUP(DATE(IF($B29&gt;6,G$21-1,G$21),$B29,1),Summary!$A:$H,6,FALSE)</f>
        <v>10142166.959764594</v>
      </c>
      <c r="H29" s="183">
        <f ca="1">VLOOKUP(DATE(IF($B29&gt;6,H$21-1,H$21),$B29,1),Summary!$A:$H,6,FALSE)</f>
        <v>10854327.275970494</v>
      </c>
    </row>
    <row r="30" spans="1:11" x14ac:dyDescent="0.25">
      <c r="A30" s="183" t="s">
        <v>33</v>
      </c>
      <c r="B30" s="183">
        <v>3</v>
      </c>
      <c r="C30" s="183">
        <f ca="1">VLOOKUP(DATE(IF($B30&gt;6,C$21-1,C$21),$B30,1),Summary!$A:$H,6,FALSE)</f>
        <v>9603154.3546909094</v>
      </c>
      <c r="D30" s="183">
        <f ca="1">VLOOKUP(DATE(IF($B30&gt;6,D$21-1,D$21),$B30,1),Summary!$A:$H,6,FALSE)</f>
        <v>8881422.5819039997</v>
      </c>
      <c r="E30" s="183">
        <f ca="1">VLOOKUP(DATE(IF($B30&gt;6,E$21-1,E$21),$B30,1),Summary!$A:$H,6,FALSE)</f>
        <v>10759274.868105762</v>
      </c>
      <c r="F30" s="183">
        <f ca="1">VLOOKUP(DATE(IF($B30&gt;6,F$21-1,F$21),$B30,1),Summary!$A:$H,6,FALSE)</f>
        <v>9950140.2470329925</v>
      </c>
      <c r="G30" s="183">
        <f ca="1">VLOOKUP(DATE(IF($B30&gt;6,G$21-1,G$21),$B30,1),Summary!$A:$H,6,FALSE)</f>
        <v>11825414.587465636</v>
      </c>
      <c r="H30" s="183">
        <f ca="1">VLOOKUP(DATE(IF($B30&gt;6,H$21-1,H$21),$B30,1),Summary!$A:$H,6,FALSE)</f>
        <v>10198138.282839837</v>
      </c>
    </row>
    <row r="31" spans="1:11" x14ac:dyDescent="0.25">
      <c r="A31" s="183" t="s">
        <v>34</v>
      </c>
      <c r="B31" s="183">
        <v>4</v>
      </c>
      <c r="C31" s="183">
        <f ca="1">VLOOKUP(DATE(IF($B31&gt;6,C$21-1,C$21),$B31,1),Summary!$A:$H,6,FALSE)</f>
        <v>8620265.8316727262</v>
      </c>
      <c r="D31" s="183">
        <f ca="1">VLOOKUP(DATE(IF($B31&gt;6,D$21-1,D$21),$B31,1),Summary!$A:$H,6,FALSE)</f>
        <v>9824832.4564665463</v>
      </c>
      <c r="E31" s="183">
        <f ca="1">VLOOKUP(DATE(IF($B31&gt;6,E$21-1,E$21),$B31,1),Summary!$A:$H,6,FALSE)</f>
        <v>7798715.2383078039</v>
      </c>
      <c r="F31" s="183">
        <f ca="1">VLOOKUP(DATE(IF($B31&gt;6,F$21-1,F$21),$B31,1),Summary!$A:$H,6,FALSE)</f>
        <v>10181381.495926723</v>
      </c>
      <c r="G31" s="183">
        <f ca="1">VLOOKUP(DATE(IF($B31&gt;6,G$21-1,G$21),$B31,1),Summary!$A:$H,6,FALSE)</f>
        <v>10012113.683834109</v>
      </c>
      <c r="H31" s="183">
        <f ca="1">VLOOKUP(DATE(IF($B31&gt;6,H$21-1,H$21),$B31,1),Summary!$A:$H,6,FALSE)</f>
        <v>5032961.1951289224</v>
      </c>
    </row>
    <row r="32" spans="1:11" x14ac:dyDescent="0.25">
      <c r="A32" s="183" t="s">
        <v>35</v>
      </c>
      <c r="B32" s="183">
        <v>5</v>
      </c>
      <c r="C32" s="183">
        <f ca="1">VLOOKUP(DATE(IF($B32&gt;6,C$21-1,C$21),$B32,1),Summary!$A:$H,6,FALSE)</f>
        <v>8202826.4487272725</v>
      </c>
      <c r="D32" s="183">
        <f ca="1">VLOOKUP(DATE(IF($B32&gt;6,D$21-1,D$21),$B32,1),Summary!$A:$H,6,FALSE)</f>
        <v>8954817.4272000007</v>
      </c>
      <c r="E32" s="183">
        <f ca="1">VLOOKUP(DATE(IF($B32&gt;6,E$21-1,E$21),$B32,1),Summary!$A:$H,6,FALSE)</f>
        <v>8901742.6006165966</v>
      </c>
      <c r="F32" s="183">
        <f ca="1">VLOOKUP(DATE(IF($B32&gt;6,F$21-1,F$21),$B32,1),Summary!$A:$H,6,FALSE)</f>
        <v>9942836.5227932576</v>
      </c>
      <c r="G32" s="183">
        <f ca="1">VLOOKUP(DATE(IF($B32&gt;6,G$21-1,G$21),$B32,1),Summary!$A:$H,6,FALSE)</f>
        <v>11215843.656217316</v>
      </c>
      <c r="H32" s="183">
        <f ca="1">VLOOKUP(DATE(IF($B32&gt;6,H$21-1,H$21),$B32,1),Summary!$A:$H,6,FALSE)</f>
        <v>9924457.0038184077</v>
      </c>
    </row>
    <row r="33" spans="1:11" x14ac:dyDescent="0.25">
      <c r="A33" s="183" t="s">
        <v>36</v>
      </c>
      <c r="B33" s="183">
        <v>6</v>
      </c>
      <c r="C33" s="183">
        <f ca="1">VLOOKUP(DATE(IF($B33&gt;6,C$21-1,C$21),$B33,1),Summary!$A:$H,6,FALSE)</f>
        <v>7926955.460072726</v>
      </c>
      <c r="D33" s="183">
        <f ca="1">VLOOKUP(DATE(IF($B33&gt;6,D$21-1,D$21),$B33,1),Summary!$A:$H,6,FALSE)</f>
        <v>7456846.4873040002</v>
      </c>
      <c r="E33" s="183">
        <f ca="1">VLOOKUP(DATE(IF($B33&gt;6,E$21-1,E$21),$B33,1),Summary!$A:$H,6,FALSE)</f>
        <v>7818381.6384842824</v>
      </c>
      <c r="F33" s="183">
        <f ca="1">VLOOKUP(DATE(IF($B33&gt;6,F$21-1,F$21),$B33,1),Summary!$A:$H,6,FALSE)</f>
        <v>8997790.3112893086</v>
      </c>
      <c r="G33" s="183">
        <f ca="1">VLOOKUP(DATE(IF($B33&gt;6,G$21-1,G$21),$B33,1),Summary!$A:$H,6,FALSE)</f>
        <v>9231388.9897752553</v>
      </c>
      <c r="H33" s="183">
        <f ca="1">VLOOKUP(DATE(IF($B33&gt;6,H$21-1,H$21),$B33,1),Summary!$A:$H,6,FALSE)</f>
        <v>9951779.0045300797</v>
      </c>
    </row>
    <row r="35" spans="1:11" x14ac:dyDescent="0.25">
      <c r="A35" s="183" t="s">
        <v>51</v>
      </c>
      <c r="C35" s="183">
        <f ca="1">SUM(C22:C33)</f>
        <v>98889387.556900859</v>
      </c>
      <c r="D35" s="183">
        <f t="shared" ref="D35:E35" ca="1" si="6">SUM(D22:D33)</f>
        <v>106135685.56859927</v>
      </c>
      <c r="E35" s="183">
        <f t="shared" ca="1" si="6"/>
        <v>101192199.43055837</v>
      </c>
      <c r="F35" s="183">
        <f t="shared" ref="F35:H35" ca="1" si="7">SUM(F22:F33)</f>
        <v>113017196.11693488</v>
      </c>
      <c r="G35" s="183">
        <f t="shared" ca="1" si="7"/>
        <v>126867050.21974447</v>
      </c>
      <c r="H35" s="183">
        <f t="shared" ca="1" si="7"/>
        <v>119596916.82108906</v>
      </c>
    </row>
    <row r="36" spans="1:11" x14ac:dyDescent="0.25">
      <c r="A36" s="183" t="s">
        <v>63</v>
      </c>
      <c r="C36" s="183">
        <f ca="1">MAX(C22:C33)</f>
        <v>9603154.3546909094</v>
      </c>
      <c r="D36" s="183">
        <f t="shared" ref="D36:E36" ca="1" si="8">MAX(D22:D33)</f>
        <v>9824832.4564665463</v>
      </c>
      <c r="E36" s="183">
        <f t="shared" ca="1" si="8"/>
        <v>10759274.868105762</v>
      </c>
      <c r="F36" s="183">
        <f t="shared" ref="F36:H36" ca="1" si="9">MAX(F22:F33)</f>
        <v>10516223.24669694</v>
      </c>
      <c r="G36" s="183">
        <f t="shared" ca="1" si="9"/>
        <v>11825414.587465636</v>
      </c>
      <c r="H36" s="183">
        <f t="shared" ca="1" si="9"/>
        <v>11529305.898338078</v>
      </c>
    </row>
    <row r="37" spans="1:11" x14ac:dyDescent="0.25">
      <c r="A37" s="183" t="s">
        <v>62</v>
      </c>
      <c r="C37" s="183">
        <f ca="1">MIN(C22:C33)</f>
        <v>7284116.7947344882</v>
      </c>
      <c r="D37" s="183">
        <f t="shared" ref="D37:E37" ca="1" si="10">MIN(D22:D33)</f>
        <v>7456846.4873040002</v>
      </c>
      <c r="E37" s="183">
        <f t="shared" ca="1" si="10"/>
        <v>6751153.6194823515</v>
      </c>
      <c r="F37" s="183">
        <f t="shared" ref="F37:H37" ca="1" si="11">MIN(F22:F33)</f>
        <v>7790208.6625008667</v>
      </c>
      <c r="G37" s="183">
        <f t="shared" ca="1" si="11"/>
        <v>9231388.9897752553</v>
      </c>
      <c r="H37" s="183">
        <f t="shared" ca="1" si="11"/>
        <v>5032961.1951289224</v>
      </c>
    </row>
    <row r="39" spans="1:11" ht="23.25" x14ac:dyDescent="0.25">
      <c r="A39" s="182" t="s">
        <v>51</v>
      </c>
      <c r="B39" s="182"/>
      <c r="C39" s="244" t="s">
        <v>39</v>
      </c>
      <c r="D39" s="244"/>
      <c r="E39" s="244"/>
      <c r="F39" s="244"/>
      <c r="G39" s="244"/>
      <c r="H39" s="199"/>
      <c r="I39" s="199"/>
      <c r="J39" s="199"/>
      <c r="K39" s="199"/>
    </row>
    <row r="40" spans="1:11" s="184" customFormat="1" x14ac:dyDescent="0.25">
      <c r="C40" s="184">
        <v>2015</v>
      </c>
      <c r="D40" s="184">
        <v>2016</v>
      </c>
      <c r="E40" s="184">
        <v>2017</v>
      </c>
      <c r="F40" s="184">
        <v>2018</v>
      </c>
      <c r="G40" s="184">
        <v>2019</v>
      </c>
      <c r="H40" s="184">
        <v>2020</v>
      </c>
    </row>
    <row r="41" spans="1:11" x14ac:dyDescent="0.25">
      <c r="A41" s="183" t="s">
        <v>5</v>
      </c>
      <c r="B41" s="183">
        <v>7</v>
      </c>
      <c r="C41" s="183">
        <f ca="1">SUM(C22,C3)</f>
        <v>12894758.337440617</v>
      </c>
      <c r="D41" s="183">
        <f ca="1">SUM(D22,C3)</f>
        <v>13818801.134900309</v>
      </c>
      <c r="E41" s="183">
        <f t="shared" ref="E41:F41" ca="1" si="12">SUM(E22,E3)</f>
        <v>13888353.681285612</v>
      </c>
      <c r="F41" s="183">
        <f t="shared" ca="1" si="12"/>
        <v>13589985.794434868</v>
      </c>
      <c r="G41" s="183">
        <f t="shared" ref="G41:H41" ca="1" si="13">SUM(G22,G3)</f>
        <v>15631278.248357695</v>
      </c>
      <c r="H41" s="183">
        <f t="shared" ca="1" si="13"/>
        <v>15557007.452088745</v>
      </c>
    </row>
    <row r="42" spans="1:11" x14ac:dyDescent="0.25">
      <c r="A42" s="183" t="s">
        <v>26</v>
      </c>
      <c r="B42" s="183">
        <v>8</v>
      </c>
      <c r="C42" s="183">
        <f ca="1">SUM(C23,C4)</f>
        <v>13007252.438433748</v>
      </c>
      <c r="D42" s="183">
        <f ca="1">SUM(D23,D4)</f>
        <v>13696526.706451273</v>
      </c>
      <c r="E42" s="183">
        <f ca="1">SUM(E23,E4)</f>
        <v>15369524.462945364</v>
      </c>
      <c r="F42" s="183">
        <f ca="1">SUM(F23,F4)</f>
        <v>16771075.044051778</v>
      </c>
      <c r="G42" s="183">
        <f ca="1">SUM(G23,G4)</f>
        <v>15975443.499516528</v>
      </c>
      <c r="H42" s="183">
        <f ca="1">SUM(H23,H4)</f>
        <v>15493990.981295861</v>
      </c>
    </row>
    <row r="43" spans="1:11" x14ac:dyDescent="0.25">
      <c r="A43" s="183" t="s">
        <v>27</v>
      </c>
      <c r="B43" s="183">
        <v>9</v>
      </c>
      <c r="C43" s="183">
        <f t="shared" ref="C43:E43" ca="1" si="14">SUM(C24,C5)</f>
        <v>12450038.758326819</v>
      </c>
      <c r="D43" s="183">
        <f t="shared" ca="1" si="14"/>
        <v>14378998.168018453</v>
      </c>
      <c r="E43" s="183">
        <f t="shared" ca="1" si="14"/>
        <v>15643707.273313787</v>
      </c>
      <c r="F43" s="183">
        <f t="shared" ref="F43:H43" ca="1" si="15">SUM(F24,F5)</f>
        <v>14890525.951818064</v>
      </c>
      <c r="G43" s="183">
        <f t="shared" ca="1" si="15"/>
        <v>16657689.594497375</v>
      </c>
      <c r="H43" s="183">
        <f t="shared" ca="1" si="15"/>
        <v>16490841.832816675</v>
      </c>
    </row>
    <row r="44" spans="1:11" x14ac:dyDescent="0.25">
      <c r="A44" s="183" t="s">
        <v>28</v>
      </c>
      <c r="B44" s="183">
        <v>10</v>
      </c>
      <c r="C44" s="183">
        <f t="shared" ref="C44:E44" ca="1" si="16">SUM(C25,C6)</f>
        <v>14812086.779102743</v>
      </c>
      <c r="D44" s="183">
        <f t="shared" ca="1" si="16"/>
        <v>15196623.771781091</v>
      </c>
      <c r="E44" s="183">
        <f t="shared" ca="1" si="16"/>
        <v>12441171.658210352</v>
      </c>
      <c r="F44" s="183">
        <f t="shared" ref="F44:H44" ca="1" si="17">SUM(F25,F6)</f>
        <v>16795273.108288284</v>
      </c>
      <c r="G44" s="183">
        <f t="shared" ca="1" si="17"/>
        <v>18212182.539856881</v>
      </c>
      <c r="H44" s="183">
        <f t="shared" ca="1" si="17"/>
        <v>17582729.281638779</v>
      </c>
    </row>
    <row r="45" spans="1:11" x14ac:dyDescent="0.25">
      <c r="A45" s="183" t="s">
        <v>29</v>
      </c>
      <c r="B45" s="183">
        <v>11</v>
      </c>
      <c r="C45" s="183">
        <f t="shared" ref="C45:E45" ca="1" si="18">SUM(C26,C7)</f>
        <v>14398892.192781415</v>
      </c>
      <c r="D45" s="183">
        <f t="shared" ca="1" si="18"/>
        <v>15692081.228322001</v>
      </c>
      <c r="E45" s="183">
        <f t="shared" ca="1" si="18"/>
        <v>12898660.5306453</v>
      </c>
      <c r="F45" s="183">
        <f t="shared" ref="F45:H45" ca="1" si="19">SUM(F26,F7)</f>
        <v>17153552.007335939</v>
      </c>
      <c r="G45" s="183">
        <f t="shared" ca="1" si="19"/>
        <v>17960063.916273169</v>
      </c>
      <c r="H45" s="183">
        <f t="shared" ca="1" si="19"/>
        <v>18056301.49191808</v>
      </c>
    </row>
    <row r="46" spans="1:11" x14ac:dyDescent="0.25">
      <c r="A46" s="183" t="s">
        <v>30</v>
      </c>
      <c r="B46" s="183">
        <v>12</v>
      </c>
      <c r="C46" s="183">
        <f t="shared" ref="C46:E46" ca="1" si="20">SUM(C27,C8)</f>
        <v>14731196.444282057</v>
      </c>
      <c r="D46" s="183">
        <f t="shared" ca="1" si="20"/>
        <v>16279038.011720181</v>
      </c>
      <c r="E46" s="183">
        <f t="shared" ca="1" si="20"/>
        <v>16296742.045337539</v>
      </c>
      <c r="F46" s="183">
        <f t="shared" ref="F46:H46" ca="1" si="21">SUM(F27,F8)</f>
        <v>16509720.758169832</v>
      </c>
      <c r="G46" s="183">
        <f t="shared" ca="1" si="21"/>
        <v>17929074.302780747</v>
      </c>
      <c r="H46" s="183">
        <f t="shared" ca="1" si="21"/>
        <v>17897578.925988678</v>
      </c>
    </row>
    <row r="47" spans="1:11" x14ac:dyDescent="0.25">
      <c r="A47" s="183" t="s">
        <v>31</v>
      </c>
      <c r="B47" s="183">
        <v>1</v>
      </c>
      <c r="C47" s="183">
        <f t="shared" ref="C47:E47" ca="1" si="22">SUM(C28,C9)</f>
        <v>14678635.222618181</v>
      </c>
      <c r="D47" s="183">
        <f t="shared" ca="1" si="22"/>
        <v>15175050.972211365</v>
      </c>
      <c r="E47" s="183">
        <f t="shared" ca="1" si="22"/>
        <v>14772484.841136208</v>
      </c>
      <c r="F47" s="183">
        <f t="shared" ref="F47:H47" ca="1" si="23">SUM(F28,F9)</f>
        <v>15929905.450706856</v>
      </c>
      <c r="G47" s="183">
        <f t="shared" ca="1" si="23"/>
        <v>17369036.598419175</v>
      </c>
      <c r="H47" s="183">
        <f t="shared" ca="1" si="23"/>
        <v>17153446.801344521</v>
      </c>
    </row>
    <row r="48" spans="1:11" x14ac:dyDescent="0.25">
      <c r="A48" s="183" t="s">
        <v>32</v>
      </c>
      <c r="B48" s="183">
        <v>2</v>
      </c>
      <c r="C48" s="183">
        <f t="shared" ref="C48:E48" ca="1" si="24">SUM(C29,C10)</f>
        <v>14618223.250590909</v>
      </c>
      <c r="D48" s="183">
        <f t="shared" ca="1" si="24"/>
        <v>15537323.203635</v>
      </c>
      <c r="E48" s="183">
        <f t="shared" ca="1" si="24"/>
        <v>14796463.023859756</v>
      </c>
      <c r="F48" s="183">
        <f t="shared" ref="F48:H48" ca="1" si="25">SUM(F29,F10)</f>
        <v>15414244.868587974</v>
      </c>
      <c r="G48" s="183">
        <f t="shared" ca="1" si="25"/>
        <v>16646612.483464595</v>
      </c>
      <c r="H48" s="183">
        <f t="shared" ca="1" si="25"/>
        <v>17082709.595556494</v>
      </c>
    </row>
    <row r="49" spans="1:8" x14ac:dyDescent="0.25">
      <c r="A49" s="183" t="s">
        <v>33</v>
      </c>
      <c r="B49" s="183">
        <v>3</v>
      </c>
      <c r="C49" s="183">
        <f t="shared" ref="C49:E49" ca="1" si="26">SUM(C30,C11)</f>
        <v>16233903.790072728</v>
      </c>
      <c r="D49" s="183">
        <f t="shared" ca="1" si="26"/>
        <v>15931718.814204</v>
      </c>
      <c r="E49" s="183">
        <f t="shared" ca="1" si="26"/>
        <v>17185975.09912876</v>
      </c>
      <c r="F49" s="183">
        <f t="shared" ref="F49:H49" ca="1" si="27">SUM(F30,F11)</f>
        <v>17270416.738234993</v>
      </c>
      <c r="G49" s="183">
        <f t="shared" ca="1" si="27"/>
        <v>18373847.350465637</v>
      </c>
      <c r="H49" s="183">
        <f t="shared" ca="1" si="27"/>
        <v>16080202.384803835</v>
      </c>
    </row>
    <row r="50" spans="1:8" x14ac:dyDescent="0.25">
      <c r="A50" s="183" t="s">
        <v>34</v>
      </c>
      <c r="B50" s="183">
        <v>4</v>
      </c>
      <c r="C50" s="183">
        <f t="shared" ref="C50:E50" ca="1" si="28">SUM(C31,C12)</f>
        <v>14572354.144018181</v>
      </c>
      <c r="D50" s="183">
        <f t="shared" ca="1" si="28"/>
        <v>15456778.165962365</v>
      </c>
      <c r="E50" s="183">
        <f t="shared" ca="1" si="28"/>
        <v>14205908.892823804</v>
      </c>
      <c r="F50" s="183">
        <f t="shared" ref="F50:H50" ca="1" si="29">SUM(F31,F12)</f>
        <v>16106576.362909723</v>
      </c>
      <c r="G50" s="183">
        <f t="shared" ca="1" si="29"/>
        <v>16508769.74923411</v>
      </c>
      <c r="H50" s="183">
        <f t="shared" ca="1" si="29"/>
        <v>6546173.0137819219</v>
      </c>
    </row>
    <row r="51" spans="1:8" x14ac:dyDescent="0.25">
      <c r="A51" s="183" t="s">
        <v>35</v>
      </c>
      <c r="B51" s="183">
        <v>5</v>
      </c>
      <c r="C51" s="183">
        <f t="shared" ref="C51:E51" ca="1" si="30">SUM(C32,C13)</f>
        <v>13866682.806181818</v>
      </c>
      <c r="D51" s="183">
        <f t="shared" ca="1" si="30"/>
        <v>15249560.143800002</v>
      </c>
      <c r="E51" s="183">
        <f t="shared" ca="1" si="30"/>
        <v>15344483.806823596</v>
      </c>
      <c r="F51" s="183">
        <f t="shared" ref="F51:H51" ca="1" si="31">SUM(F32,F13)</f>
        <v>16321466.818830257</v>
      </c>
      <c r="G51" s="183">
        <f t="shared" ca="1" si="31"/>
        <v>17576480.979517315</v>
      </c>
      <c r="H51" s="183">
        <f t="shared" ca="1" si="31"/>
        <v>14604152.954148408</v>
      </c>
    </row>
    <row r="52" spans="1:8" x14ac:dyDescent="0.25">
      <c r="A52" s="183" t="s">
        <v>36</v>
      </c>
      <c r="B52" s="183">
        <v>6</v>
      </c>
      <c r="C52" s="183">
        <f t="shared" ref="C52:E52" ca="1" si="32">SUM(C33,C14)</f>
        <v>13400329.468218181</v>
      </c>
      <c r="D52" s="183">
        <f t="shared" ca="1" si="32"/>
        <v>13548177.516222</v>
      </c>
      <c r="E52" s="183">
        <f t="shared" ca="1" si="32"/>
        <v>13964439.938298281</v>
      </c>
      <c r="F52" s="183">
        <f t="shared" ref="F52:H52" ca="1" si="33">SUM(F33,F14)</f>
        <v>14870168.053225309</v>
      </c>
      <c r="G52" s="183">
        <f t="shared" ca="1" si="33"/>
        <v>14834226.014275255</v>
      </c>
      <c r="H52" s="183">
        <f t="shared" ca="1" si="33"/>
        <v>15700669.82964208</v>
      </c>
    </row>
    <row r="54" spans="1:8" x14ac:dyDescent="0.25">
      <c r="A54" s="183" t="s">
        <v>51</v>
      </c>
      <c r="C54" s="183">
        <f ca="1">SUM(C41:C52)</f>
        <v>169664353.63206738</v>
      </c>
      <c r="D54" s="183">
        <f t="shared" ref="D54:E54" ca="1" si="34">SUM(D41:D52)</f>
        <v>179960677.83722803</v>
      </c>
      <c r="E54" s="183">
        <f t="shared" ca="1" si="34"/>
        <v>176807915.25380838</v>
      </c>
      <c r="F54" s="183">
        <f t="shared" ref="F54:H54" ca="1" si="35">SUM(F41:F52)</f>
        <v>191622910.95659387</v>
      </c>
      <c r="G54" s="183">
        <f t="shared" ca="1" si="35"/>
        <v>203674705.27665845</v>
      </c>
      <c r="H54" s="183">
        <f t="shared" ca="1" si="35"/>
        <v>188245804.5450241</v>
      </c>
    </row>
    <row r="55" spans="1:8" x14ac:dyDescent="0.25">
      <c r="A55" s="183" t="s">
        <v>63</v>
      </c>
      <c r="C55" s="183">
        <f ca="1">MAX(C41:C52)</f>
        <v>16233903.790072728</v>
      </c>
      <c r="D55" s="183">
        <f t="shared" ref="D55:E55" ca="1" si="36">MAX(D41:D52)</f>
        <v>16279038.011720181</v>
      </c>
      <c r="E55" s="183">
        <f t="shared" ca="1" si="36"/>
        <v>17185975.09912876</v>
      </c>
      <c r="F55" s="183">
        <f t="shared" ref="F55:H55" ca="1" si="37">MAX(F41:F52)</f>
        <v>17270416.738234993</v>
      </c>
      <c r="G55" s="183">
        <f t="shared" ca="1" si="37"/>
        <v>18373847.350465637</v>
      </c>
      <c r="H55" s="183">
        <f t="shared" ca="1" si="37"/>
        <v>18056301.49191808</v>
      </c>
    </row>
    <row r="56" spans="1:8" x14ac:dyDescent="0.25">
      <c r="A56" s="183" t="s">
        <v>62</v>
      </c>
      <c r="C56" s="183">
        <f ca="1">MIN(C41:C52)</f>
        <v>12450038.758326819</v>
      </c>
      <c r="D56" s="183">
        <f t="shared" ref="D56:E56" ca="1" si="38">MIN(D41:D52)</f>
        <v>13548177.516222</v>
      </c>
      <c r="E56" s="183">
        <f t="shared" ca="1" si="38"/>
        <v>12441171.658210352</v>
      </c>
      <c r="F56" s="183">
        <f t="shared" ref="F56:H56" ca="1" si="39">MIN(F41:F52)</f>
        <v>13589985.794434868</v>
      </c>
      <c r="G56" s="183">
        <f t="shared" ca="1" si="39"/>
        <v>14834226.014275255</v>
      </c>
      <c r="H56" s="183">
        <f t="shared" ca="1" si="39"/>
        <v>6546173.0137819219</v>
      </c>
    </row>
  </sheetData>
  <mergeCells count="3">
    <mergeCell ref="C39:G39"/>
    <mergeCell ref="C20:G20"/>
    <mergeCell ref="C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2015</vt:lpstr>
      <vt:lpstr>2016</vt:lpstr>
      <vt:lpstr>2017</vt:lpstr>
      <vt:lpstr>2018</vt:lpstr>
      <vt:lpstr>2019</vt:lpstr>
      <vt:lpstr>2020</vt:lpstr>
      <vt:lpstr>Electricity</vt:lpstr>
      <vt:lpstr>Summary</vt:lpstr>
      <vt:lpstr>Litres</vt:lpstr>
      <vt:lpstr>Mass</vt:lpstr>
      <vt:lpstr>PJ</vt:lpstr>
      <vt:lpstr>'2016'!Print_Area</vt:lpstr>
      <vt:lpstr>'2018'!Print_Area</vt:lpstr>
      <vt:lpstr>'2019'!Print_Area</vt:lpstr>
      <vt:lpstr>'2020'!Print_Area</vt:lpstr>
      <vt:lpstr>'2016'!Print_Titles</vt:lpstr>
      <vt:lpstr>'2018'!Print_Titles</vt:lpstr>
      <vt:lpstr>'2019'!Print_Titles</vt:lpstr>
    </vt:vector>
  </TitlesOfParts>
  <Company>Dunedin City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Bell</dc:creator>
  <cp:lastModifiedBy>pablo paulsen</cp:lastModifiedBy>
  <dcterms:created xsi:type="dcterms:W3CDTF">2017-12-07T20:11:29Z</dcterms:created>
  <dcterms:modified xsi:type="dcterms:W3CDTF">2021-11-15T01:31:52Z</dcterms:modified>
</cp:coreProperties>
</file>