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ichaeljack/Dropbox (Personal)/Pablo/"/>
    </mc:Choice>
  </mc:AlternateContent>
  <xr:revisionPtr revIDLastSave="0" documentId="8_{B90ECC64-E7FB-0C43-AF06-07B85665620A}" xr6:coauthVersionLast="47" xr6:coauthVersionMax="47" xr10:uidLastSave="{00000000-0000-0000-0000-000000000000}"/>
  <bookViews>
    <workbookView xWindow="16660" yWindow="2940" windowWidth="37760" windowHeight="23520" tabRatio="713" activeTab="3" xr2:uid="{00000000-000D-0000-FFFF-FFFF00000000}"/>
  </bookViews>
  <sheets>
    <sheet name="Provenance" sheetId="29" r:id="rId1"/>
    <sheet name="Summary" sheetId="38" r:id="rId2"/>
    <sheet name="Summary_Initial" sheetId="22" r:id="rId3"/>
    <sheet name="Regional VKT Summary" sheetId="25" r:id="rId4"/>
    <sheet name="Regional Vehicle Summary" sheetId="26" r:id="rId5"/>
    <sheet name="All Vehicle Types" sheetId="16" r:id="rId6"/>
    <sheet name="All Light Vehicles" sheetId="8" r:id="rId7"/>
    <sheet name="Car+SUV" sheetId="17" r:id="rId8"/>
    <sheet name="Van+Ute" sheetId="19" r:id="rId9"/>
    <sheet name="Heavy Truck" sheetId="10" r:id="rId10"/>
    <sheet name="Heavy Bus" sheetId="11" r:id="rId11"/>
    <sheet name="Motorcycle" sheetId="12" r:id="rId12"/>
    <sheet name="Original 2012-13 Data" sheetId="1" r:id="rId13"/>
    <sheet name="Scaled 2012-13 Data" sheetId="4" r:id="rId14"/>
    <sheet name="Original 2013-14 Data" sheetId="14" r:id="rId15"/>
    <sheet name="Scaled 2013-14 Data" sheetId="15" r:id="rId16"/>
    <sheet name="Original 2014-15 Data" sheetId="20" r:id="rId17"/>
    <sheet name="Scaled 2014-15 Data" sheetId="21" r:id="rId18"/>
    <sheet name="Original 2015-16 Data" sheetId="30" r:id="rId19"/>
    <sheet name="Scaled 2015-16 Data" sheetId="32" r:id="rId20"/>
    <sheet name="Original 2016-17 Data" sheetId="31" r:id="rId21"/>
    <sheet name="Scaled 2016-17 Data" sheetId="33" r:id="rId22"/>
    <sheet name="Original 2017-18 Data" sheetId="34" r:id="rId23"/>
    <sheet name="Scaled 2017-18 Data" sheetId="35" r:id="rId24"/>
    <sheet name="Original 2018-19 Data" sheetId="36" r:id="rId25"/>
    <sheet name="Scaled 2018-19 Data" sheetId="37" r:id="rId26"/>
    <sheet name="Household Vehicle Occupancy" sheetId="24" r:id="rId27"/>
    <sheet name="Light Vehicle Supporting Data" sheetId="3" r:id="rId28"/>
    <sheet name="Vehicle Share Diversion Support" sheetId="23" r:id="rId29"/>
    <sheet name="Taxi-Vehicle Share Supporting D" sheetId="18" r:id="rId30"/>
    <sheet name="Heavy Truck Supporting Data" sheetId="6" r:id="rId31"/>
    <sheet name="Heavy Bus Supporting Data" sheetId="7" r:id="rId32"/>
    <sheet name="Motorcycle Supporting Data" sheetId="13" r:id="rId33"/>
  </sheets>
  <externalReferences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Convergence_Criteria">'Scaled 2012-13 Data'!$H$1</definedName>
    <definedName name="Fraction_LCV_Vehicles" localSheetId="26">'Light Vehicle Supporting Data'!#REF!</definedName>
    <definedName name="Fraction_LCV_Vehicles" localSheetId="18">'Light Vehicle Supporting Data'!#REF!</definedName>
    <definedName name="Fraction_LCV_Vehicles" localSheetId="22">'Light Vehicle Supporting Data'!#REF!</definedName>
    <definedName name="Fraction_LCV_Vehicles" localSheetId="24">'Light Vehicle Supporting Data'!#REF!</definedName>
    <definedName name="Fraction_LCV_Vehicles" localSheetId="4">'Light Vehicle Supporting Data'!#REF!</definedName>
    <definedName name="Fraction_LCV_Vehicles" localSheetId="3">'Light Vehicle Supporting Data'!#REF!</definedName>
    <definedName name="Fraction_LCV_Vehicles" localSheetId="21">'Light Vehicle Supporting Data'!#REF!</definedName>
    <definedName name="Fraction_LCV_Vehicles" localSheetId="23">'Light Vehicle Supporting Data'!#REF!</definedName>
    <definedName name="Fraction_LCV_Vehicles" localSheetId="25">'Light Vehicle Supporting Data'!#REF!</definedName>
    <definedName name="Fraction_LCV_Vehicles" localSheetId="29">'Taxi-Vehicle Share Supporting D'!#REF!</definedName>
    <definedName name="Fraction_LCV_Vehicles">'Light Vehicle Supporting Data'!#REF!</definedName>
    <definedName name="Fraction_LCV_VKT" localSheetId="26">'Light Vehicle Supporting Data'!#REF!</definedName>
    <definedName name="Fraction_LCV_VKT" localSheetId="18">'Light Vehicle Supporting Data'!#REF!</definedName>
    <definedName name="Fraction_LCV_VKT" localSheetId="22">'Light Vehicle Supporting Data'!#REF!</definedName>
    <definedName name="Fraction_LCV_VKT" localSheetId="24">'Light Vehicle Supporting Data'!#REF!</definedName>
    <definedName name="Fraction_LCV_VKT" localSheetId="4">'Light Vehicle Supporting Data'!#REF!</definedName>
    <definedName name="Fraction_LCV_VKT" localSheetId="3">'Light Vehicle Supporting Data'!#REF!</definedName>
    <definedName name="Fraction_LCV_VKT" localSheetId="21">'Light Vehicle Supporting Data'!#REF!</definedName>
    <definedName name="Fraction_LCV_VKT" localSheetId="23">'Light Vehicle Supporting Data'!#REF!</definedName>
    <definedName name="Fraction_LCV_VKT" localSheetId="25">'Light Vehicle Supporting Data'!#REF!</definedName>
    <definedName name="Fraction_LCV_VKT" localSheetId="29">'Taxi-Vehicle Share Supporting D'!#REF!</definedName>
    <definedName name="Fraction_LCV_VKT">'Light Vehicle Supporting Data'!#REF!</definedName>
    <definedName name="Fraction_LPV_Vehicles" localSheetId="29">'Taxi-Vehicle Share Supporting D'!#REF!</definedName>
    <definedName name="Fraction_LPV_Vehicles">'Light Vehicle Supporting Data'!$E$134</definedName>
    <definedName name="Fraction_LPV_VKT" localSheetId="26">'Light Vehicle Supporting Data'!#REF!</definedName>
    <definedName name="Fraction_LPV_VKT" localSheetId="18">'Light Vehicle Supporting Data'!#REF!</definedName>
    <definedName name="Fraction_LPV_VKT" localSheetId="22">'Light Vehicle Supporting Data'!#REF!</definedName>
    <definedName name="Fraction_LPV_VKT" localSheetId="24">'Light Vehicle Supporting Data'!#REF!</definedName>
    <definedName name="Fraction_LPV_VKT" localSheetId="4">'Light Vehicle Supporting Data'!#REF!</definedName>
    <definedName name="Fraction_LPV_VKT" localSheetId="3">'Light Vehicle Supporting Data'!#REF!</definedName>
    <definedName name="Fraction_LPV_VKT" localSheetId="21">'Light Vehicle Supporting Data'!#REF!</definedName>
    <definedName name="Fraction_LPV_VKT" localSheetId="23">'Light Vehicle Supporting Data'!#REF!</definedName>
    <definedName name="Fraction_LPV_VKT" localSheetId="25">'Light Vehicle Supporting Data'!#REF!</definedName>
    <definedName name="Fraction_LPV_VKT" localSheetId="29">'Taxi-Vehicle Share Supporting D'!#REF!</definedName>
    <definedName name="Fraction_LPV_VKT">'Light Vehicle Supporting Data'!#REF!</definedName>
    <definedName name="Light_Household_Vehicle_Fraction" localSheetId="29">'Taxi-Vehicle Share Supporting D'!#REF!</definedName>
    <definedName name="Light_Household_Vehicle_Fraction">'Light Vehicle Supporting Data'!$E$132</definedName>
    <definedName name="Light_Household_VKT_Fraction" localSheetId="29">'Taxi-Vehicle Share Supporting D'!#REF!</definedName>
    <definedName name="Light_Household_VKT_Fraction">'Light Vehicle Supporting Data'!$E$86</definedName>
    <definedName name="PT_Bus_VKT_Fraction" localSheetId="26">'Heavy Bus Supporting Data'!#REF!</definedName>
    <definedName name="PT_Bus_VKT_Fraction" localSheetId="18">'Heavy Bus Supporting Data'!#REF!</definedName>
    <definedName name="PT_Bus_VKT_Fraction" localSheetId="22">'Heavy Bus Supporting Data'!#REF!</definedName>
    <definedName name="PT_Bus_VKT_Fraction" localSheetId="24">'Heavy Bus Supporting Data'!#REF!</definedName>
    <definedName name="PT_Bus_VKT_Fraction" localSheetId="4">'Heavy Bus Supporting Data'!#REF!</definedName>
    <definedName name="PT_Bus_VKT_Fraction" localSheetId="3">'Heavy Bus Supporting Data'!#REF!</definedName>
    <definedName name="PT_Bus_VKT_Fraction" localSheetId="21">'Heavy Bus Supporting Data'!#REF!</definedName>
    <definedName name="PT_Bus_VKT_Fraction" localSheetId="23">'Heavy Bus Supporting Data'!#REF!</definedName>
    <definedName name="PT_Bus_VKT_Fraction" localSheetId="25">'Heavy Bus Supporting Data'!#REF!</definedName>
    <definedName name="PT_Bus_VKT_Fraction">'Heavy Bus Supporting Data'!#REF!</definedName>
    <definedName name="Taxi_Commercial_Share">'Taxi-Vehicle Share Supporting D'!$D$220</definedName>
    <definedName name="Taxi_Household_Share">'Taxi-Vehicle Share Supporting D'!$D$218</definedName>
    <definedName name="Taxi_Tourist_Share">'Taxi-Vehicle Share Supporting D'!$D$219</definedName>
    <definedName name="test" localSheetId="18">'Light Vehicle Supporting Data'!#REF!</definedName>
    <definedName name="test" localSheetId="22">'Light Vehicle Supporting Data'!#REF!</definedName>
    <definedName name="test" localSheetId="24">'Light Vehicle Supporting Data'!#REF!</definedName>
    <definedName name="test" localSheetId="4">'Light Vehicle Supporting Data'!#REF!</definedName>
    <definedName name="test" localSheetId="21">'Light Vehicle Supporting Data'!#REF!</definedName>
    <definedName name="test" localSheetId="23">'Light Vehicle Supporting Data'!#REF!</definedName>
    <definedName name="test" localSheetId="25">'Light Vehicle Supporting Data'!#REF!</definedName>
    <definedName name="test">'Light Vehicle Supporting Data'!#REF!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6" l="1"/>
  <c r="O20" i="6"/>
  <c r="M20" i="6"/>
  <c r="K20" i="6"/>
  <c r="I20" i="6"/>
  <c r="Q19" i="6"/>
  <c r="O19" i="6"/>
  <c r="M19" i="6"/>
  <c r="K19" i="6"/>
  <c r="I19" i="6"/>
  <c r="Q18" i="6"/>
  <c r="O18" i="6"/>
  <c r="M18" i="6"/>
  <c r="K18" i="6"/>
  <c r="I18" i="6"/>
  <c r="Q17" i="6"/>
  <c r="O17" i="6"/>
  <c r="M17" i="6"/>
  <c r="K17" i="6"/>
  <c r="I17" i="6"/>
  <c r="Q16" i="6"/>
  <c r="O16" i="6"/>
  <c r="M16" i="6"/>
  <c r="K16" i="6"/>
  <c r="I16" i="6"/>
  <c r="Q15" i="6"/>
  <c r="O15" i="6"/>
  <c r="M15" i="6"/>
  <c r="K15" i="6"/>
  <c r="I15" i="6"/>
  <c r="Q14" i="6"/>
  <c r="O14" i="6"/>
  <c r="M14" i="6"/>
  <c r="K14" i="6"/>
  <c r="I14" i="6"/>
  <c r="Q13" i="6"/>
  <c r="O13" i="6"/>
  <c r="M13" i="6"/>
  <c r="K13" i="6"/>
  <c r="I13" i="6"/>
  <c r="Q12" i="6"/>
  <c r="O12" i="6"/>
  <c r="M12" i="6"/>
  <c r="K12" i="6"/>
  <c r="I12" i="6"/>
  <c r="Q11" i="6"/>
  <c r="O11" i="6"/>
  <c r="M11" i="6"/>
  <c r="K11" i="6"/>
  <c r="I11" i="6"/>
  <c r="Q10" i="6"/>
  <c r="O10" i="6"/>
  <c r="M10" i="6"/>
  <c r="K10" i="6"/>
  <c r="I10" i="6"/>
  <c r="Q9" i="6"/>
  <c r="O9" i="6"/>
  <c r="M9" i="6"/>
  <c r="K9" i="6"/>
  <c r="I9" i="6"/>
  <c r="Q8" i="6"/>
  <c r="O8" i="6"/>
  <c r="M8" i="6"/>
  <c r="K8" i="6"/>
  <c r="I8" i="6"/>
  <c r="Q7" i="6"/>
  <c r="O7" i="6"/>
  <c r="M7" i="6"/>
  <c r="K7" i="6"/>
  <c r="I7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R28" i="7"/>
  <c r="Q28" i="7"/>
  <c r="P28" i="7"/>
  <c r="O28" i="7"/>
  <c r="N28" i="7"/>
  <c r="M28" i="7"/>
  <c r="L28" i="7"/>
  <c r="K28" i="7"/>
  <c r="I28" i="7"/>
  <c r="H28" i="7"/>
  <c r="G28" i="7"/>
  <c r="F28" i="7"/>
  <c r="E28" i="7"/>
  <c r="D28" i="7"/>
  <c r="R119" i="23"/>
  <c r="Q119" i="23"/>
  <c r="P119" i="23"/>
  <c r="O119" i="23"/>
  <c r="N119" i="23"/>
  <c r="M119" i="23"/>
  <c r="L119" i="23"/>
  <c r="K119" i="23"/>
  <c r="R118" i="23"/>
  <c r="Q118" i="23"/>
  <c r="P118" i="23"/>
  <c r="O118" i="23"/>
  <c r="N118" i="23"/>
  <c r="M118" i="23"/>
  <c r="L118" i="23"/>
  <c r="K118" i="23"/>
  <c r="R117" i="23"/>
  <c r="Q117" i="23"/>
  <c r="P117" i="23"/>
  <c r="O117" i="23"/>
  <c r="N117" i="23"/>
  <c r="M117" i="23"/>
  <c r="L117" i="23"/>
  <c r="K117" i="23"/>
  <c r="R116" i="23"/>
  <c r="Q116" i="23"/>
  <c r="P116" i="23"/>
  <c r="O116" i="23"/>
  <c r="N116" i="23"/>
  <c r="M116" i="23"/>
  <c r="L116" i="23"/>
  <c r="K116" i="23"/>
  <c r="R115" i="23"/>
  <c r="Q115" i="23"/>
  <c r="P115" i="23"/>
  <c r="O115" i="23"/>
  <c r="N115" i="23"/>
  <c r="M115" i="23"/>
  <c r="L115" i="23"/>
  <c r="K115" i="23"/>
  <c r="R114" i="23"/>
  <c r="Q114" i="23"/>
  <c r="P114" i="23"/>
  <c r="O114" i="23"/>
  <c r="N114" i="23"/>
  <c r="M114" i="23"/>
  <c r="L114" i="23"/>
  <c r="K114" i="23"/>
  <c r="R113" i="23"/>
  <c r="Q113" i="23"/>
  <c r="P113" i="23"/>
  <c r="O113" i="23"/>
  <c r="N113" i="23"/>
  <c r="M113" i="23"/>
  <c r="L113" i="23"/>
  <c r="K113" i="23"/>
  <c r="R112" i="23"/>
  <c r="Q112" i="23"/>
  <c r="P112" i="23"/>
  <c r="O112" i="23"/>
  <c r="N112" i="23"/>
  <c r="M112" i="23"/>
  <c r="L112" i="23"/>
  <c r="K112" i="23"/>
  <c r="R111" i="23"/>
  <c r="Q111" i="23"/>
  <c r="P111" i="23"/>
  <c r="O111" i="23"/>
  <c r="N111" i="23"/>
  <c r="M111" i="23"/>
  <c r="L111" i="23"/>
  <c r="K111" i="23"/>
  <c r="R110" i="23"/>
  <c r="Q110" i="23"/>
  <c r="P110" i="23"/>
  <c r="O110" i="23"/>
  <c r="N110" i="23"/>
  <c r="M110" i="23"/>
  <c r="L110" i="23"/>
  <c r="K110" i="23"/>
  <c r="R109" i="23"/>
  <c r="Q109" i="23"/>
  <c r="P109" i="23"/>
  <c r="O109" i="23"/>
  <c r="N109" i="23"/>
  <c r="M109" i="23"/>
  <c r="L109" i="23"/>
  <c r="K109" i="23"/>
  <c r="R108" i="23"/>
  <c r="Q108" i="23"/>
  <c r="P108" i="23"/>
  <c r="O108" i="23"/>
  <c r="N108" i="23"/>
  <c r="M108" i="23"/>
  <c r="L108" i="23"/>
  <c r="K108" i="23"/>
  <c r="R107" i="23"/>
  <c r="Q107" i="23"/>
  <c r="P107" i="23"/>
  <c r="O107" i="23"/>
  <c r="N107" i="23"/>
  <c r="M107" i="23"/>
  <c r="L107" i="23"/>
  <c r="K107" i="23"/>
  <c r="R106" i="23"/>
  <c r="Q106" i="23"/>
  <c r="P106" i="23"/>
  <c r="O106" i="23"/>
  <c r="N106" i="23"/>
  <c r="M106" i="23"/>
  <c r="L106" i="23"/>
  <c r="K106" i="23"/>
  <c r="R60" i="23"/>
  <c r="Q60" i="23"/>
  <c r="P60" i="23"/>
  <c r="O60" i="23"/>
  <c r="N60" i="23"/>
  <c r="M60" i="23"/>
  <c r="L60" i="23"/>
  <c r="K60" i="23"/>
  <c r="R59" i="23"/>
  <c r="Q59" i="23"/>
  <c r="P59" i="23"/>
  <c r="O59" i="23"/>
  <c r="N59" i="23"/>
  <c r="M59" i="23"/>
  <c r="L59" i="23"/>
  <c r="K59" i="23"/>
  <c r="R58" i="23"/>
  <c r="Q58" i="23"/>
  <c r="P58" i="23"/>
  <c r="O58" i="23"/>
  <c r="N58" i="23"/>
  <c r="M58" i="23"/>
  <c r="L58" i="23"/>
  <c r="K58" i="23"/>
  <c r="R57" i="23"/>
  <c r="Q57" i="23"/>
  <c r="P57" i="23"/>
  <c r="O57" i="23"/>
  <c r="N57" i="23"/>
  <c r="M57" i="23"/>
  <c r="L57" i="23"/>
  <c r="K57" i="23"/>
  <c r="R56" i="23"/>
  <c r="Q56" i="23"/>
  <c r="P56" i="23"/>
  <c r="O56" i="23"/>
  <c r="N56" i="23"/>
  <c r="M56" i="23"/>
  <c r="L56" i="23"/>
  <c r="K56" i="23"/>
  <c r="R55" i="23"/>
  <c r="Q55" i="23"/>
  <c r="P55" i="23"/>
  <c r="O55" i="23"/>
  <c r="N55" i="23"/>
  <c r="M55" i="23"/>
  <c r="L55" i="23"/>
  <c r="K55" i="23"/>
  <c r="R54" i="23"/>
  <c r="Q54" i="23"/>
  <c r="P54" i="23"/>
  <c r="O54" i="23"/>
  <c r="N54" i="23"/>
  <c r="M54" i="23"/>
  <c r="L54" i="23"/>
  <c r="K54" i="23"/>
  <c r="R53" i="23"/>
  <c r="Q53" i="23"/>
  <c r="P53" i="23"/>
  <c r="O53" i="23"/>
  <c r="N53" i="23"/>
  <c r="M53" i="23"/>
  <c r="L53" i="23"/>
  <c r="K53" i="23"/>
  <c r="R52" i="23"/>
  <c r="Q52" i="23"/>
  <c r="P52" i="23"/>
  <c r="O52" i="23"/>
  <c r="N52" i="23"/>
  <c r="M52" i="23"/>
  <c r="L52" i="23"/>
  <c r="K52" i="23"/>
  <c r="R51" i="23"/>
  <c r="Q51" i="23"/>
  <c r="P51" i="23"/>
  <c r="O51" i="23"/>
  <c r="N51" i="23"/>
  <c r="M51" i="23"/>
  <c r="L51" i="23"/>
  <c r="K51" i="23"/>
  <c r="R50" i="23"/>
  <c r="Q50" i="23"/>
  <c r="P50" i="23"/>
  <c r="O50" i="23"/>
  <c r="N50" i="23"/>
  <c r="M50" i="23"/>
  <c r="L50" i="23"/>
  <c r="K50" i="23"/>
  <c r="R49" i="23"/>
  <c r="Q49" i="23"/>
  <c r="P49" i="23"/>
  <c r="O49" i="23"/>
  <c r="N49" i="23"/>
  <c r="M49" i="23"/>
  <c r="L49" i="23"/>
  <c r="K49" i="23"/>
  <c r="R48" i="23"/>
  <c r="Q48" i="23"/>
  <c r="P48" i="23"/>
  <c r="O48" i="23"/>
  <c r="N48" i="23"/>
  <c r="M48" i="23"/>
  <c r="L48" i="23"/>
  <c r="K48" i="23"/>
  <c r="R47" i="23"/>
  <c r="Q47" i="23"/>
  <c r="P47" i="23"/>
  <c r="O47" i="23"/>
  <c r="N47" i="23"/>
  <c r="M47" i="23"/>
  <c r="L47" i="23"/>
  <c r="K47" i="23"/>
  <c r="H28" i="10" l="1"/>
  <c r="H24" i="38" s="1"/>
  <c r="J28" i="10"/>
  <c r="J24" i="38" s="1"/>
  <c r="I28" i="10"/>
  <c r="I24" i="38" s="1"/>
  <c r="I31" i="13" l="1"/>
  <c r="I29" i="13"/>
  <c r="I28" i="13"/>
  <c r="I64" i="7"/>
  <c r="I62" i="7"/>
  <c r="I61" i="7"/>
  <c r="I191" i="3"/>
  <c r="I190" i="3"/>
  <c r="I181" i="3"/>
  <c r="I180" i="3"/>
  <c r="I171" i="3"/>
  <c r="I170" i="3"/>
  <c r="I161" i="3"/>
  <c r="I160" i="3"/>
  <c r="I151" i="3"/>
  <c r="I150" i="3"/>
  <c r="I141" i="3"/>
  <c r="I140" i="3"/>
  <c r="G22" i="34"/>
  <c r="F22" i="34"/>
  <c r="E22" i="34"/>
  <c r="D22" i="34"/>
  <c r="C22" i="34"/>
  <c r="G20" i="34"/>
  <c r="F20" i="34"/>
  <c r="E20" i="34"/>
  <c r="D20" i="34"/>
  <c r="C20" i="34"/>
  <c r="G19" i="34"/>
  <c r="F19" i="34"/>
  <c r="E19" i="34"/>
  <c r="D19" i="34"/>
  <c r="C19" i="34"/>
  <c r="G18" i="34"/>
  <c r="F18" i="34"/>
  <c r="E18" i="34"/>
  <c r="D18" i="34"/>
  <c r="C18" i="34"/>
  <c r="G17" i="34"/>
  <c r="F17" i="34"/>
  <c r="E17" i="34"/>
  <c r="D17" i="34"/>
  <c r="C17" i="34"/>
  <c r="G16" i="34"/>
  <c r="F16" i="34"/>
  <c r="E16" i="34"/>
  <c r="D16" i="34"/>
  <c r="C16" i="34"/>
  <c r="G15" i="34"/>
  <c r="F15" i="34"/>
  <c r="E15" i="34"/>
  <c r="D15" i="34"/>
  <c r="C15" i="34"/>
  <c r="G14" i="34"/>
  <c r="F14" i="34"/>
  <c r="E14" i="34"/>
  <c r="D14" i="34"/>
  <c r="C14" i="34"/>
  <c r="G13" i="34"/>
  <c r="F13" i="34"/>
  <c r="E13" i="34"/>
  <c r="D13" i="34"/>
  <c r="C13" i="34"/>
  <c r="G12" i="34"/>
  <c r="F12" i="34"/>
  <c r="E12" i="34"/>
  <c r="D12" i="34"/>
  <c r="C12" i="34"/>
  <c r="G11" i="34"/>
  <c r="F11" i="34"/>
  <c r="E11" i="34"/>
  <c r="D11" i="34"/>
  <c r="C11" i="34"/>
  <c r="G10" i="34"/>
  <c r="F10" i="34"/>
  <c r="E10" i="34"/>
  <c r="D10" i="34"/>
  <c r="C10" i="34"/>
  <c r="G9" i="34"/>
  <c r="F9" i="34"/>
  <c r="E9" i="34"/>
  <c r="D9" i="34"/>
  <c r="C9" i="34"/>
  <c r="G8" i="34"/>
  <c r="F8" i="34"/>
  <c r="E8" i="34"/>
  <c r="D8" i="34"/>
  <c r="C8" i="34"/>
  <c r="G7" i="34"/>
  <c r="F7" i="34"/>
  <c r="E7" i="34"/>
  <c r="D7" i="34"/>
  <c r="C7" i="34"/>
  <c r="G6" i="34"/>
  <c r="F6" i="34"/>
  <c r="E6" i="34"/>
  <c r="D6" i="34"/>
  <c r="C6" i="34"/>
  <c r="I166" i="19"/>
  <c r="I125" i="19"/>
  <c r="I84" i="19"/>
  <c r="I166" i="17"/>
  <c r="I125" i="17"/>
  <c r="I84" i="17"/>
  <c r="J31" i="13" l="1"/>
  <c r="J29" i="13"/>
  <c r="J28" i="13"/>
  <c r="J64" i="7"/>
  <c r="J62" i="7"/>
  <c r="J61" i="7"/>
  <c r="G22" i="36"/>
  <c r="F22" i="36"/>
  <c r="E22" i="36"/>
  <c r="D22" i="36"/>
  <c r="C22" i="36"/>
  <c r="G20" i="36"/>
  <c r="F20" i="36"/>
  <c r="E20" i="36"/>
  <c r="D20" i="36"/>
  <c r="C20" i="36"/>
  <c r="G19" i="36"/>
  <c r="F19" i="36"/>
  <c r="E19" i="36"/>
  <c r="D19" i="36"/>
  <c r="C19" i="36"/>
  <c r="G18" i="36"/>
  <c r="F18" i="36"/>
  <c r="E18" i="36"/>
  <c r="D18" i="36"/>
  <c r="C18" i="36"/>
  <c r="G17" i="36"/>
  <c r="F17" i="36"/>
  <c r="E17" i="36"/>
  <c r="D17" i="36"/>
  <c r="C17" i="36"/>
  <c r="G16" i="36"/>
  <c r="F16" i="36"/>
  <c r="E16" i="36"/>
  <c r="D16" i="36"/>
  <c r="C16" i="36"/>
  <c r="G15" i="36"/>
  <c r="F15" i="36"/>
  <c r="E15" i="36"/>
  <c r="D15" i="36"/>
  <c r="C15" i="36"/>
  <c r="G14" i="36"/>
  <c r="F14" i="36"/>
  <c r="E14" i="36"/>
  <c r="D14" i="36"/>
  <c r="C14" i="36"/>
  <c r="G13" i="36"/>
  <c r="F13" i="36"/>
  <c r="E13" i="36"/>
  <c r="D13" i="36"/>
  <c r="C13" i="36"/>
  <c r="G12" i="36"/>
  <c r="F12" i="36"/>
  <c r="E12" i="36"/>
  <c r="D12" i="36"/>
  <c r="C12" i="36"/>
  <c r="G11" i="36"/>
  <c r="F11" i="36"/>
  <c r="E11" i="36"/>
  <c r="D11" i="36"/>
  <c r="C11" i="36"/>
  <c r="G10" i="36"/>
  <c r="F10" i="36"/>
  <c r="E10" i="36"/>
  <c r="D10" i="36"/>
  <c r="C10" i="36"/>
  <c r="G9" i="36"/>
  <c r="F9" i="36"/>
  <c r="E9" i="36"/>
  <c r="D9" i="36"/>
  <c r="C9" i="36"/>
  <c r="G8" i="36"/>
  <c r="F8" i="36"/>
  <c r="E8" i="36"/>
  <c r="D8" i="36"/>
  <c r="C8" i="36"/>
  <c r="G7" i="36"/>
  <c r="F7" i="36"/>
  <c r="E7" i="36"/>
  <c r="D7" i="36"/>
  <c r="C7" i="36"/>
  <c r="G6" i="36"/>
  <c r="F6" i="36"/>
  <c r="E6" i="36"/>
  <c r="D6" i="36"/>
  <c r="C6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6" i="34"/>
  <c r="H19" i="34"/>
  <c r="H18" i="34"/>
  <c r="H17" i="34"/>
  <c r="H16" i="34"/>
  <c r="H15" i="34"/>
  <c r="H14" i="34"/>
  <c r="H13" i="34"/>
  <c r="H12" i="34"/>
  <c r="H11" i="34"/>
  <c r="H10" i="34"/>
  <c r="H9" i="34"/>
  <c r="H8" i="34"/>
  <c r="H7" i="34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J63" i="7" l="1"/>
  <c r="J65" i="7" s="1"/>
  <c r="J30" i="13"/>
  <c r="J32" i="13" s="1"/>
  <c r="C21" i="36"/>
  <c r="C23" i="36" s="1"/>
  <c r="G21" i="36"/>
  <c r="G23" i="36" s="1"/>
  <c r="F21" i="36"/>
  <c r="F23" i="36" s="1"/>
  <c r="E21" i="36"/>
  <c r="E23" i="36" s="1"/>
  <c r="D21" i="36"/>
  <c r="D23" i="36" s="1"/>
  <c r="F1" i="25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Q1" i="25" s="1"/>
  <c r="R1" i="25" s="1"/>
  <c r="E1" i="25"/>
  <c r="J41" i="12" l="1"/>
  <c r="J37" i="12"/>
  <c r="J33" i="12"/>
  <c r="J29" i="12"/>
  <c r="J39" i="12"/>
  <c r="J35" i="12"/>
  <c r="J31" i="12"/>
  <c r="J38" i="12"/>
  <c r="J34" i="12"/>
  <c r="J30" i="12"/>
  <c r="J40" i="12"/>
  <c r="J36" i="12"/>
  <c r="J32" i="12"/>
  <c r="J28" i="12"/>
  <c r="F1" i="26"/>
  <c r="G1" i="26" s="1"/>
  <c r="H1" i="26" s="1"/>
  <c r="I1" i="26" s="1"/>
  <c r="J1" i="26" s="1"/>
  <c r="E1" i="26"/>
  <c r="J166" i="17"/>
  <c r="J125" i="17"/>
  <c r="J84" i="17"/>
  <c r="J166" i="19"/>
  <c r="J125" i="19"/>
  <c r="J84" i="19"/>
  <c r="J43" i="12"/>
  <c r="J191" i="3"/>
  <c r="J190" i="3"/>
  <c r="J181" i="3"/>
  <c r="J180" i="3"/>
  <c r="J171" i="3"/>
  <c r="J170" i="3"/>
  <c r="J161" i="3"/>
  <c r="J160" i="3"/>
  <c r="J151" i="3"/>
  <c r="J150" i="3"/>
  <c r="J141" i="3"/>
  <c r="J140" i="3"/>
  <c r="K1" i="26" l="1"/>
  <c r="L1" i="26" s="1"/>
  <c r="M1" i="26" s="1"/>
  <c r="N1" i="26" s="1"/>
  <c r="O1" i="26" s="1"/>
  <c r="P1" i="26" s="1"/>
  <c r="Q1" i="26" s="1"/>
  <c r="R1" i="26" s="1"/>
  <c r="J24" i="22"/>
  <c r="J42" i="12"/>
  <c r="J142" i="3"/>
  <c r="J144" i="3" s="1"/>
  <c r="J143" i="3"/>
  <c r="J152" i="3"/>
  <c r="J154" i="3" s="1"/>
  <c r="J153" i="3"/>
  <c r="J162" i="3"/>
  <c r="J164" i="3" s="1"/>
  <c r="J163" i="3"/>
  <c r="J172" i="3"/>
  <c r="J174" i="3" s="1"/>
  <c r="J173" i="3"/>
  <c r="J182" i="3"/>
  <c r="J184" i="3" s="1"/>
  <c r="J183" i="3"/>
  <c r="J192" i="3"/>
  <c r="J194" i="3" s="1"/>
  <c r="J193" i="3"/>
  <c r="K83" i="3"/>
  <c r="J178" i="26"/>
  <c r="J118" i="26"/>
  <c r="J43" i="26"/>
  <c r="J208" i="26"/>
  <c r="J58" i="26"/>
  <c r="J103" i="26"/>
  <c r="J133" i="26"/>
  <c r="J148" i="26"/>
  <c r="J28" i="26"/>
  <c r="J221" i="26"/>
  <c r="J163" i="26"/>
  <c r="J13" i="26"/>
  <c r="J73" i="26"/>
  <c r="J88" i="26"/>
  <c r="J193" i="26"/>
  <c r="J223" i="26" l="1"/>
  <c r="J238" i="26" s="1"/>
  <c r="J26" i="22"/>
  <c r="J54" i="38" s="1"/>
  <c r="J26" i="38"/>
  <c r="J236" i="26"/>
  <c r="J52" i="38"/>
  <c r="J164" i="19"/>
  <c r="J160" i="19"/>
  <c r="J156" i="19"/>
  <c r="J152" i="19"/>
  <c r="J157" i="19"/>
  <c r="J163" i="19"/>
  <c r="J159" i="19"/>
  <c r="J155" i="19"/>
  <c r="J151" i="19"/>
  <c r="J153" i="19"/>
  <c r="J162" i="19"/>
  <c r="J158" i="19"/>
  <c r="J154" i="19"/>
  <c r="J161" i="19"/>
  <c r="J164" i="17"/>
  <c r="J160" i="17"/>
  <c r="J156" i="17"/>
  <c r="J152" i="17"/>
  <c r="J163" i="17"/>
  <c r="J159" i="17"/>
  <c r="J155" i="17"/>
  <c r="J151" i="17"/>
  <c r="J162" i="17"/>
  <c r="J158" i="17"/>
  <c r="J154" i="17"/>
  <c r="J161" i="17"/>
  <c r="J157" i="17"/>
  <c r="J153" i="17"/>
  <c r="J80" i="19"/>
  <c r="J76" i="19"/>
  <c r="J72" i="19"/>
  <c r="J78" i="19"/>
  <c r="J70" i="19"/>
  <c r="J81" i="19"/>
  <c r="J77" i="19"/>
  <c r="J69" i="19"/>
  <c r="J79" i="19"/>
  <c r="J75" i="19"/>
  <c r="J71" i="19"/>
  <c r="J82" i="19"/>
  <c r="J74" i="19"/>
  <c r="J73" i="19"/>
  <c r="J119" i="19"/>
  <c r="J115" i="19"/>
  <c r="J111" i="19"/>
  <c r="J121" i="19"/>
  <c r="J113" i="19"/>
  <c r="J123" i="19"/>
  <c r="J112" i="19"/>
  <c r="J118" i="19"/>
  <c r="J114" i="19"/>
  <c r="J110" i="19"/>
  <c r="J120" i="19"/>
  <c r="J117" i="19"/>
  <c r="J116" i="19"/>
  <c r="J122" i="19"/>
  <c r="J122" i="17"/>
  <c r="J118" i="17"/>
  <c r="J114" i="17"/>
  <c r="J110" i="17"/>
  <c r="J121" i="17"/>
  <c r="J117" i="17"/>
  <c r="J113" i="17"/>
  <c r="J120" i="17"/>
  <c r="J116" i="17"/>
  <c r="J112" i="17"/>
  <c r="J115" i="17"/>
  <c r="J111" i="17"/>
  <c r="J123" i="17"/>
  <c r="J119" i="17"/>
  <c r="J79" i="17"/>
  <c r="J75" i="17"/>
  <c r="J71" i="17"/>
  <c r="J82" i="17"/>
  <c r="J78" i="17"/>
  <c r="J74" i="17"/>
  <c r="J70" i="17"/>
  <c r="J81" i="17"/>
  <c r="J77" i="17"/>
  <c r="J73" i="17"/>
  <c r="J69" i="17"/>
  <c r="J72" i="17"/>
  <c r="J76" i="17"/>
  <c r="J80" i="17"/>
  <c r="J10" i="26"/>
  <c r="J129" i="26"/>
  <c r="J160" i="26"/>
  <c r="J130" i="26"/>
  <c r="J174" i="26"/>
  <c r="J100" i="26"/>
  <c r="J85" i="26"/>
  <c r="J190" i="26"/>
  <c r="J204" i="26"/>
  <c r="J25" i="26"/>
  <c r="J159" i="26"/>
  <c r="J70" i="26"/>
  <c r="J189" i="26"/>
  <c r="J175" i="26"/>
  <c r="J99" i="26"/>
  <c r="J24" i="26"/>
  <c r="J54" i="26"/>
  <c r="J145" i="26"/>
  <c r="J114" i="26"/>
  <c r="J84" i="26"/>
  <c r="J205" i="26"/>
  <c r="J69" i="26"/>
  <c r="J9" i="26"/>
  <c r="J115" i="26"/>
  <c r="J40" i="26"/>
  <c r="J144" i="26"/>
  <c r="J55" i="26"/>
  <c r="J39" i="26"/>
  <c r="J220" i="26" l="1"/>
  <c r="J30" i="19"/>
  <c r="J36" i="19"/>
  <c r="J29" i="19"/>
  <c r="J38" i="19"/>
  <c r="J124" i="19"/>
  <c r="J41" i="19"/>
  <c r="J35" i="19"/>
  <c r="J28" i="19"/>
  <c r="J37" i="19"/>
  <c r="J34" i="19"/>
  <c r="J165" i="19"/>
  <c r="J83" i="19"/>
  <c r="J31" i="19"/>
  <c r="J40" i="19"/>
  <c r="J33" i="19"/>
  <c r="J39" i="19"/>
  <c r="J32" i="19"/>
  <c r="J219" i="26"/>
  <c r="J80" i="8"/>
  <c r="J74" i="8"/>
  <c r="J33" i="17"/>
  <c r="J161" i="8"/>
  <c r="J164" i="8"/>
  <c r="J122" i="8"/>
  <c r="J113" i="8"/>
  <c r="J69" i="8"/>
  <c r="J28" i="17"/>
  <c r="J83" i="17"/>
  <c r="J75" i="8"/>
  <c r="J34" i="17"/>
  <c r="J158" i="8"/>
  <c r="J152" i="8"/>
  <c r="J111" i="8"/>
  <c r="J116" i="8"/>
  <c r="J79" i="8"/>
  <c r="J38" i="17"/>
  <c r="J73" i="8"/>
  <c r="J32" i="17"/>
  <c r="J35" i="17"/>
  <c r="J76" i="8"/>
  <c r="J41" i="17"/>
  <c r="J82" i="8"/>
  <c r="J162" i="8"/>
  <c r="J155" i="8"/>
  <c r="J156" i="8"/>
  <c r="J117" i="8"/>
  <c r="J115" i="8"/>
  <c r="J110" i="8"/>
  <c r="J120" i="8"/>
  <c r="J81" i="8"/>
  <c r="J40" i="17"/>
  <c r="J157" i="8"/>
  <c r="J163" i="8"/>
  <c r="J124" i="17"/>
  <c r="J112" i="8"/>
  <c r="J30" i="17"/>
  <c r="J71" i="8"/>
  <c r="J37" i="17"/>
  <c r="J78" i="8"/>
  <c r="J151" i="8"/>
  <c r="J165" i="17"/>
  <c r="J39" i="17"/>
  <c r="J121" i="8"/>
  <c r="J72" i="8"/>
  <c r="J31" i="17"/>
  <c r="J77" i="8"/>
  <c r="J70" i="8"/>
  <c r="J29" i="17"/>
  <c r="J154" i="8"/>
  <c r="J153" i="8"/>
  <c r="J159" i="8"/>
  <c r="J160" i="8"/>
  <c r="J114" i="8"/>
  <c r="J119" i="8"/>
  <c r="J36" i="17"/>
  <c r="J118" i="8"/>
  <c r="J123" i="8"/>
  <c r="J68" i="26"/>
  <c r="J157" i="26"/>
  <c r="J202" i="26"/>
  <c r="J203" i="26"/>
  <c r="I221" i="26"/>
  <c r="J143" i="26"/>
  <c r="J188" i="26"/>
  <c r="J112" i="26"/>
  <c r="J37" i="26"/>
  <c r="J128" i="26"/>
  <c r="J52" i="26"/>
  <c r="J82" i="26"/>
  <c r="J97" i="26"/>
  <c r="J67" i="26"/>
  <c r="J142" i="26"/>
  <c r="J38" i="26"/>
  <c r="J53" i="26"/>
  <c r="J187" i="26"/>
  <c r="J127" i="26"/>
  <c r="J172" i="26"/>
  <c r="J8" i="26"/>
  <c r="J158" i="26"/>
  <c r="J83" i="26"/>
  <c r="J23" i="26"/>
  <c r="J113" i="26"/>
  <c r="J7" i="26"/>
  <c r="J22" i="26"/>
  <c r="J173" i="26"/>
  <c r="J98" i="26"/>
  <c r="J22" i="22" l="1"/>
  <c r="J50" i="38" s="1"/>
  <c r="J22" i="38"/>
  <c r="J23" i="22"/>
  <c r="J51" i="38" s="1"/>
  <c r="J23" i="38"/>
  <c r="I6" i="36"/>
  <c r="J218" i="26"/>
  <c r="J34" i="8"/>
  <c r="J42" i="19"/>
  <c r="J28" i="11"/>
  <c r="J25" i="38" s="1"/>
  <c r="J35" i="8"/>
  <c r="J235" i="26"/>
  <c r="J209" i="26"/>
  <c r="J89" i="26"/>
  <c r="J29" i="26"/>
  <c r="J59" i="26"/>
  <c r="J44" i="26"/>
  <c r="J74" i="26"/>
  <c r="J164" i="26"/>
  <c r="J104" i="26"/>
  <c r="J134" i="26"/>
  <c r="J194" i="26"/>
  <c r="J119" i="26"/>
  <c r="J14" i="26"/>
  <c r="J217" i="26"/>
  <c r="J179" i="26"/>
  <c r="J149" i="26"/>
  <c r="J108" i="3"/>
  <c r="J100" i="3"/>
  <c r="J96" i="3"/>
  <c r="J98" i="3"/>
  <c r="J31" i="8"/>
  <c r="J165" i="8"/>
  <c r="J97" i="3"/>
  <c r="J124" i="8"/>
  <c r="J99" i="3"/>
  <c r="J105" i="3"/>
  <c r="J101" i="3"/>
  <c r="J33" i="8"/>
  <c r="J103" i="3"/>
  <c r="J29" i="8"/>
  <c r="J37" i="8"/>
  <c r="J30" i="8"/>
  <c r="J107" i="3"/>
  <c r="J102" i="3"/>
  <c r="J38" i="8"/>
  <c r="J39" i="8"/>
  <c r="J32" i="8"/>
  <c r="J95" i="3"/>
  <c r="J42" i="17"/>
  <c r="J36" i="8"/>
  <c r="J106" i="3"/>
  <c r="J104" i="3"/>
  <c r="J40" i="8"/>
  <c r="J41" i="8"/>
  <c r="J83" i="8"/>
  <c r="J28" i="8"/>
  <c r="J234" i="26"/>
  <c r="J222" i="26"/>
  <c r="J21" i="22" l="1"/>
  <c r="J49" i="38" s="1"/>
  <c r="J21" i="38"/>
  <c r="J20" i="22"/>
  <c r="J48" i="38" s="1"/>
  <c r="J20" i="38"/>
  <c r="J27" i="38" s="1"/>
  <c r="J122" i="3"/>
  <c r="J126" i="3"/>
  <c r="J123" i="3"/>
  <c r="J118" i="3"/>
  <c r="J121" i="3"/>
  <c r="J117" i="3"/>
  <c r="J116" i="3"/>
  <c r="J128" i="3"/>
  <c r="J233" i="26"/>
  <c r="J42" i="8"/>
  <c r="J27" i="16" s="1"/>
  <c r="J25" i="22"/>
  <c r="J127" i="3"/>
  <c r="J119" i="3"/>
  <c r="J124" i="3"/>
  <c r="J115" i="3"/>
  <c r="J109" i="3"/>
  <c r="J125" i="3"/>
  <c r="J120" i="3"/>
  <c r="J232" i="26"/>
  <c r="J224" i="26"/>
  <c r="J237" i="26" l="1"/>
  <c r="J53" i="38"/>
  <c r="J55" i="38" s="1"/>
  <c r="J27" i="22"/>
  <c r="J129" i="3"/>
  <c r="J239" i="26"/>
  <c r="H21" i="36"/>
  <c r="G20" i="37"/>
  <c r="F20" i="37"/>
  <c r="E20" i="37"/>
  <c r="D20" i="37"/>
  <c r="C20" i="37"/>
  <c r="G19" i="37"/>
  <c r="J20" i="12" s="1"/>
  <c r="F19" i="37"/>
  <c r="J20" i="11" s="1"/>
  <c r="E19" i="37"/>
  <c r="J20" i="10" s="1"/>
  <c r="D19" i="37"/>
  <c r="J20" i="19" s="1"/>
  <c r="G18" i="37"/>
  <c r="J19" i="12" s="1"/>
  <c r="F18" i="37"/>
  <c r="J19" i="11" s="1"/>
  <c r="E18" i="37"/>
  <c r="J19" i="10" s="1"/>
  <c r="D18" i="37"/>
  <c r="J19" i="19" s="1"/>
  <c r="C18" i="37"/>
  <c r="J19" i="17" s="1"/>
  <c r="G17" i="37"/>
  <c r="J18" i="12" s="1"/>
  <c r="F17" i="37"/>
  <c r="J18" i="11" s="1"/>
  <c r="E17" i="37"/>
  <c r="J18" i="10" s="1"/>
  <c r="D17" i="37"/>
  <c r="J18" i="19" s="1"/>
  <c r="G16" i="37"/>
  <c r="J17" i="12" s="1"/>
  <c r="F16" i="37"/>
  <c r="J17" i="11" s="1"/>
  <c r="E16" i="37"/>
  <c r="J17" i="10" s="1"/>
  <c r="D16" i="37"/>
  <c r="J17" i="19" s="1"/>
  <c r="C16" i="37"/>
  <c r="J17" i="17" s="1"/>
  <c r="G15" i="37"/>
  <c r="J16" i="12" s="1"/>
  <c r="F15" i="37"/>
  <c r="J16" i="11" s="1"/>
  <c r="E15" i="37"/>
  <c r="J16" i="10" s="1"/>
  <c r="D15" i="37"/>
  <c r="J16" i="19" s="1"/>
  <c r="G14" i="37"/>
  <c r="J15" i="12" s="1"/>
  <c r="F14" i="37"/>
  <c r="J15" i="11" s="1"/>
  <c r="E14" i="37"/>
  <c r="J15" i="10" s="1"/>
  <c r="D14" i="37"/>
  <c r="J15" i="19" s="1"/>
  <c r="C14" i="37"/>
  <c r="J15" i="17" s="1"/>
  <c r="G13" i="37"/>
  <c r="J14" i="12" s="1"/>
  <c r="F13" i="37"/>
  <c r="J14" i="11" s="1"/>
  <c r="E13" i="37"/>
  <c r="J14" i="10" s="1"/>
  <c r="D13" i="37"/>
  <c r="J14" i="19" s="1"/>
  <c r="G12" i="37"/>
  <c r="J13" i="12" s="1"/>
  <c r="F12" i="37"/>
  <c r="J13" i="11" s="1"/>
  <c r="E12" i="37"/>
  <c r="J13" i="10" s="1"/>
  <c r="D12" i="37"/>
  <c r="J13" i="19" s="1"/>
  <c r="C12" i="37"/>
  <c r="J13" i="17" s="1"/>
  <c r="G11" i="37"/>
  <c r="J12" i="12" s="1"/>
  <c r="F11" i="37"/>
  <c r="J12" i="11" s="1"/>
  <c r="E11" i="37"/>
  <c r="J12" i="10" s="1"/>
  <c r="D11" i="37"/>
  <c r="J12" i="19" s="1"/>
  <c r="G10" i="37"/>
  <c r="J11" i="12" s="1"/>
  <c r="F10" i="37"/>
  <c r="J11" i="11" s="1"/>
  <c r="E10" i="37"/>
  <c r="J11" i="10" s="1"/>
  <c r="D10" i="37"/>
  <c r="J11" i="19" s="1"/>
  <c r="C10" i="37"/>
  <c r="J11" i="17" s="1"/>
  <c r="G9" i="37"/>
  <c r="J10" i="12" s="1"/>
  <c r="F9" i="37"/>
  <c r="J10" i="11" s="1"/>
  <c r="E9" i="37"/>
  <c r="J10" i="10" s="1"/>
  <c r="D9" i="37"/>
  <c r="J10" i="19" s="1"/>
  <c r="G8" i="37"/>
  <c r="J9" i="12" s="1"/>
  <c r="F8" i="37"/>
  <c r="J9" i="11" s="1"/>
  <c r="E8" i="37"/>
  <c r="J9" i="10" s="1"/>
  <c r="D8" i="37"/>
  <c r="J9" i="19" s="1"/>
  <c r="C8" i="37"/>
  <c r="J9" i="17" s="1"/>
  <c r="G7" i="37"/>
  <c r="J8" i="12" s="1"/>
  <c r="F7" i="37"/>
  <c r="J8" i="11" s="1"/>
  <c r="E7" i="37"/>
  <c r="J8" i="10" s="1"/>
  <c r="D7" i="37"/>
  <c r="J8" i="19" s="1"/>
  <c r="G6" i="37"/>
  <c r="J7" i="12" s="1"/>
  <c r="F6" i="37"/>
  <c r="J7" i="11" s="1"/>
  <c r="E6" i="37"/>
  <c r="J7" i="10" s="1"/>
  <c r="D6" i="37"/>
  <c r="J7" i="19" s="1"/>
  <c r="C6" i="37"/>
  <c r="J7" i="17" s="1"/>
  <c r="J41" i="25"/>
  <c r="J27" i="25"/>
  <c r="J86" i="25"/>
  <c r="J28" i="25"/>
  <c r="J12" i="25"/>
  <c r="J88" i="25"/>
  <c r="J56" i="25"/>
  <c r="J116" i="25"/>
  <c r="J87" i="25"/>
  <c r="J192" i="25"/>
  <c r="J43" i="25"/>
  <c r="J147" i="25"/>
  <c r="J73" i="25"/>
  <c r="J193" i="25"/>
  <c r="J206" i="25"/>
  <c r="J26" i="25"/>
  <c r="J191" i="25"/>
  <c r="J161" i="25"/>
  <c r="J177" i="25"/>
  <c r="J146" i="25"/>
  <c r="J11" i="25"/>
  <c r="J207" i="25"/>
  <c r="J176" i="25"/>
  <c r="J102" i="25"/>
  <c r="J131" i="25"/>
  <c r="J71" i="25"/>
  <c r="J72" i="25"/>
  <c r="J118" i="25"/>
  <c r="J42" i="25"/>
  <c r="J208" i="25"/>
  <c r="J101" i="25"/>
  <c r="J133" i="25"/>
  <c r="J103" i="25"/>
  <c r="J117" i="25"/>
  <c r="J132" i="25"/>
  <c r="J58" i="25"/>
  <c r="J13" i="25"/>
  <c r="J162" i="25"/>
  <c r="J57" i="25"/>
  <c r="J178" i="25"/>
  <c r="J163" i="25"/>
  <c r="J148" i="25"/>
  <c r="J49" i="17" l="1"/>
  <c r="J66" i="23"/>
  <c r="J55" i="19"/>
  <c r="J137" i="19"/>
  <c r="J57" i="17"/>
  <c r="J74" i="23"/>
  <c r="J49" i="19"/>
  <c r="J131" i="19"/>
  <c r="J51" i="17"/>
  <c r="J68" i="23"/>
  <c r="J57" i="19"/>
  <c r="J139" i="19"/>
  <c r="J59" i="17"/>
  <c r="J76" i="23"/>
  <c r="J51" i="19"/>
  <c r="J133" i="19"/>
  <c r="J52" i="19"/>
  <c r="J134" i="19"/>
  <c r="J53" i="17"/>
  <c r="J70" i="23"/>
  <c r="J59" i="19"/>
  <c r="J141" i="19"/>
  <c r="J60" i="19"/>
  <c r="J142" i="19"/>
  <c r="J61" i="17"/>
  <c r="J78" i="23"/>
  <c r="J56" i="19"/>
  <c r="J138" i="19"/>
  <c r="J50" i="19"/>
  <c r="J132" i="19"/>
  <c r="J58" i="19"/>
  <c r="J140" i="19"/>
  <c r="J53" i="19"/>
  <c r="J135" i="19"/>
  <c r="J54" i="19"/>
  <c r="J136" i="19"/>
  <c r="J55" i="17"/>
  <c r="J72" i="23"/>
  <c r="J61" i="19"/>
  <c r="J143" i="19"/>
  <c r="J62" i="19"/>
  <c r="J144" i="19"/>
  <c r="J139" i="17"/>
  <c r="J86" i="23"/>
  <c r="J87" i="23"/>
  <c r="J133" i="17"/>
  <c r="J94" i="23"/>
  <c r="J95" i="23"/>
  <c r="J141" i="17"/>
  <c r="J93" i="23"/>
  <c r="J88" i="23"/>
  <c r="J89" i="23"/>
  <c r="J135" i="17"/>
  <c r="J96" i="23"/>
  <c r="J97" i="23"/>
  <c r="J143" i="17"/>
  <c r="J131" i="17"/>
  <c r="J92" i="23"/>
  <c r="J90" i="23"/>
  <c r="J91" i="23"/>
  <c r="J137" i="17"/>
  <c r="J98" i="23"/>
  <c r="J99" i="23"/>
  <c r="J222" i="25"/>
  <c r="J223" i="25"/>
  <c r="J221" i="25"/>
  <c r="J21" i="11"/>
  <c r="J12" i="22" s="1"/>
  <c r="J40" i="38" s="1"/>
  <c r="J12" i="38" s="1"/>
  <c r="J13" i="3"/>
  <c r="J7" i="3"/>
  <c r="J21" i="12"/>
  <c r="J13" i="22" s="1"/>
  <c r="J41" i="38" s="1"/>
  <c r="J13" i="38" s="1"/>
  <c r="J15" i="3"/>
  <c r="J21" i="19"/>
  <c r="J9" i="3"/>
  <c r="J17" i="3"/>
  <c r="J21" i="10"/>
  <c r="J11" i="22" s="1"/>
  <c r="J39" i="38" s="1"/>
  <c r="J11" i="38" s="1"/>
  <c r="J11" i="3"/>
  <c r="J19" i="3"/>
  <c r="I9" i="36"/>
  <c r="I13" i="36"/>
  <c r="I17" i="36"/>
  <c r="G21" i="37"/>
  <c r="I10" i="37"/>
  <c r="D21" i="37"/>
  <c r="J22" i="19" s="1"/>
  <c r="I7" i="36"/>
  <c r="I11" i="36"/>
  <c r="I15" i="36"/>
  <c r="I19" i="36"/>
  <c r="E21" i="37"/>
  <c r="I8" i="37"/>
  <c r="I12" i="37"/>
  <c r="I16" i="37"/>
  <c r="I20" i="37"/>
  <c r="F21" i="37"/>
  <c r="I6" i="37"/>
  <c r="I14" i="37"/>
  <c r="I18" i="37"/>
  <c r="I8" i="36"/>
  <c r="I10" i="36"/>
  <c r="I12" i="36"/>
  <c r="I14" i="36"/>
  <c r="I16" i="36"/>
  <c r="I18" i="36"/>
  <c r="I20" i="36"/>
  <c r="C7" i="37"/>
  <c r="C9" i="37"/>
  <c r="C11" i="37"/>
  <c r="C13" i="37"/>
  <c r="C15" i="37"/>
  <c r="C17" i="37"/>
  <c r="C19" i="37"/>
  <c r="J55" i="25"/>
  <c r="J39" i="25"/>
  <c r="J175" i="25"/>
  <c r="J9" i="25"/>
  <c r="J190" i="25"/>
  <c r="J130" i="25"/>
  <c r="J40" i="25"/>
  <c r="J129" i="25"/>
  <c r="J189" i="25"/>
  <c r="J145" i="25"/>
  <c r="J100" i="25"/>
  <c r="J85" i="25"/>
  <c r="J159" i="25"/>
  <c r="J99" i="25"/>
  <c r="J70" i="25"/>
  <c r="J25" i="25"/>
  <c r="J205" i="25"/>
  <c r="J115" i="25"/>
  <c r="J10" i="25"/>
  <c r="J160" i="25"/>
  <c r="J69" i="25"/>
  <c r="P72" i="23" l="1"/>
  <c r="L72" i="23"/>
  <c r="Q72" i="23"/>
  <c r="O72" i="23"/>
  <c r="K72" i="23"/>
  <c r="M72" i="23"/>
  <c r="R72" i="23"/>
  <c r="N72" i="23"/>
  <c r="P78" i="23"/>
  <c r="L78" i="23"/>
  <c r="O78" i="23"/>
  <c r="K78" i="23"/>
  <c r="M78" i="23"/>
  <c r="R78" i="23"/>
  <c r="N78" i="23"/>
  <c r="Q78" i="23"/>
  <c r="P76" i="23"/>
  <c r="L76" i="23"/>
  <c r="O76" i="23"/>
  <c r="K76" i="23"/>
  <c r="M76" i="23"/>
  <c r="R76" i="23"/>
  <c r="N76" i="23"/>
  <c r="Q76" i="23"/>
  <c r="P68" i="23"/>
  <c r="L68" i="23"/>
  <c r="O68" i="23"/>
  <c r="K68" i="23"/>
  <c r="M68" i="23"/>
  <c r="R68" i="23"/>
  <c r="N68" i="23"/>
  <c r="Q68" i="23"/>
  <c r="P74" i="23"/>
  <c r="L74" i="23"/>
  <c r="M74" i="23"/>
  <c r="O74" i="23"/>
  <c r="K74" i="23"/>
  <c r="R74" i="23"/>
  <c r="N74" i="23"/>
  <c r="Q74" i="23"/>
  <c r="P66" i="23"/>
  <c r="L66" i="23"/>
  <c r="M66" i="23"/>
  <c r="O66" i="23"/>
  <c r="K66" i="23"/>
  <c r="Q66" i="23"/>
  <c r="R66" i="23"/>
  <c r="N66" i="23"/>
  <c r="P70" i="23"/>
  <c r="L70" i="23"/>
  <c r="O70" i="23"/>
  <c r="K70" i="23"/>
  <c r="Q70" i="23"/>
  <c r="R70" i="23"/>
  <c r="N70" i="23"/>
  <c r="M70" i="23"/>
  <c r="P91" i="23"/>
  <c r="L91" i="23"/>
  <c r="O91" i="23"/>
  <c r="K91" i="23"/>
  <c r="M91" i="23"/>
  <c r="R91" i="23"/>
  <c r="N91" i="23"/>
  <c r="Q91" i="23"/>
  <c r="P86" i="23"/>
  <c r="L86" i="23"/>
  <c r="Q86" i="23"/>
  <c r="O86" i="23"/>
  <c r="K86" i="23"/>
  <c r="M86" i="23"/>
  <c r="R86" i="23"/>
  <c r="N86" i="23"/>
  <c r="P99" i="23"/>
  <c r="L99" i="23"/>
  <c r="O99" i="23"/>
  <c r="K99" i="23"/>
  <c r="M99" i="23"/>
  <c r="R99" i="23"/>
  <c r="N99" i="23"/>
  <c r="Q99" i="23"/>
  <c r="P90" i="23"/>
  <c r="L90" i="23"/>
  <c r="M90" i="23"/>
  <c r="O90" i="23"/>
  <c r="K90" i="23"/>
  <c r="R90" i="23"/>
  <c r="N90" i="23"/>
  <c r="Q90" i="23"/>
  <c r="P97" i="23"/>
  <c r="L97" i="23"/>
  <c r="O97" i="23"/>
  <c r="K97" i="23"/>
  <c r="M97" i="23"/>
  <c r="R97" i="23"/>
  <c r="N97" i="23"/>
  <c r="Q97" i="23"/>
  <c r="P88" i="23"/>
  <c r="L88" i="23"/>
  <c r="M88" i="23"/>
  <c r="O88" i="23"/>
  <c r="K88" i="23"/>
  <c r="R88" i="23"/>
  <c r="N88" i="23"/>
  <c r="Q88" i="23"/>
  <c r="P94" i="23"/>
  <c r="L94" i="23"/>
  <c r="O94" i="23"/>
  <c r="K94" i="23"/>
  <c r="Q94" i="23"/>
  <c r="R94" i="23"/>
  <c r="N94" i="23"/>
  <c r="M94" i="23"/>
  <c r="P95" i="23"/>
  <c r="L95" i="23"/>
  <c r="O95" i="23"/>
  <c r="K95" i="23"/>
  <c r="Q95" i="23"/>
  <c r="R95" i="23"/>
  <c r="N95" i="23"/>
  <c r="M95" i="23"/>
  <c r="P98" i="23"/>
  <c r="L98" i="23"/>
  <c r="O98" i="23"/>
  <c r="K98" i="23"/>
  <c r="M98" i="23"/>
  <c r="R98" i="23"/>
  <c r="N98" i="23"/>
  <c r="Q98" i="23"/>
  <c r="P92" i="23"/>
  <c r="L92" i="23"/>
  <c r="O92" i="23"/>
  <c r="K92" i="23"/>
  <c r="M92" i="23"/>
  <c r="R92" i="23"/>
  <c r="N92" i="23"/>
  <c r="Q92" i="23"/>
  <c r="P96" i="23"/>
  <c r="L96" i="23"/>
  <c r="M96" i="23"/>
  <c r="O96" i="23"/>
  <c r="K96" i="23"/>
  <c r="R96" i="23"/>
  <c r="N96" i="23"/>
  <c r="Q96" i="23"/>
  <c r="P93" i="23"/>
  <c r="L93" i="23"/>
  <c r="M93" i="23"/>
  <c r="O93" i="23"/>
  <c r="K93" i="23"/>
  <c r="Q93" i="23"/>
  <c r="R93" i="23"/>
  <c r="N93" i="23"/>
  <c r="P89" i="23"/>
  <c r="L89" i="23"/>
  <c r="O89" i="23"/>
  <c r="K89" i="23"/>
  <c r="Q89" i="23"/>
  <c r="R89" i="23"/>
  <c r="N89" i="23"/>
  <c r="M89" i="23"/>
  <c r="P87" i="23"/>
  <c r="L87" i="23"/>
  <c r="O87" i="23"/>
  <c r="K87" i="23"/>
  <c r="Q87" i="23"/>
  <c r="R87" i="23"/>
  <c r="N87" i="23"/>
  <c r="M87" i="23"/>
  <c r="J100" i="23"/>
  <c r="J236" i="25"/>
  <c r="J220" i="25"/>
  <c r="I11" i="37"/>
  <c r="J12" i="17"/>
  <c r="J143" i="8"/>
  <c r="J94" i="17"/>
  <c r="J162" i="18"/>
  <c r="J97" i="19"/>
  <c r="J186" i="18"/>
  <c r="J137" i="8"/>
  <c r="I17" i="37"/>
  <c r="J18" i="17"/>
  <c r="I9" i="37"/>
  <c r="J10" i="17"/>
  <c r="E24" i="37"/>
  <c r="J22" i="10"/>
  <c r="J101" i="19"/>
  <c r="J190" i="18"/>
  <c r="J53" i="8"/>
  <c r="J141" i="8"/>
  <c r="J98" i="19"/>
  <c r="J187" i="18"/>
  <c r="J92" i="17"/>
  <c r="J160" i="18"/>
  <c r="J57" i="8"/>
  <c r="J49" i="8"/>
  <c r="J96" i="17"/>
  <c r="J164" i="18"/>
  <c r="J95" i="19"/>
  <c r="J184" i="18"/>
  <c r="I7" i="37"/>
  <c r="J8" i="17"/>
  <c r="D24" i="37"/>
  <c r="I19" i="37"/>
  <c r="J20" i="17"/>
  <c r="F24" i="37"/>
  <c r="J22" i="11"/>
  <c r="J100" i="19"/>
  <c r="J189" i="18"/>
  <c r="J59" i="8"/>
  <c r="J91" i="19"/>
  <c r="J180" i="18"/>
  <c r="I15" i="37"/>
  <c r="J16" i="17"/>
  <c r="G24" i="37"/>
  <c r="J22" i="12"/>
  <c r="J94" i="19"/>
  <c r="J183" i="18"/>
  <c r="J102" i="17"/>
  <c r="J170" i="18"/>
  <c r="J135" i="8"/>
  <c r="J92" i="19"/>
  <c r="J181" i="18"/>
  <c r="J99" i="19"/>
  <c r="J188" i="18"/>
  <c r="J51" i="8"/>
  <c r="J145" i="19"/>
  <c r="J10" i="22" s="1"/>
  <c r="J38" i="38" s="1"/>
  <c r="J139" i="8"/>
  <c r="J96" i="19"/>
  <c r="J185" i="18"/>
  <c r="J90" i="17"/>
  <c r="J158" i="18"/>
  <c r="J131" i="8"/>
  <c r="J102" i="19"/>
  <c r="J191" i="18"/>
  <c r="J238" i="25"/>
  <c r="I13" i="37"/>
  <c r="J14" i="17"/>
  <c r="D23" i="37"/>
  <c r="J61" i="8"/>
  <c r="J93" i="19"/>
  <c r="J182" i="18"/>
  <c r="J100" i="17"/>
  <c r="J168" i="18"/>
  <c r="J133" i="8"/>
  <c r="J90" i="19"/>
  <c r="J179" i="18"/>
  <c r="J98" i="17"/>
  <c r="J166" i="18"/>
  <c r="J63" i="19"/>
  <c r="J103" i="19"/>
  <c r="J192" i="18"/>
  <c r="J55" i="8"/>
  <c r="J237" i="25"/>
  <c r="E23" i="37"/>
  <c r="G23" i="37"/>
  <c r="C21" i="37"/>
  <c r="J22" i="17" s="1"/>
  <c r="H19" i="37"/>
  <c r="H18" i="37"/>
  <c r="K18" i="37" s="1"/>
  <c r="H17" i="37"/>
  <c r="H16" i="37"/>
  <c r="K16" i="37" s="1"/>
  <c r="H15" i="37"/>
  <c r="H14" i="37"/>
  <c r="K14" i="37" s="1"/>
  <c r="H13" i="37"/>
  <c r="H12" i="37"/>
  <c r="K12" i="37" s="1"/>
  <c r="H11" i="37"/>
  <c r="H10" i="37"/>
  <c r="K10" i="37" s="1"/>
  <c r="H9" i="37"/>
  <c r="H8" i="37"/>
  <c r="K8" i="37" s="1"/>
  <c r="H7" i="37"/>
  <c r="H6" i="37"/>
  <c r="K6" i="37" s="1"/>
  <c r="F23" i="37"/>
  <c r="J113" i="25"/>
  <c r="J173" i="25"/>
  <c r="J83" i="25"/>
  <c r="J67" i="25"/>
  <c r="J187" i="25"/>
  <c r="J37" i="25"/>
  <c r="J143" i="25"/>
  <c r="J157" i="25"/>
  <c r="J53" i="25"/>
  <c r="J98" i="25"/>
  <c r="J203" i="25"/>
  <c r="J97" i="25"/>
  <c r="J23" i="25"/>
  <c r="J8" i="25"/>
  <c r="J127" i="25"/>
  <c r="J128" i="25"/>
  <c r="J7" i="25"/>
  <c r="J68" i="25"/>
  <c r="J188" i="25"/>
  <c r="J158" i="25"/>
  <c r="J38" i="25"/>
  <c r="J60" i="38" l="1"/>
  <c r="J10" i="38"/>
  <c r="J52" i="17"/>
  <c r="J69" i="23"/>
  <c r="J62" i="17"/>
  <c r="J79" i="23"/>
  <c r="J56" i="17"/>
  <c r="J73" i="23"/>
  <c r="J58" i="17"/>
  <c r="J75" i="23"/>
  <c r="J50" i="17"/>
  <c r="J67" i="23"/>
  <c r="J60" i="17"/>
  <c r="J77" i="23"/>
  <c r="J54" i="17"/>
  <c r="J71" i="23"/>
  <c r="J74" i="25"/>
  <c r="J14" i="25"/>
  <c r="J164" i="25"/>
  <c r="J134" i="25"/>
  <c r="J44" i="25"/>
  <c r="J104" i="25"/>
  <c r="J218" i="25"/>
  <c r="J194" i="25"/>
  <c r="K19" i="37"/>
  <c r="J134" i="17"/>
  <c r="K9" i="37"/>
  <c r="J138" i="17"/>
  <c r="J140" i="17"/>
  <c r="J132" i="17"/>
  <c r="J142" i="17"/>
  <c r="J136" i="17"/>
  <c r="K13" i="37"/>
  <c r="K15" i="37"/>
  <c r="J144" i="17"/>
  <c r="K7" i="37"/>
  <c r="K17" i="37"/>
  <c r="K11" i="37"/>
  <c r="J100" i="8"/>
  <c r="J17" i="8" s="1"/>
  <c r="J96" i="8"/>
  <c r="J13" i="8" s="1"/>
  <c r="J98" i="8"/>
  <c r="J15" i="8" s="1"/>
  <c r="J104" i="19"/>
  <c r="J14" i="3"/>
  <c r="J102" i="8"/>
  <c r="J19" i="8" s="1"/>
  <c r="J92" i="8"/>
  <c r="J9" i="8" s="1"/>
  <c r="J18" i="3"/>
  <c r="J94" i="8"/>
  <c r="J11" i="8" s="1"/>
  <c r="J193" i="18"/>
  <c r="J16" i="3"/>
  <c r="J235" i="25"/>
  <c r="J20" i="3"/>
  <c r="J90" i="8"/>
  <c r="J7" i="8" s="1"/>
  <c r="J8" i="3"/>
  <c r="J21" i="17"/>
  <c r="J10" i="3"/>
  <c r="J8" i="22"/>
  <c r="J36" i="38" s="1"/>
  <c r="J12" i="3"/>
  <c r="H21" i="37"/>
  <c r="C23" i="37"/>
  <c r="C24" i="37"/>
  <c r="J84" i="25"/>
  <c r="J114" i="25"/>
  <c r="J174" i="25"/>
  <c r="J54" i="25"/>
  <c r="J24" i="25"/>
  <c r="J144" i="25"/>
  <c r="J204" i="25"/>
  <c r="J8" i="38" l="1"/>
  <c r="J67" i="38" s="1"/>
  <c r="J61" i="38"/>
  <c r="J59" i="38"/>
  <c r="P77" i="23"/>
  <c r="L77" i="23"/>
  <c r="Q77" i="23"/>
  <c r="O77" i="23"/>
  <c r="K77" i="23"/>
  <c r="M77" i="23"/>
  <c r="R77" i="23"/>
  <c r="N77" i="23"/>
  <c r="P75" i="23"/>
  <c r="L75" i="23"/>
  <c r="O75" i="23"/>
  <c r="K75" i="23"/>
  <c r="M75" i="23"/>
  <c r="R75" i="23"/>
  <c r="N75" i="23"/>
  <c r="Q75" i="23"/>
  <c r="P79" i="23"/>
  <c r="L79" i="23"/>
  <c r="O79" i="23"/>
  <c r="K79" i="23"/>
  <c r="M79" i="23"/>
  <c r="R79" i="23"/>
  <c r="N79" i="23"/>
  <c r="Q79" i="23"/>
  <c r="P71" i="23"/>
  <c r="L71" i="23"/>
  <c r="M71" i="23"/>
  <c r="O71" i="23"/>
  <c r="K71" i="23"/>
  <c r="R71" i="23"/>
  <c r="N71" i="23"/>
  <c r="Q71" i="23"/>
  <c r="P67" i="23"/>
  <c r="L67" i="23"/>
  <c r="Q67" i="23"/>
  <c r="O67" i="23"/>
  <c r="K67" i="23"/>
  <c r="R67" i="23"/>
  <c r="N67" i="23"/>
  <c r="M67" i="23"/>
  <c r="P73" i="23"/>
  <c r="L73" i="23"/>
  <c r="O73" i="23"/>
  <c r="K73" i="23"/>
  <c r="Q73" i="23"/>
  <c r="R73" i="23"/>
  <c r="N73" i="23"/>
  <c r="M73" i="23"/>
  <c r="P69" i="23"/>
  <c r="L69" i="23"/>
  <c r="M69" i="23"/>
  <c r="O69" i="23"/>
  <c r="K69" i="23"/>
  <c r="Q69" i="23"/>
  <c r="R69" i="23"/>
  <c r="N69" i="23"/>
  <c r="J233" i="25"/>
  <c r="J80" i="23"/>
  <c r="J219" i="25"/>
  <c r="J7" i="16"/>
  <c r="J27" i="3"/>
  <c r="J11" i="16"/>
  <c r="J31" i="3"/>
  <c r="J9" i="16"/>
  <c r="J29" i="3"/>
  <c r="J134" i="8"/>
  <c r="J62" i="8"/>
  <c r="J60" i="8"/>
  <c r="J132" i="8"/>
  <c r="J145" i="17"/>
  <c r="J9" i="22" s="1"/>
  <c r="J37" i="38" s="1"/>
  <c r="J9" i="38" s="1"/>
  <c r="J144" i="8"/>
  <c r="J140" i="8"/>
  <c r="J142" i="8"/>
  <c r="J138" i="8"/>
  <c r="J95" i="17"/>
  <c r="J95" i="8" s="1"/>
  <c r="J163" i="18"/>
  <c r="J56" i="8"/>
  <c r="J136" i="8"/>
  <c r="J93" i="17"/>
  <c r="J161" i="18"/>
  <c r="J91" i="17"/>
  <c r="J91" i="8" s="1"/>
  <c r="J159" i="18"/>
  <c r="J19" i="16"/>
  <c r="J39" i="3"/>
  <c r="J103" i="17"/>
  <c r="J103" i="8" s="1"/>
  <c r="J171" i="18"/>
  <c r="J15" i="16"/>
  <c r="J35" i="3"/>
  <c r="J58" i="8"/>
  <c r="J50" i="8"/>
  <c r="J63" i="17"/>
  <c r="J13" i="16"/>
  <c r="J33" i="3"/>
  <c r="J54" i="8"/>
  <c r="J52" i="8"/>
  <c r="J21" i="3"/>
  <c r="J17" i="16"/>
  <c r="J37" i="3"/>
  <c r="J99" i="17"/>
  <c r="J99" i="8" s="1"/>
  <c r="J167" i="18"/>
  <c r="J169" i="18"/>
  <c r="J101" i="17"/>
  <c r="J101" i="8" s="1"/>
  <c r="J165" i="18"/>
  <c r="J97" i="17"/>
  <c r="J97" i="8" s="1"/>
  <c r="H50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R22" i="13"/>
  <c r="Q22" i="13"/>
  <c r="P22" i="13"/>
  <c r="O22" i="13"/>
  <c r="N22" i="13"/>
  <c r="M22" i="13"/>
  <c r="L22" i="13"/>
  <c r="K22" i="13"/>
  <c r="I22" i="13"/>
  <c r="R20" i="13"/>
  <c r="Q20" i="13"/>
  <c r="P20" i="13"/>
  <c r="O20" i="13"/>
  <c r="N20" i="13"/>
  <c r="M20" i="13"/>
  <c r="L20" i="13"/>
  <c r="K20" i="13"/>
  <c r="I20" i="13"/>
  <c r="R19" i="13"/>
  <c r="Q19" i="13"/>
  <c r="P19" i="13"/>
  <c r="O19" i="13"/>
  <c r="N19" i="13"/>
  <c r="M19" i="13"/>
  <c r="L19" i="13"/>
  <c r="K19" i="13"/>
  <c r="I19" i="13"/>
  <c r="R18" i="13"/>
  <c r="Q18" i="13"/>
  <c r="P18" i="13"/>
  <c r="O18" i="13"/>
  <c r="N18" i="13"/>
  <c r="M18" i="13"/>
  <c r="L18" i="13"/>
  <c r="K18" i="13"/>
  <c r="I18" i="13"/>
  <c r="R17" i="13"/>
  <c r="Q17" i="13"/>
  <c r="P17" i="13"/>
  <c r="O17" i="13"/>
  <c r="N17" i="13"/>
  <c r="M17" i="13"/>
  <c r="L17" i="13"/>
  <c r="K17" i="13"/>
  <c r="I17" i="13"/>
  <c r="R16" i="13"/>
  <c r="Q16" i="13"/>
  <c r="P16" i="13"/>
  <c r="O16" i="13"/>
  <c r="N16" i="13"/>
  <c r="M16" i="13"/>
  <c r="L16" i="13"/>
  <c r="K16" i="13"/>
  <c r="I16" i="13"/>
  <c r="R15" i="13"/>
  <c r="Q15" i="13"/>
  <c r="P15" i="13"/>
  <c r="O15" i="13"/>
  <c r="N15" i="13"/>
  <c r="M15" i="13"/>
  <c r="L15" i="13"/>
  <c r="K15" i="13"/>
  <c r="I15" i="13"/>
  <c r="R14" i="13"/>
  <c r="Q14" i="13"/>
  <c r="P14" i="13"/>
  <c r="O14" i="13"/>
  <c r="N14" i="13"/>
  <c r="M14" i="13"/>
  <c r="L14" i="13"/>
  <c r="K14" i="13"/>
  <c r="I14" i="13"/>
  <c r="R13" i="13"/>
  <c r="Q13" i="13"/>
  <c r="P13" i="13"/>
  <c r="O13" i="13"/>
  <c r="N13" i="13"/>
  <c r="M13" i="13"/>
  <c r="L13" i="13"/>
  <c r="K13" i="13"/>
  <c r="I13" i="13"/>
  <c r="R12" i="13"/>
  <c r="Q12" i="13"/>
  <c r="P12" i="13"/>
  <c r="O12" i="13"/>
  <c r="N12" i="13"/>
  <c r="M12" i="13"/>
  <c r="L12" i="13"/>
  <c r="K12" i="13"/>
  <c r="I12" i="13"/>
  <c r="R11" i="13"/>
  <c r="Q11" i="13"/>
  <c r="P11" i="13"/>
  <c r="O11" i="13"/>
  <c r="N11" i="13"/>
  <c r="M11" i="13"/>
  <c r="L11" i="13"/>
  <c r="K11" i="13"/>
  <c r="I11" i="13"/>
  <c r="R10" i="13"/>
  <c r="Q10" i="13"/>
  <c r="P10" i="13"/>
  <c r="O10" i="13"/>
  <c r="N10" i="13"/>
  <c r="M10" i="13"/>
  <c r="L10" i="13"/>
  <c r="K10" i="13"/>
  <c r="I10" i="13"/>
  <c r="R9" i="13"/>
  <c r="Q9" i="13"/>
  <c r="P9" i="13"/>
  <c r="O9" i="13"/>
  <c r="N9" i="13"/>
  <c r="M9" i="13"/>
  <c r="L9" i="13"/>
  <c r="K9" i="13"/>
  <c r="I9" i="13"/>
  <c r="R8" i="13"/>
  <c r="Q8" i="13"/>
  <c r="P8" i="13"/>
  <c r="O8" i="13"/>
  <c r="N8" i="13"/>
  <c r="M8" i="13"/>
  <c r="L8" i="13"/>
  <c r="K8" i="13"/>
  <c r="I8" i="13"/>
  <c r="R7" i="13"/>
  <c r="Q7" i="13"/>
  <c r="P7" i="13"/>
  <c r="O7" i="13"/>
  <c r="N7" i="13"/>
  <c r="M7" i="13"/>
  <c r="L7" i="13"/>
  <c r="K7" i="13"/>
  <c r="I7" i="13"/>
  <c r="D22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R22" i="7"/>
  <c r="Q22" i="7"/>
  <c r="P22" i="7"/>
  <c r="O22" i="7"/>
  <c r="N22" i="7"/>
  <c r="M22" i="7"/>
  <c r="L22" i="7"/>
  <c r="K22" i="7"/>
  <c r="I22" i="7"/>
  <c r="R20" i="7"/>
  <c r="Q20" i="7"/>
  <c r="P20" i="7"/>
  <c r="O20" i="7"/>
  <c r="N20" i="7"/>
  <c r="M20" i="7"/>
  <c r="L20" i="7"/>
  <c r="K20" i="7"/>
  <c r="I20" i="7"/>
  <c r="R19" i="7"/>
  <c r="Q19" i="7"/>
  <c r="P19" i="7"/>
  <c r="O19" i="7"/>
  <c r="N19" i="7"/>
  <c r="M19" i="7"/>
  <c r="L19" i="7"/>
  <c r="K19" i="7"/>
  <c r="I19" i="7"/>
  <c r="R18" i="7"/>
  <c r="Q18" i="7"/>
  <c r="P18" i="7"/>
  <c r="O18" i="7"/>
  <c r="N18" i="7"/>
  <c r="M18" i="7"/>
  <c r="L18" i="7"/>
  <c r="K18" i="7"/>
  <c r="I18" i="7"/>
  <c r="R17" i="7"/>
  <c r="Q17" i="7"/>
  <c r="P17" i="7"/>
  <c r="O17" i="7"/>
  <c r="N17" i="7"/>
  <c r="M17" i="7"/>
  <c r="L17" i="7"/>
  <c r="K17" i="7"/>
  <c r="I17" i="7"/>
  <c r="R16" i="7"/>
  <c r="Q16" i="7"/>
  <c r="P16" i="7"/>
  <c r="O16" i="7"/>
  <c r="N16" i="7"/>
  <c r="M16" i="7"/>
  <c r="L16" i="7"/>
  <c r="K16" i="7"/>
  <c r="I16" i="7"/>
  <c r="R15" i="7"/>
  <c r="Q15" i="7"/>
  <c r="P15" i="7"/>
  <c r="O15" i="7"/>
  <c r="N15" i="7"/>
  <c r="M15" i="7"/>
  <c r="L15" i="7"/>
  <c r="K15" i="7"/>
  <c r="I15" i="7"/>
  <c r="R14" i="7"/>
  <c r="Q14" i="7"/>
  <c r="P14" i="7"/>
  <c r="O14" i="7"/>
  <c r="N14" i="7"/>
  <c r="M14" i="7"/>
  <c r="L14" i="7"/>
  <c r="K14" i="7"/>
  <c r="I14" i="7"/>
  <c r="R13" i="7"/>
  <c r="Q13" i="7"/>
  <c r="P13" i="7"/>
  <c r="O13" i="7"/>
  <c r="N13" i="7"/>
  <c r="M13" i="7"/>
  <c r="L13" i="7"/>
  <c r="K13" i="7"/>
  <c r="I13" i="7"/>
  <c r="R12" i="7"/>
  <c r="Q12" i="7"/>
  <c r="P12" i="7"/>
  <c r="O12" i="7"/>
  <c r="N12" i="7"/>
  <c r="M12" i="7"/>
  <c r="L12" i="7"/>
  <c r="K12" i="7"/>
  <c r="I12" i="7"/>
  <c r="R11" i="7"/>
  <c r="Q11" i="7"/>
  <c r="P11" i="7"/>
  <c r="O11" i="7"/>
  <c r="N11" i="7"/>
  <c r="M11" i="7"/>
  <c r="L11" i="7"/>
  <c r="K11" i="7"/>
  <c r="I11" i="7"/>
  <c r="R10" i="7"/>
  <c r="Q10" i="7"/>
  <c r="P10" i="7"/>
  <c r="O10" i="7"/>
  <c r="N10" i="7"/>
  <c r="M10" i="7"/>
  <c r="L10" i="7"/>
  <c r="K10" i="7"/>
  <c r="I10" i="7"/>
  <c r="R9" i="7"/>
  <c r="Q9" i="7"/>
  <c r="P9" i="7"/>
  <c r="O9" i="7"/>
  <c r="N9" i="7"/>
  <c r="M9" i="7"/>
  <c r="L9" i="7"/>
  <c r="K9" i="7"/>
  <c r="I9" i="7"/>
  <c r="R8" i="7"/>
  <c r="Q8" i="7"/>
  <c r="P8" i="7"/>
  <c r="O8" i="7"/>
  <c r="N8" i="7"/>
  <c r="M8" i="7"/>
  <c r="L8" i="7"/>
  <c r="K8" i="7"/>
  <c r="I8" i="7"/>
  <c r="R7" i="7"/>
  <c r="Q7" i="7"/>
  <c r="P7" i="7"/>
  <c r="O7" i="7"/>
  <c r="N7" i="7"/>
  <c r="M7" i="7"/>
  <c r="L7" i="7"/>
  <c r="K7" i="7"/>
  <c r="I7" i="7"/>
  <c r="D22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R47" i="18"/>
  <c r="Q47" i="18"/>
  <c r="P47" i="18"/>
  <c r="O47" i="18"/>
  <c r="N47" i="18"/>
  <c r="M47" i="18"/>
  <c r="L47" i="18"/>
  <c r="K47" i="18"/>
  <c r="I47" i="18"/>
  <c r="R45" i="18"/>
  <c r="Q45" i="18"/>
  <c r="P45" i="18"/>
  <c r="O45" i="18"/>
  <c r="N45" i="18"/>
  <c r="M45" i="18"/>
  <c r="L45" i="18"/>
  <c r="K45" i="18"/>
  <c r="I45" i="18"/>
  <c r="R44" i="18"/>
  <c r="Q44" i="18"/>
  <c r="P44" i="18"/>
  <c r="O44" i="18"/>
  <c r="N44" i="18"/>
  <c r="M44" i="18"/>
  <c r="L44" i="18"/>
  <c r="K44" i="18"/>
  <c r="I44" i="18"/>
  <c r="R43" i="18"/>
  <c r="Q43" i="18"/>
  <c r="P43" i="18"/>
  <c r="O43" i="18"/>
  <c r="N43" i="18"/>
  <c r="M43" i="18"/>
  <c r="L43" i="18"/>
  <c r="K43" i="18"/>
  <c r="I43" i="18"/>
  <c r="R42" i="18"/>
  <c r="Q42" i="18"/>
  <c r="P42" i="18"/>
  <c r="O42" i="18"/>
  <c r="N42" i="18"/>
  <c r="M42" i="18"/>
  <c r="L42" i="18"/>
  <c r="K42" i="18"/>
  <c r="I42" i="18"/>
  <c r="R41" i="18"/>
  <c r="Q41" i="18"/>
  <c r="P41" i="18"/>
  <c r="O41" i="18"/>
  <c r="N41" i="18"/>
  <c r="M41" i="18"/>
  <c r="L41" i="18"/>
  <c r="K41" i="18"/>
  <c r="I41" i="18"/>
  <c r="R40" i="18"/>
  <c r="Q40" i="18"/>
  <c r="P40" i="18"/>
  <c r="O40" i="18"/>
  <c r="N40" i="18"/>
  <c r="M40" i="18"/>
  <c r="L40" i="18"/>
  <c r="K40" i="18"/>
  <c r="I40" i="18"/>
  <c r="J40" i="18" s="1"/>
  <c r="R39" i="18"/>
  <c r="Q39" i="18"/>
  <c r="P39" i="18"/>
  <c r="O39" i="18"/>
  <c r="N39" i="18"/>
  <c r="M39" i="18"/>
  <c r="L39" i="18"/>
  <c r="K39" i="18"/>
  <c r="I39" i="18"/>
  <c r="R38" i="18"/>
  <c r="Q38" i="18"/>
  <c r="P38" i="18"/>
  <c r="O38" i="18"/>
  <c r="N38" i="18"/>
  <c r="M38" i="18"/>
  <c r="L38" i="18"/>
  <c r="K38" i="18"/>
  <c r="I38" i="18"/>
  <c r="R37" i="18"/>
  <c r="Q37" i="18"/>
  <c r="P37" i="18"/>
  <c r="O37" i="18"/>
  <c r="N37" i="18"/>
  <c r="M37" i="18"/>
  <c r="L37" i="18"/>
  <c r="K37" i="18"/>
  <c r="I37" i="18"/>
  <c r="R36" i="18"/>
  <c r="Q36" i="18"/>
  <c r="P36" i="18"/>
  <c r="O36" i="18"/>
  <c r="N36" i="18"/>
  <c r="M36" i="18"/>
  <c r="L36" i="18"/>
  <c r="K36" i="18"/>
  <c r="I36" i="18"/>
  <c r="R35" i="18"/>
  <c r="Q35" i="18"/>
  <c r="P35" i="18"/>
  <c r="O35" i="18"/>
  <c r="N35" i="18"/>
  <c r="M35" i="18"/>
  <c r="L35" i="18"/>
  <c r="K35" i="18"/>
  <c r="I35" i="18"/>
  <c r="R34" i="18"/>
  <c r="Q34" i="18"/>
  <c r="P34" i="18"/>
  <c r="O34" i="18"/>
  <c r="N34" i="18"/>
  <c r="M34" i="18"/>
  <c r="L34" i="18"/>
  <c r="K34" i="18"/>
  <c r="I34" i="18"/>
  <c r="R33" i="18"/>
  <c r="Q33" i="18"/>
  <c r="P33" i="18"/>
  <c r="O33" i="18"/>
  <c r="N33" i="18"/>
  <c r="M33" i="18"/>
  <c r="L33" i="18"/>
  <c r="K33" i="18"/>
  <c r="I33" i="18"/>
  <c r="R32" i="18"/>
  <c r="Q32" i="18"/>
  <c r="P32" i="18"/>
  <c r="O32" i="18"/>
  <c r="N32" i="18"/>
  <c r="M32" i="18"/>
  <c r="L32" i="18"/>
  <c r="K32" i="18"/>
  <c r="I32" i="18"/>
  <c r="J32" i="18" s="1"/>
  <c r="D47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R83" i="3"/>
  <c r="Q83" i="3"/>
  <c r="P83" i="3"/>
  <c r="O83" i="3"/>
  <c r="N83" i="3"/>
  <c r="M83" i="3"/>
  <c r="L83" i="3"/>
  <c r="I83" i="3"/>
  <c r="R81" i="3"/>
  <c r="Q81" i="3"/>
  <c r="P81" i="3"/>
  <c r="O81" i="3"/>
  <c r="N81" i="3"/>
  <c r="M81" i="3"/>
  <c r="L81" i="3"/>
  <c r="K81" i="3"/>
  <c r="I81" i="3"/>
  <c r="J81" i="3" s="1"/>
  <c r="R80" i="3"/>
  <c r="Q80" i="3"/>
  <c r="P80" i="3"/>
  <c r="O80" i="3"/>
  <c r="N80" i="3"/>
  <c r="M80" i="3"/>
  <c r="L80" i="3"/>
  <c r="K80" i="3"/>
  <c r="I80" i="3"/>
  <c r="R79" i="3"/>
  <c r="Q79" i="3"/>
  <c r="P79" i="3"/>
  <c r="O79" i="3"/>
  <c r="N79" i="3"/>
  <c r="M79" i="3"/>
  <c r="L79" i="3"/>
  <c r="K79" i="3"/>
  <c r="I79" i="3"/>
  <c r="R78" i="3"/>
  <c r="Q78" i="3"/>
  <c r="P78" i="3"/>
  <c r="O78" i="3"/>
  <c r="N78" i="3"/>
  <c r="M78" i="3"/>
  <c r="L78" i="3"/>
  <c r="K78" i="3"/>
  <c r="I78" i="3"/>
  <c r="R77" i="3"/>
  <c r="Q77" i="3"/>
  <c r="P77" i="3"/>
  <c r="O77" i="3"/>
  <c r="N77" i="3"/>
  <c r="M77" i="3"/>
  <c r="L77" i="3"/>
  <c r="K77" i="3"/>
  <c r="I77" i="3"/>
  <c r="J77" i="3" s="1"/>
  <c r="R76" i="3"/>
  <c r="Q76" i="3"/>
  <c r="P76" i="3"/>
  <c r="O76" i="3"/>
  <c r="N76" i="3"/>
  <c r="M76" i="3"/>
  <c r="L76" i="3"/>
  <c r="K76" i="3"/>
  <c r="I76" i="3"/>
  <c r="R75" i="3"/>
  <c r="Q75" i="3"/>
  <c r="P75" i="3"/>
  <c r="O75" i="3"/>
  <c r="N75" i="3"/>
  <c r="M75" i="3"/>
  <c r="L75" i="3"/>
  <c r="K75" i="3"/>
  <c r="I75" i="3"/>
  <c r="R74" i="3"/>
  <c r="Q74" i="3"/>
  <c r="P74" i="3"/>
  <c r="O74" i="3"/>
  <c r="N74" i="3"/>
  <c r="M74" i="3"/>
  <c r="L74" i="3"/>
  <c r="K74" i="3"/>
  <c r="I74" i="3"/>
  <c r="R73" i="3"/>
  <c r="Q73" i="3"/>
  <c r="P73" i="3"/>
  <c r="O73" i="3"/>
  <c r="N73" i="3"/>
  <c r="M73" i="3"/>
  <c r="L73" i="3"/>
  <c r="K73" i="3"/>
  <c r="I73" i="3"/>
  <c r="J73" i="3" s="1"/>
  <c r="R72" i="3"/>
  <c r="Q72" i="3"/>
  <c r="P72" i="3"/>
  <c r="O72" i="3"/>
  <c r="N72" i="3"/>
  <c r="M72" i="3"/>
  <c r="L72" i="3"/>
  <c r="K72" i="3"/>
  <c r="I72" i="3"/>
  <c r="R71" i="3"/>
  <c r="Q71" i="3"/>
  <c r="P71" i="3"/>
  <c r="O71" i="3"/>
  <c r="N71" i="3"/>
  <c r="M71" i="3"/>
  <c r="L71" i="3"/>
  <c r="K71" i="3"/>
  <c r="I71" i="3"/>
  <c r="R70" i="3"/>
  <c r="Q70" i="3"/>
  <c r="P70" i="3"/>
  <c r="O70" i="3"/>
  <c r="N70" i="3"/>
  <c r="M70" i="3"/>
  <c r="L70" i="3"/>
  <c r="K70" i="3"/>
  <c r="I70" i="3"/>
  <c r="R69" i="3"/>
  <c r="Q69" i="3"/>
  <c r="P69" i="3"/>
  <c r="O69" i="3"/>
  <c r="N69" i="3"/>
  <c r="M69" i="3"/>
  <c r="L69" i="3"/>
  <c r="K69" i="3"/>
  <c r="I69" i="3"/>
  <c r="J69" i="3" s="1"/>
  <c r="R68" i="3"/>
  <c r="Q68" i="3"/>
  <c r="P68" i="3"/>
  <c r="O68" i="3"/>
  <c r="N68" i="3"/>
  <c r="M68" i="3"/>
  <c r="L68" i="3"/>
  <c r="K68" i="3"/>
  <c r="I68" i="3"/>
  <c r="D83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R62" i="3"/>
  <c r="Q62" i="3"/>
  <c r="P62" i="3"/>
  <c r="O62" i="3"/>
  <c r="N62" i="3"/>
  <c r="M62" i="3"/>
  <c r="L62" i="3"/>
  <c r="K62" i="3"/>
  <c r="I62" i="3"/>
  <c r="R60" i="3"/>
  <c r="Q60" i="3"/>
  <c r="P60" i="3"/>
  <c r="O60" i="3"/>
  <c r="N60" i="3"/>
  <c r="M60" i="3"/>
  <c r="L60" i="3"/>
  <c r="K60" i="3"/>
  <c r="I60" i="3"/>
  <c r="R59" i="3"/>
  <c r="Q59" i="3"/>
  <c r="P59" i="3"/>
  <c r="O59" i="3"/>
  <c r="N59" i="3"/>
  <c r="M59" i="3"/>
  <c r="L59" i="3"/>
  <c r="K59" i="3"/>
  <c r="I59" i="3"/>
  <c r="R58" i="3"/>
  <c r="Q58" i="3"/>
  <c r="P58" i="3"/>
  <c r="O58" i="3"/>
  <c r="N58" i="3"/>
  <c r="M58" i="3"/>
  <c r="L58" i="3"/>
  <c r="K58" i="3"/>
  <c r="I58" i="3"/>
  <c r="R57" i="3"/>
  <c r="Q57" i="3"/>
  <c r="P57" i="3"/>
  <c r="O57" i="3"/>
  <c r="N57" i="3"/>
  <c r="M57" i="3"/>
  <c r="L57" i="3"/>
  <c r="K57" i="3"/>
  <c r="I57" i="3"/>
  <c r="R56" i="3"/>
  <c r="Q56" i="3"/>
  <c r="P56" i="3"/>
  <c r="O56" i="3"/>
  <c r="N56" i="3"/>
  <c r="M56" i="3"/>
  <c r="L56" i="3"/>
  <c r="K56" i="3"/>
  <c r="I56" i="3"/>
  <c r="R55" i="3"/>
  <c r="Q55" i="3"/>
  <c r="P55" i="3"/>
  <c r="O55" i="3"/>
  <c r="N55" i="3"/>
  <c r="M55" i="3"/>
  <c r="L55" i="3"/>
  <c r="K55" i="3"/>
  <c r="I55" i="3"/>
  <c r="R54" i="3"/>
  <c r="Q54" i="3"/>
  <c r="P54" i="3"/>
  <c r="O54" i="3"/>
  <c r="N54" i="3"/>
  <c r="M54" i="3"/>
  <c r="L54" i="3"/>
  <c r="K54" i="3"/>
  <c r="I54" i="3"/>
  <c r="R53" i="3"/>
  <c r="Q53" i="3"/>
  <c r="P53" i="3"/>
  <c r="O53" i="3"/>
  <c r="N53" i="3"/>
  <c r="M53" i="3"/>
  <c r="L53" i="3"/>
  <c r="K53" i="3"/>
  <c r="I53" i="3"/>
  <c r="R52" i="3"/>
  <c r="Q52" i="3"/>
  <c r="P52" i="3"/>
  <c r="O52" i="3"/>
  <c r="N52" i="3"/>
  <c r="M52" i="3"/>
  <c r="L52" i="3"/>
  <c r="K52" i="3"/>
  <c r="I52" i="3"/>
  <c r="R51" i="3"/>
  <c r="Q51" i="3"/>
  <c r="P51" i="3"/>
  <c r="O51" i="3"/>
  <c r="N51" i="3"/>
  <c r="M51" i="3"/>
  <c r="L51" i="3"/>
  <c r="K51" i="3"/>
  <c r="I51" i="3"/>
  <c r="R50" i="3"/>
  <c r="Q50" i="3"/>
  <c r="P50" i="3"/>
  <c r="O50" i="3"/>
  <c r="N50" i="3"/>
  <c r="M50" i="3"/>
  <c r="L50" i="3"/>
  <c r="K50" i="3"/>
  <c r="I50" i="3"/>
  <c r="R49" i="3"/>
  <c r="Q49" i="3"/>
  <c r="P49" i="3"/>
  <c r="O49" i="3"/>
  <c r="N49" i="3"/>
  <c r="M49" i="3"/>
  <c r="L49" i="3"/>
  <c r="K49" i="3"/>
  <c r="I49" i="3"/>
  <c r="R48" i="3"/>
  <c r="Q48" i="3"/>
  <c r="P48" i="3"/>
  <c r="O48" i="3"/>
  <c r="N48" i="3"/>
  <c r="M48" i="3"/>
  <c r="L48" i="3"/>
  <c r="K48" i="3"/>
  <c r="I48" i="3"/>
  <c r="R47" i="3"/>
  <c r="Q47" i="3"/>
  <c r="P47" i="3"/>
  <c r="O47" i="3"/>
  <c r="N47" i="3"/>
  <c r="M47" i="3"/>
  <c r="L47" i="3"/>
  <c r="K47" i="3"/>
  <c r="I47" i="3"/>
  <c r="D62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J52" i="25"/>
  <c r="J112" i="25"/>
  <c r="J142" i="25"/>
  <c r="J82" i="25"/>
  <c r="J22" i="25"/>
  <c r="J202" i="25"/>
  <c r="J172" i="25"/>
  <c r="J36" i="18" l="1"/>
  <c r="J44" i="18"/>
  <c r="J22" i="7"/>
  <c r="J49" i="3"/>
  <c r="J53" i="3"/>
  <c r="P55" i="17" s="1"/>
  <c r="J50" i="3"/>
  <c r="M52" i="19" s="1"/>
  <c r="J54" i="3"/>
  <c r="Q56" i="19" s="1"/>
  <c r="J58" i="3"/>
  <c r="Q60" i="19" s="1"/>
  <c r="J57" i="3"/>
  <c r="L59" i="17" s="1"/>
  <c r="J68" i="3"/>
  <c r="J72" i="3"/>
  <c r="R60" i="17"/>
  <c r="N60" i="19"/>
  <c r="J47" i="3"/>
  <c r="N49" i="19" s="1"/>
  <c r="J55" i="3"/>
  <c r="L57" i="19" s="1"/>
  <c r="J59" i="3"/>
  <c r="M61" i="19" s="1"/>
  <c r="J74" i="3"/>
  <c r="J78" i="3"/>
  <c r="J20" i="24" s="1"/>
  <c r="J99" i="24" s="1"/>
  <c r="J33" i="18"/>
  <c r="J37" i="18"/>
  <c r="J41" i="18"/>
  <c r="N59" i="19"/>
  <c r="N59" i="17"/>
  <c r="L51" i="17"/>
  <c r="L51" i="19"/>
  <c r="P51" i="19"/>
  <c r="P51" i="17"/>
  <c r="O52" i="19"/>
  <c r="J51" i="3"/>
  <c r="Q53" i="19" s="1"/>
  <c r="L55" i="17"/>
  <c r="P55" i="19"/>
  <c r="J19" i="18"/>
  <c r="P59" i="19"/>
  <c r="P59" i="17"/>
  <c r="O60" i="19"/>
  <c r="R61" i="17"/>
  <c r="J70" i="3"/>
  <c r="J12" i="24" s="1"/>
  <c r="J91" i="24" s="1"/>
  <c r="J45" i="18"/>
  <c r="J13" i="18"/>
  <c r="R51" i="17"/>
  <c r="R51" i="19"/>
  <c r="R55" i="19"/>
  <c r="R59" i="17"/>
  <c r="O51" i="19"/>
  <c r="O51" i="17"/>
  <c r="R52" i="19"/>
  <c r="K59" i="19"/>
  <c r="O59" i="17"/>
  <c r="R60" i="19"/>
  <c r="J48" i="3"/>
  <c r="J11" i="24" s="1"/>
  <c r="J90" i="24" s="1"/>
  <c r="M51" i="19"/>
  <c r="M51" i="17"/>
  <c r="Q51" i="17"/>
  <c r="Q51" i="19"/>
  <c r="P52" i="19"/>
  <c r="J52" i="3"/>
  <c r="J15" i="24" s="1"/>
  <c r="J94" i="24" s="1"/>
  <c r="M55" i="19"/>
  <c r="M55" i="17"/>
  <c r="J56" i="3"/>
  <c r="J19" i="24" s="1"/>
  <c r="J98" i="24" s="1"/>
  <c r="M59" i="17"/>
  <c r="M59" i="19"/>
  <c r="L60" i="19"/>
  <c r="P60" i="19"/>
  <c r="K61" i="19"/>
  <c r="J60" i="3"/>
  <c r="J23" i="24" s="1"/>
  <c r="J102" i="24" s="1"/>
  <c r="J71" i="3"/>
  <c r="J75" i="3"/>
  <c r="J79" i="3"/>
  <c r="J34" i="18"/>
  <c r="J38" i="18"/>
  <c r="J42" i="18"/>
  <c r="J47" i="18"/>
  <c r="P60" i="17"/>
  <c r="M60" i="17"/>
  <c r="N51" i="17"/>
  <c r="N51" i="19"/>
  <c r="J76" i="3"/>
  <c r="J80" i="3"/>
  <c r="J35" i="18"/>
  <c r="J39" i="18"/>
  <c r="J43" i="18"/>
  <c r="P52" i="17"/>
  <c r="Q60" i="17"/>
  <c r="N55" i="17"/>
  <c r="K51" i="17"/>
  <c r="K51" i="19"/>
  <c r="K55" i="17"/>
  <c r="O52" i="17"/>
  <c r="M50" i="17"/>
  <c r="K60" i="17"/>
  <c r="N60" i="17"/>
  <c r="J149" i="25"/>
  <c r="J89" i="25"/>
  <c r="J119" i="25"/>
  <c r="J209" i="25"/>
  <c r="J29" i="25"/>
  <c r="J217" i="25"/>
  <c r="J224" i="25" s="1"/>
  <c r="J179" i="25"/>
  <c r="J59" i="25"/>
  <c r="J7" i="22"/>
  <c r="J234" i="25"/>
  <c r="J14" i="8"/>
  <c r="J104" i="17"/>
  <c r="J93" i="8"/>
  <c r="J104" i="8" s="1"/>
  <c r="J18" i="8"/>
  <c r="J22" i="18"/>
  <c r="J172" i="18"/>
  <c r="J16" i="8"/>
  <c r="J145" i="8"/>
  <c r="J20" i="8"/>
  <c r="J12" i="8"/>
  <c r="J8" i="8"/>
  <c r="J63" i="8"/>
  <c r="J17" i="13"/>
  <c r="M38" i="12" s="1"/>
  <c r="J22" i="13"/>
  <c r="J8" i="7"/>
  <c r="J14" i="13"/>
  <c r="L35" i="12" s="1"/>
  <c r="J12" i="7"/>
  <c r="J16" i="7"/>
  <c r="J20" i="7"/>
  <c r="J7" i="13"/>
  <c r="K28" i="12" s="1"/>
  <c r="J14" i="7"/>
  <c r="J18" i="7"/>
  <c r="J8" i="13"/>
  <c r="N29" i="12" s="1"/>
  <c r="J7" i="7"/>
  <c r="J11" i="7"/>
  <c r="J15" i="7"/>
  <c r="J19" i="7"/>
  <c r="J13" i="13"/>
  <c r="M34" i="12" s="1"/>
  <c r="J11" i="13"/>
  <c r="K32" i="12" s="1"/>
  <c r="J12" i="13"/>
  <c r="N33" i="12" s="1"/>
  <c r="J16" i="13"/>
  <c r="N37" i="12" s="1"/>
  <c r="J20" i="13"/>
  <c r="N41" i="12" s="1"/>
  <c r="J9" i="13"/>
  <c r="M30" i="12" s="1"/>
  <c r="J10" i="13"/>
  <c r="L31" i="12" s="1"/>
  <c r="J18" i="13"/>
  <c r="L39" i="12" s="1"/>
  <c r="J9" i="7"/>
  <c r="J13" i="7"/>
  <c r="J17" i="7"/>
  <c r="J15" i="13"/>
  <c r="K36" i="12" s="1"/>
  <c r="J19" i="13"/>
  <c r="K40" i="12" s="1"/>
  <c r="J10" i="7"/>
  <c r="H31" i="13"/>
  <c r="H29" i="13"/>
  <c r="H28" i="13"/>
  <c r="H64" i="7"/>
  <c r="H62" i="7"/>
  <c r="H61" i="7"/>
  <c r="H191" i="3"/>
  <c r="H190" i="3"/>
  <c r="H181" i="3"/>
  <c r="H180" i="3"/>
  <c r="H171" i="3"/>
  <c r="H170" i="3"/>
  <c r="H161" i="3"/>
  <c r="H160" i="3"/>
  <c r="H151" i="3"/>
  <c r="H150" i="3"/>
  <c r="H141" i="3"/>
  <c r="H140" i="3"/>
  <c r="G22" i="31"/>
  <c r="F22" i="31"/>
  <c r="E22" i="31"/>
  <c r="D22" i="31"/>
  <c r="C22" i="31"/>
  <c r="G20" i="31"/>
  <c r="F20" i="31"/>
  <c r="E20" i="31"/>
  <c r="D20" i="31"/>
  <c r="C20" i="31"/>
  <c r="G19" i="31"/>
  <c r="F19" i="31"/>
  <c r="E19" i="31"/>
  <c r="D19" i="31"/>
  <c r="C19" i="31"/>
  <c r="G18" i="31"/>
  <c r="F18" i="31"/>
  <c r="E18" i="31"/>
  <c r="D18" i="31"/>
  <c r="C18" i="31"/>
  <c r="G17" i="31"/>
  <c r="F17" i="31"/>
  <c r="E17" i="31"/>
  <c r="D17" i="31"/>
  <c r="C17" i="31"/>
  <c r="G16" i="31"/>
  <c r="F16" i="31"/>
  <c r="E16" i="31"/>
  <c r="D16" i="31"/>
  <c r="C16" i="31"/>
  <c r="G15" i="31"/>
  <c r="F15" i="31"/>
  <c r="E15" i="31"/>
  <c r="D15" i="31"/>
  <c r="C15" i="31"/>
  <c r="G14" i="31"/>
  <c r="F14" i="31"/>
  <c r="E14" i="31"/>
  <c r="D14" i="31"/>
  <c r="C14" i="31"/>
  <c r="G13" i="31"/>
  <c r="F13" i="31"/>
  <c r="E13" i="31"/>
  <c r="D13" i="31"/>
  <c r="C13" i="31"/>
  <c r="G12" i="31"/>
  <c r="F12" i="31"/>
  <c r="E12" i="31"/>
  <c r="D12" i="31"/>
  <c r="C12" i="31"/>
  <c r="G11" i="31"/>
  <c r="F11" i="31"/>
  <c r="E11" i="31"/>
  <c r="D11" i="31"/>
  <c r="C11" i="31"/>
  <c r="G10" i="31"/>
  <c r="F10" i="31"/>
  <c r="E10" i="31"/>
  <c r="D10" i="31"/>
  <c r="C10" i="31"/>
  <c r="G9" i="31"/>
  <c r="F9" i="31"/>
  <c r="E9" i="31"/>
  <c r="D9" i="31"/>
  <c r="C9" i="31"/>
  <c r="G8" i="31"/>
  <c r="F8" i="31"/>
  <c r="E8" i="31"/>
  <c r="D8" i="31"/>
  <c r="C8" i="31"/>
  <c r="G7" i="31"/>
  <c r="F7" i="31"/>
  <c r="E7" i="31"/>
  <c r="D7" i="31"/>
  <c r="C7" i="31"/>
  <c r="G6" i="31"/>
  <c r="F6" i="31"/>
  <c r="E6" i="31"/>
  <c r="D6" i="31"/>
  <c r="C6" i="31"/>
  <c r="H166" i="19"/>
  <c r="H125" i="19"/>
  <c r="H84" i="19"/>
  <c r="H166" i="17"/>
  <c r="H125" i="17"/>
  <c r="H84" i="17"/>
  <c r="L58" i="26"/>
  <c r="M103" i="26"/>
  <c r="K73" i="26"/>
  <c r="N88" i="26"/>
  <c r="L118" i="26"/>
  <c r="K193" i="26"/>
  <c r="K133" i="26"/>
  <c r="N28" i="26"/>
  <c r="H221" i="26"/>
  <c r="N208" i="26"/>
  <c r="M43" i="26"/>
  <c r="L178" i="26"/>
  <c r="K13" i="26"/>
  <c r="N148" i="26"/>
  <c r="M163" i="26"/>
  <c r="J14" i="22" l="1"/>
  <c r="J35" i="38"/>
  <c r="M60" i="19"/>
  <c r="L60" i="17"/>
  <c r="K56" i="17"/>
  <c r="R50" i="17"/>
  <c r="M56" i="17"/>
  <c r="O56" i="19"/>
  <c r="K50" i="19"/>
  <c r="O50" i="19"/>
  <c r="J17" i="24"/>
  <c r="J96" i="24" s="1"/>
  <c r="R56" i="17"/>
  <c r="R50" i="19"/>
  <c r="J10" i="8"/>
  <c r="J30" i="3" s="1"/>
  <c r="L56" i="17"/>
  <c r="Q56" i="17"/>
  <c r="P56" i="19"/>
  <c r="N56" i="19"/>
  <c r="K56" i="19"/>
  <c r="M56" i="19"/>
  <c r="J18" i="18"/>
  <c r="L58" i="17"/>
  <c r="O56" i="17"/>
  <c r="L56" i="19"/>
  <c r="O53" i="19"/>
  <c r="R56" i="19"/>
  <c r="P56" i="17"/>
  <c r="N56" i="17"/>
  <c r="P53" i="17"/>
  <c r="R52" i="17"/>
  <c r="J13" i="24"/>
  <c r="J92" i="24" s="1"/>
  <c r="L52" i="19"/>
  <c r="K52" i="19"/>
  <c r="J14" i="18"/>
  <c r="K55" i="19"/>
  <c r="J21" i="18"/>
  <c r="L52" i="17"/>
  <c r="Q59" i="17"/>
  <c r="Q55" i="17"/>
  <c r="O59" i="19"/>
  <c r="O55" i="17"/>
  <c r="R55" i="17"/>
  <c r="K52" i="17"/>
  <c r="L59" i="19"/>
  <c r="L55" i="19"/>
  <c r="J11" i="18"/>
  <c r="J16" i="24"/>
  <c r="J95" i="24" s="1"/>
  <c r="Q52" i="17"/>
  <c r="N52" i="19"/>
  <c r="N55" i="19"/>
  <c r="O60" i="17"/>
  <c r="M52" i="17"/>
  <c r="J21" i="24"/>
  <c r="J100" i="24" s="1"/>
  <c r="Q59" i="19"/>
  <c r="O57" i="19"/>
  <c r="Q55" i="19"/>
  <c r="K59" i="17"/>
  <c r="O55" i="19"/>
  <c r="R59" i="19"/>
  <c r="J17" i="18"/>
  <c r="K60" i="19"/>
  <c r="N52" i="17"/>
  <c r="L61" i="19"/>
  <c r="K61" i="17"/>
  <c r="J23" i="18"/>
  <c r="L61" i="17"/>
  <c r="J22" i="24"/>
  <c r="J101" i="24" s="1"/>
  <c r="R61" i="19"/>
  <c r="M61" i="17"/>
  <c r="Q52" i="19"/>
  <c r="J12" i="18"/>
  <c r="P50" i="17"/>
  <c r="Q61" i="19"/>
  <c r="L50" i="17"/>
  <c r="P61" i="19"/>
  <c r="O54" i="19"/>
  <c r="N50" i="17"/>
  <c r="O61" i="17"/>
  <c r="N61" i="19"/>
  <c r="Q62" i="17"/>
  <c r="M54" i="17"/>
  <c r="Q61" i="17"/>
  <c r="P61" i="17"/>
  <c r="N54" i="17"/>
  <c r="O61" i="19"/>
  <c r="M57" i="17"/>
  <c r="N61" i="17"/>
  <c r="R57" i="19"/>
  <c r="L11" i="12"/>
  <c r="J24" i="18"/>
  <c r="O57" i="17"/>
  <c r="Q57" i="17"/>
  <c r="R57" i="17"/>
  <c r="P57" i="19"/>
  <c r="O50" i="17"/>
  <c r="L57" i="17"/>
  <c r="K57" i="17"/>
  <c r="Q57" i="19"/>
  <c r="N57" i="17"/>
  <c r="L50" i="19"/>
  <c r="P57" i="17"/>
  <c r="L9" i="12"/>
  <c r="J18" i="24"/>
  <c r="J97" i="24" s="1"/>
  <c r="K57" i="19"/>
  <c r="M57" i="19"/>
  <c r="N57" i="19"/>
  <c r="Q58" i="17"/>
  <c r="O58" i="19"/>
  <c r="N9" i="12"/>
  <c r="K53" i="19"/>
  <c r="P49" i="17"/>
  <c r="J20" i="18"/>
  <c r="P38" i="12"/>
  <c r="M32" i="12"/>
  <c r="O49" i="17"/>
  <c r="M49" i="19"/>
  <c r="N11" i="12"/>
  <c r="K30" i="12"/>
  <c r="L53" i="17"/>
  <c r="N17" i="12"/>
  <c r="R49" i="19"/>
  <c r="L49" i="17"/>
  <c r="O39" i="12"/>
  <c r="R36" i="12"/>
  <c r="L37" i="12"/>
  <c r="P54" i="17"/>
  <c r="Q33" i="12"/>
  <c r="O31" i="12"/>
  <c r="Q29" i="12"/>
  <c r="Q49" i="19"/>
  <c r="P62" i="17"/>
  <c r="R54" i="17"/>
  <c r="N39" i="12"/>
  <c r="P12" i="12"/>
  <c r="R10" i="12"/>
  <c r="R62" i="17"/>
  <c r="O33" i="12"/>
  <c r="Q31" i="12"/>
  <c r="O49" i="19"/>
  <c r="P49" i="19"/>
  <c r="M54" i="19"/>
  <c r="R49" i="17"/>
  <c r="J10" i="24"/>
  <c r="J89" i="24" s="1"/>
  <c r="L49" i="19"/>
  <c r="J16" i="18"/>
  <c r="L17" i="12"/>
  <c r="M12" i="12"/>
  <c r="K10" i="12"/>
  <c r="Q49" i="17"/>
  <c r="L54" i="17"/>
  <c r="O17" i="12"/>
  <c r="L33" i="12"/>
  <c r="N31" i="12"/>
  <c r="K62" i="19"/>
  <c r="L62" i="17"/>
  <c r="K12" i="12"/>
  <c r="M10" i="12"/>
  <c r="R54" i="19"/>
  <c r="N50" i="19"/>
  <c r="K49" i="19"/>
  <c r="R53" i="19"/>
  <c r="Q50" i="19"/>
  <c r="N49" i="17"/>
  <c r="O54" i="17"/>
  <c r="Q37" i="12"/>
  <c r="R32" i="12"/>
  <c r="P30" i="12"/>
  <c r="K54" i="19"/>
  <c r="K38" i="12"/>
  <c r="Q11" i="12"/>
  <c r="O9" i="12"/>
  <c r="R38" i="12"/>
  <c r="P32" i="12"/>
  <c r="R30" i="12"/>
  <c r="J46" i="18"/>
  <c r="N54" i="19"/>
  <c r="K49" i="17"/>
  <c r="M49" i="17"/>
  <c r="Q54" i="17"/>
  <c r="M50" i="19"/>
  <c r="K54" i="17"/>
  <c r="P34" i="12"/>
  <c r="K18" i="12"/>
  <c r="M16" i="12"/>
  <c r="L13" i="12"/>
  <c r="M8" i="12"/>
  <c r="Q19" i="12"/>
  <c r="P16" i="12"/>
  <c r="O13" i="12"/>
  <c r="P8" i="12"/>
  <c r="M18" i="12"/>
  <c r="M14" i="12"/>
  <c r="O62" i="17"/>
  <c r="M41" i="12"/>
  <c r="N40" i="12"/>
  <c r="K39" i="12"/>
  <c r="L38" i="12"/>
  <c r="M37" i="12"/>
  <c r="N36" i="12"/>
  <c r="K35" i="12"/>
  <c r="L34" i="12"/>
  <c r="M33" i="12"/>
  <c r="N32" i="12"/>
  <c r="K31" i="12"/>
  <c r="L30" i="12"/>
  <c r="M29" i="12"/>
  <c r="N28" i="12"/>
  <c r="K58" i="17"/>
  <c r="P41" i="12"/>
  <c r="Q40" i="12"/>
  <c r="R39" i="12"/>
  <c r="O38" i="12"/>
  <c r="P37" i="12"/>
  <c r="Q36" i="12"/>
  <c r="R35" i="12"/>
  <c r="O34" i="12"/>
  <c r="P33" i="12"/>
  <c r="Q32" i="12"/>
  <c r="R31" i="12"/>
  <c r="O30" i="12"/>
  <c r="P29" i="12"/>
  <c r="Q28" i="12"/>
  <c r="J82" i="3"/>
  <c r="M58" i="17"/>
  <c r="K41" i="12"/>
  <c r="L40" i="12"/>
  <c r="M39" i="12"/>
  <c r="N38" i="12"/>
  <c r="K37" i="12"/>
  <c r="L36" i="12"/>
  <c r="M35" i="12"/>
  <c r="N34" i="12"/>
  <c r="K33" i="12"/>
  <c r="L32" i="12"/>
  <c r="M31" i="12"/>
  <c r="N30" i="12"/>
  <c r="K29" i="12"/>
  <c r="L28" i="12"/>
  <c r="R62" i="19"/>
  <c r="K53" i="17"/>
  <c r="P58" i="19"/>
  <c r="P54" i="19"/>
  <c r="P53" i="19"/>
  <c r="R20" i="12"/>
  <c r="O19" i="12"/>
  <c r="P18" i="12"/>
  <c r="Q17" i="12"/>
  <c r="R16" i="12"/>
  <c r="O15" i="12"/>
  <c r="P14" i="12"/>
  <c r="Q13" i="12"/>
  <c r="R12" i="12"/>
  <c r="O11" i="12"/>
  <c r="P10" i="12"/>
  <c r="Q9" i="12"/>
  <c r="R8" i="12"/>
  <c r="O7" i="12"/>
  <c r="M58" i="19"/>
  <c r="R53" i="17"/>
  <c r="M53" i="19"/>
  <c r="R58" i="17"/>
  <c r="K50" i="17"/>
  <c r="Q41" i="12"/>
  <c r="R28" i="12"/>
  <c r="L41" i="12"/>
  <c r="M20" i="12"/>
  <c r="K14" i="12"/>
  <c r="N7" i="12"/>
  <c r="R18" i="12"/>
  <c r="Q15" i="12"/>
  <c r="K20" i="12"/>
  <c r="L15" i="12"/>
  <c r="K8" i="12"/>
  <c r="N58" i="17"/>
  <c r="Q20" i="12"/>
  <c r="R19" i="12"/>
  <c r="O18" i="12"/>
  <c r="P17" i="12"/>
  <c r="Q16" i="12"/>
  <c r="R15" i="12"/>
  <c r="O14" i="12"/>
  <c r="P13" i="12"/>
  <c r="Q12" i="12"/>
  <c r="R11" i="12"/>
  <c r="O10" i="12"/>
  <c r="P9" i="12"/>
  <c r="Q8" i="12"/>
  <c r="R7" i="12"/>
  <c r="M62" i="17"/>
  <c r="L20" i="12"/>
  <c r="M19" i="12"/>
  <c r="N18" i="12"/>
  <c r="K17" i="12"/>
  <c r="L16" i="12"/>
  <c r="M15" i="12"/>
  <c r="N14" i="12"/>
  <c r="K13" i="12"/>
  <c r="L12" i="12"/>
  <c r="M11" i="12"/>
  <c r="N10" i="12"/>
  <c r="K9" i="12"/>
  <c r="L8" i="12"/>
  <c r="M7" i="12"/>
  <c r="O62" i="19"/>
  <c r="L53" i="19"/>
  <c r="O20" i="12"/>
  <c r="P19" i="12"/>
  <c r="Q18" i="12"/>
  <c r="R17" i="12"/>
  <c r="O16" i="12"/>
  <c r="P15" i="12"/>
  <c r="Q14" i="12"/>
  <c r="R13" i="12"/>
  <c r="O12" i="12"/>
  <c r="P11" i="12"/>
  <c r="Q10" i="12"/>
  <c r="R9" i="12"/>
  <c r="O8" i="12"/>
  <c r="P7" i="12"/>
  <c r="N62" i="19"/>
  <c r="R58" i="19"/>
  <c r="O53" i="17"/>
  <c r="L54" i="19"/>
  <c r="P50" i="19"/>
  <c r="J61" i="3"/>
  <c r="Q50" i="17"/>
  <c r="R41" i="12"/>
  <c r="O40" i="12"/>
  <c r="P39" i="12"/>
  <c r="Q38" i="12"/>
  <c r="R37" i="12"/>
  <c r="O36" i="12"/>
  <c r="P35" i="12"/>
  <c r="Q34" i="12"/>
  <c r="R33" i="12"/>
  <c r="O32" i="12"/>
  <c r="P31" i="12"/>
  <c r="Q30" i="12"/>
  <c r="R29" i="12"/>
  <c r="O28" i="12"/>
  <c r="Q62" i="19"/>
  <c r="Q54" i="19"/>
  <c r="N53" i="19"/>
  <c r="Q53" i="17"/>
  <c r="P58" i="17"/>
  <c r="K62" i="17"/>
  <c r="O35" i="12"/>
  <c r="M40" i="12"/>
  <c r="M36" i="12"/>
  <c r="N35" i="12"/>
  <c r="K34" i="12"/>
  <c r="L29" i="12"/>
  <c r="M28" i="12"/>
  <c r="O41" i="12"/>
  <c r="P40" i="12"/>
  <c r="Q39" i="12"/>
  <c r="O37" i="12"/>
  <c r="P36" i="12"/>
  <c r="Q35" i="12"/>
  <c r="R34" i="12"/>
  <c r="O29" i="12"/>
  <c r="P28" i="12"/>
  <c r="N58" i="19"/>
  <c r="L62" i="19"/>
  <c r="K58" i="19"/>
  <c r="N20" i="12"/>
  <c r="K19" i="12"/>
  <c r="L18" i="12"/>
  <c r="M17" i="12"/>
  <c r="N16" i="12"/>
  <c r="K15" i="12"/>
  <c r="L14" i="12"/>
  <c r="M13" i="12"/>
  <c r="N12" i="12"/>
  <c r="K11" i="12"/>
  <c r="L10" i="12"/>
  <c r="M9" i="12"/>
  <c r="N8" i="12"/>
  <c r="K7" i="12"/>
  <c r="M62" i="19"/>
  <c r="N53" i="17"/>
  <c r="P62" i="19"/>
  <c r="L58" i="19"/>
  <c r="O58" i="17"/>
  <c r="R40" i="12"/>
  <c r="N19" i="12"/>
  <c r="N15" i="12"/>
  <c r="P20" i="12"/>
  <c r="R14" i="12"/>
  <c r="Q7" i="12"/>
  <c r="L19" i="12"/>
  <c r="K16" i="12"/>
  <c r="N13" i="12"/>
  <c r="L7" i="12"/>
  <c r="Q58" i="19"/>
  <c r="J14" i="24"/>
  <c r="J93" i="24" s="1"/>
  <c r="J15" i="18"/>
  <c r="M53" i="17"/>
  <c r="N62" i="17"/>
  <c r="J232" i="25"/>
  <c r="J239" i="25" s="1"/>
  <c r="J12" i="16"/>
  <c r="J32" i="3"/>
  <c r="J10" i="16"/>
  <c r="J8" i="16"/>
  <c r="J21" i="8"/>
  <c r="J28" i="3"/>
  <c r="J18" i="16"/>
  <c r="J38" i="3"/>
  <c r="J14" i="16"/>
  <c r="J34" i="3"/>
  <c r="J20" i="16"/>
  <c r="J40" i="3"/>
  <c r="J16" i="16"/>
  <c r="J36" i="3"/>
  <c r="J21" i="13"/>
  <c r="J21" i="7"/>
  <c r="I193" i="3"/>
  <c r="I183" i="3"/>
  <c r="I173" i="3"/>
  <c r="I163" i="3"/>
  <c r="I153" i="3"/>
  <c r="I152" i="3"/>
  <c r="I154" i="3" s="1"/>
  <c r="I143" i="3"/>
  <c r="I43" i="12"/>
  <c r="Q58" i="26"/>
  <c r="P28" i="26"/>
  <c r="R43" i="26"/>
  <c r="M118" i="26"/>
  <c r="O178" i="26"/>
  <c r="M148" i="26"/>
  <c r="Q43" i="26"/>
  <c r="Q133" i="25"/>
  <c r="P118" i="25"/>
  <c r="M43" i="25"/>
  <c r="Q133" i="26"/>
  <c r="R163" i="26"/>
  <c r="O28" i="26"/>
  <c r="K118" i="26"/>
  <c r="R163" i="25"/>
  <c r="P118" i="26"/>
  <c r="Q13" i="26"/>
  <c r="P13" i="25"/>
  <c r="R58" i="25"/>
  <c r="O178" i="25"/>
  <c r="K178" i="25"/>
  <c r="P193" i="26"/>
  <c r="K208" i="26"/>
  <c r="N103" i="26"/>
  <c r="O13" i="26"/>
  <c r="O103" i="26"/>
  <c r="O208" i="26"/>
  <c r="Q73" i="25"/>
  <c r="R28" i="26"/>
  <c r="L178" i="25"/>
  <c r="L193" i="25"/>
  <c r="P103" i="25"/>
  <c r="K133" i="25"/>
  <c r="Q58" i="25"/>
  <c r="P178" i="25"/>
  <c r="M28" i="26"/>
  <c r="L163" i="25"/>
  <c r="K193" i="25"/>
  <c r="Q88" i="25"/>
  <c r="O13" i="25"/>
  <c r="L13" i="26"/>
  <c r="K148" i="26"/>
  <c r="M163" i="25"/>
  <c r="K43" i="26"/>
  <c r="P178" i="26"/>
  <c r="K103" i="25"/>
  <c r="P13" i="26"/>
  <c r="K178" i="26"/>
  <c r="M208" i="25"/>
  <c r="P163" i="26"/>
  <c r="P73" i="26"/>
  <c r="N118" i="26"/>
  <c r="O58" i="26"/>
  <c r="M73" i="26"/>
  <c r="R148" i="26"/>
  <c r="L193" i="26"/>
  <c r="K163" i="26"/>
  <c r="K148" i="25"/>
  <c r="O88" i="25"/>
  <c r="Q103" i="26"/>
  <c r="O103" i="25"/>
  <c r="O193" i="25"/>
  <c r="K88" i="25"/>
  <c r="M28" i="25"/>
  <c r="N73" i="25"/>
  <c r="L208" i="25"/>
  <c r="R118" i="26"/>
  <c r="Q148" i="26"/>
  <c r="Q28" i="25"/>
  <c r="M178" i="26"/>
  <c r="Q178" i="26"/>
  <c r="P133" i="25"/>
  <c r="K43" i="25"/>
  <c r="R88" i="26"/>
  <c r="K118" i="25"/>
  <c r="Q88" i="26"/>
  <c r="O118" i="26"/>
  <c r="Q13" i="25"/>
  <c r="L43" i="25"/>
  <c r="O43" i="25"/>
  <c r="K208" i="25"/>
  <c r="N163" i="26"/>
  <c r="P133" i="26"/>
  <c r="R208" i="25"/>
  <c r="Q118" i="25"/>
  <c r="O148" i="26"/>
  <c r="L43" i="26"/>
  <c r="R193" i="25"/>
  <c r="R193" i="26"/>
  <c r="Q73" i="26"/>
  <c r="K13" i="25"/>
  <c r="N118" i="25"/>
  <c r="K58" i="25"/>
  <c r="O163" i="25"/>
  <c r="R208" i="26"/>
  <c r="K88" i="26"/>
  <c r="N58" i="26"/>
  <c r="M133" i="26"/>
  <c r="K73" i="25"/>
  <c r="R58" i="26"/>
  <c r="N208" i="25"/>
  <c r="O73" i="26"/>
  <c r="R178" i="26"/>
  <c r="N13" i="26"/>
  <c r="L13" i="25"/>
  <c r="N178" i="25"/>
  <c r="O193" i="26"/>
  <c r="N103" i="25"/>
  <c r="Q118" i="26"/>
  <c r="L58" i="25"/>
  <c r="N58" i="25"/>
  <c r="P148" i="26"/>
  <c r="N43" i="26"/>
  <c r="Q163" i="26"/>
  <c r="R118" i="25"/>
  <c r="M88" i="26"/>
  <c r="P58" i="26"/>
  <c r="P208" i="25"/>
  <c r="R73" i="26"/>
  <c r="L88" i="26"/>
  <c r="N43" i="25"/>
  <c r="Q178" i="25"/>
  <c r="R103" i="26"/>
  <c r="R73" i="25"/>
  <c r="M58" i="25"/>
  <c r="Q163" i="25"/>
  <c r="N193" i="26"/>
  <c r="L118" i="25"/>
  <c r="Q28" i="26"/>
  <c r="P103" i="26"/>
  <c r="M193" i="25"/>
  <c r="O28" i="25"/>
  <c r="M133" i="25"/>
  <c r="P148" i="25"/>
  <c r="M118" i="25"/>
  <c r="M58" i="26"/>
  <c r="O88" i="26"/>
  <c r="Q43" i="25"/>
  <c r="K28" i="26"/>
  <c r="K58" i="26"/>
  <c r="L133" i="25"/>
  <c r="L73" i="25"/>
  <c r="P208" i="26"/>
  <c r="Q208" i="25"/>
  <c r="O73" i="25"/>
  <c r="O148" i="25"/>
  <c r="L148" i="25"/>
  <c r="R103" i="25"/>
  <c r="Q193" i="25"/>
  <c r="L133" i="26"/>
  <c r="M193" i="26"/>
  <c r="Q193" i="26"/>
  <c r="O133" i="26"/>
  <c r="O118" i="25"/>
  <c r="N163" i="25"/>
  <c r="L103" i="25"/>
  <c r="O133" i="25"/>
  <c r="L148" i="26"/>
  <c r="R178" i="25"/>
  <c r="M13" i="25"/>
  <c r="P43" i="26"/>
  <c r="R13" i="25"/>
  <c r="R28" i="25"/>
  <c r="M178" i="25"/>
  <c r="P73" i="25"/>
  <c r="P88" i="26"/>
  <c r="K163" i="25"/>
  <c r="P193" i="25"/>
  <c r="O58" i="25"/>
  <c r="L73" i="26"/>
  <c r="P58" i="25"/>
  <c r="R133" i="26"/>
  <c r="O43" i="26"/>
  <c r="N148" i="25"/>
  <c r="M13" i="26"/>
  <c r="L28" i="26"/>
  <c r="L103" i="26"/>
  <c r="N193" i="25"/>
  <c r="M88" i="25"/>
  <c r="P163" i="25"/>
  <c r="O208" i="25"/>
  <c r="R43" i="25"/>
  <c r="N133" i="26"/>
  <c r="K103" i="26"/>
  <c r="Q148" i="25"/>
  <c r="N178" i="26"/>
  <c r="O163" i="26"/>
  <c r="L163" i="26"/>
  <c r="M148" i="25"/>
  <c r="N13" i="25"/>
  <c r="P43" i="25"/>
  <c r="L88" i="25"/>
  <c r="Q103" i="25"/>
  <c r="N133" i="25"/>
  <c r="R88" i="25"/>
  <c r="N28" i="25"/>
  <c r="P28" i="25"/>
  <c r="Q208" i="26"/>
  <c r="M103" i="25"/>
  <c r="R133" i="25"/>
  <c r="K28" i="25"/>
  <c r="L208" i="26"/>
  <c r="M208" i="26"/>
  <c r="N73" i="26"/>
  <c r="M73" i="25"/>
  <c r="P88" i="25"/>
  <c r="L28" i="25"/>
  <c r="R148" i="25"/>
  <c r="N88" i="25"/>
  <c r="R13" i="26"/>
  <c r="J7" i="38" l="1"/>
  <c r="J14" i="38" s="1"/>
  <c r="J42" i="38"/>
  <c r="I123" i="17"/>
  <c r="I119" i="17"/>
  <c r="I115" i="17"/>
  <c r="I111" i="17"/>
  <c r="I120" i="17"/>
  <c r="I112" i="17"/>
  <c r="I122" i="17"/>
  <c r="I118" i="17"/>
  <c r="I114" i="17"/>
  <c r="I110" i="17"/>
  <c r="I116" i="17"/>
  <c r="I121" i="17"/>
  <c r="I117" i="17"/>
  <c r="I113" i="17"/>
  <c r="J24" i="24"/>
  <c r="P223" i="26"/>
  <c r="M223" i="25"/>
  <c r="N223" i="25"/>
  <c r="R223" i="26"/>
  <c r="M223" i="26"/>
  <c r="O223" i="25"/>
  <c r="L223" i="26"/>
  <c r="N223" i="26"/>
  <c r="K223" i="25"/>
  <c r="O223" i="26"/>
  <c r="K223" i="26"/>
  <c r="Q223" i="26"/>
  <c r="L223" i="25"/>
  <c r="Q223" i="25"/>
  <c r="P223" i="25"/>
  <c r="R223" i="25"/>
  <c r="J25" i="18"/>
  <c r="J21" i="16"/>
  <c r="J41" i="3"/>
  <c r="I172" i="3"/>
  <c r="I174" i="3" s="1"/>
  <c r="I142" i="3"/>
  <c r="I144" i="3" s="1"/>
  <c r="I182" i="3"/>
  <c r="I184" i="3" s="1"/>
  <c r="I110" i="19" s="1"/>
  <c r="I192" i="3"/>
  <c r="I194" i="3" s="1"/>
  <c r="I162" i="3"/>
  <c r="I164" i="3" s="1"/>
  <c r="I162" i="17" l="1"/>
  <c r="I158" i="17"/>
  <c r="I154" i="17"/>
  <c r="I161" i="17"/>
  <c r="I157" i="17"/>
  <c r="I153" i="17"/>
  <c r="I164" i="17"/>
  <c r="I160" i="17"/>
  <c r="I156" i="17"/>
  <c r="I152" i="17"/>
  <c r="I163" i="17"/>
  <c r="I159" i="17"/>
  <c r="I155" i="17"/>
  <c r="I151" i="17"/>
  <c r="I162" i="19"/>
  <c r="I158" i="19"/>
  <c r="I154" i="19"/>
  <c r="I161" i="19"/>
  <c r="I157" i="19"/>
  <c r="I153" i="19"/>
  <c r="I164" i="19"/>
  <c r="I160" i="19"/>
  <c r="I156" i="19"/>
  <c r="I152" i="19"/>
  <c r="I163" i="19"/>
  <c r="I159" i="19"/>
  <c r="I155" i="19"/>
  <c r="I151" i="19"/>
  <c r="I122" i="19"/>
  <c r="I118" i="19"/>
  <c r="I114" i="19"/>
  <c r="I115" i="19"/>
  <c r="I121" i="19"/>
  <c r="I117" i="19"/>
  <c r="I113" i="19"/>
  <c r="I123" i="19"/>
  <c r="I111" i="19"/>
  <c r="I120" i="19"/>
  <c r="I116" i="19"/>
  <c r="I112" i="19"/>
  <c r="I119" i="19"/>
  <c r="I81" i="17"/>
  <c r="I77" i="17"/>
  <c r="I73" i="17"/>
  <c r="I69" i="17"/>
  <c r="I78" i="17"/>
  <c r="I80" i="17"/>
  <c r="I76" i="17"/>
  <c r="I72" i="17"/>
  <c r="I82" i="17"/>
  <c r="I70" i="17"/>
  <c r="I79" i="17"/>
  <c r="I75" i="17"/>
  <c r="I71" i="17"/>
  <c r="I74" i="17"/>
  <c r="I80" i="19"/>
  <c r="I76" i="19"/>
  <c r="I72" i="19"/>
  <c r="I77" i="19"/>
  <c r="I79" i="19"/>
  <c r="I75" i="19"/>
  <c r="I71" i="19"/>
  <c r="I73" i="19"/>
  <c r="I82" i="19"/>
  <c r="I78" i="19"/>
  <c r="I74" i="19"/>
  <c r="I70" i="19"/>
  <c r="I81" i="19"/>
  <c r="I69" i="19"/>
  <c r="I63" i="7"/>
  <c r="I30" i="13"/>
  <c r="I32" i="13" s="1"/>
  <c r="I115" i="26"/>
  <c r="I174" i="26"/>
  <c r="I205" i="26"/>
  <c r="I9" i="26"/>
  <c r="I54" i="26"/>
  <c r="I40" i="26"/>
  <c r="I70" i="26"/>
  <c r="I99" i="26"/>
  <c r="I39" i="26"/>
  <c r="I100" i="26"/>
  <c r="I190" i="26"/>
  <c r="I145" i="26"/>
  <c r="I160" i="26"/>
  <c r="I10" i="26"/>
  <c r="I129" i="26"/>
  <c r="I144" i="26"/>
  <c r="I204" i="26"/>
  <c r="I175" i="26"/>
  <c r="I159" i="26"/>
  <c r="I84" i="26"/>
  <c r="I189" i="26"/>
  <c r="I55" i="26"/>
  <c r="I85" i="26"/>
  <c r="I130" i="26"/>
  <c r="I69" i="26"/>
  <c r="I25" i="26"/>
  <c r="I114" i="26"/>
  <c r="I24" i="26"/>
  <c r="I39" i="12" l="1"/>
  <c r="I35" i="12"/>
  <c r="I31" i="12"/>
  <c r="I38" i="12"/>
  <c r="I34" i="12"/>
  <c r="I30" i="12"/>
  <c r="I41" i="12"/>
  <c r="I37" i="12"/>
  <c r="I33" i="12"/>
  <c r="I29" i="12"/>
  <c r="I40" i="12"/>
  <c r="I36" i="12"/>
  <c r="I32" i="12"/>
  <c r="I28" i="12"/>
  <c r="I220" i="26"/>
  <c r="I219" i="26"/>
  <c r="I65" i="7"/>
  <c r="I28" i="11"/>
  <c r="I25" i="38" s="1"/>
  <c r="G20" i="35"/>
  <c r="G19" i="35"/>
  <c r="I20" i="12" s="1"/>
  <c r="G18" i="35"/>
  <c r="I19" i="12" s="1"/>
  <c r="G17" i="35"/>
  <c r="I18" i="12" s="1"/>
  <c r="G16" i="35"/>
  <c r="I17" i="12" s="1"/>
  <c r="G15" i="35"/>
  <c r="I16" i="12" s="1"/>
  <c r="G14" i="35"/>
  <c r="I15" i="12" s="1"/>
  <c r="G13" i="35"/>
  <c r="I14" i="12" s="1"/>
  <c r="G12" i="35"/>
  <c r="I13" i="12" s="1"/>
  <c r="G11" i="35"/>
  <c r="I12" i="12" s="1"/>
  <c r="G10" i="35"/>
  <c r="I11" i="12" s="1"/>
  <c r="G9" i="35"/>
  <c r="I10" i="12" s="1"/>
  <c r="G8" i="35"/>
  <c r="I9" i="12" s="1"/>
  <c r="G7" i="35"/>
  <c r="I8" i="12" s="1"/>
  <c r="G6" i="35"/>
  <c r="I7" i="12" s="1"/>
  <c r="F20" i="35"/>
  <c r="F19" i="35"/>
  <c r="I20" i="11" s="1"/>
  <c r="F18" i="35"/>
  <c r="I19" i="11" s="1"/>
  <c r="F17" i="35"/>
  <c r="I18" i="11" s="1"/>
  <c r="F16" i="35"/>
  <c r="I17" i="11" s="1"/>
  <c r="F15" i="35"/>
  <c r="I16" i="11" s="1"/>
  <c r="F14" i="35"/>
  <c r="I15" i="11" s="1"/>
  <c r="F13" i="35"/>
  <c r="I14" i="11" s="1"/>
  <c r="F12" i="35"/>
  <c r="I13" i="11" s="1"/>
  <c r="F11" i="35"/>
  <c r="I12" i="11" s="1"/>
  <c r="F10" i="35"/>
  <c r="I11" i="11" s="1"/>
  <c r="F9" i="35"/>
  <c r="I10" i="11" s="1"/>
  <c r="F8" i="35"/>
  <c r="I9" i="11" s="1"/>
  <c r="F7" i="35"/>
  <c r="I8" i="11" s="1"/>
  <c r="F6" i="35"/>
  <c r="I7" i="11" s="1"/>
  <c r="E20" i="35"/>
  <c r="E19" i="35"/>
  <c r="I20" i="10" s="1"/>
  <c r="E18" i="35"/>
  <c r="I19" i="10" s="1"/>
  <c r="E17" i="35"/>
  <c r="I18" i="10" s="1"/>
  <c r="E16" i="35"/>
  <c r="I17" i="10" s="1"/>
  <c r="E15" i="35"/>
  <c r="I16" i="10" s="1"/>
  <c r="E14" i="35"/>
  <c r="I15" i="10" s="1"/>
  <c r="E13" i="35"/>
  <c r="I14" i="10" s="1"/>
  <c r="E12" i="35"/>
  <c r="I13" i="10" s="1"/>
  <c r="E11" i="35"/>
  <c r="I12" i="10" s="1"/>
  <c r="E10" i="35"/>
  <c r="I11" i="10" s="1"/>
  <c r="E9" i="35"/>
  <c r="I10" i="10" s="1"/>
  <c r="E8" i="35"/>
  <c r="I9" i="10" s="1"/>
  <c r="E7" i="35"/>
  <c r="I8" i="10" s="1"/>
  <c r="E6" i="35"/>
  <c r="I7" i="10" s="1"/>
  <c r="D20" i="35"/>
  <c r="I132" i="25"/>
  <c r="I208" i="26"/>
  <c r="I12" i="25"/>
  <c r="I43" i="26"/>
  <c r="I163" i="26"/>
  <c r="I146" i="25"/>
  <c r="I193" i="25"/>
  <c r="I28" i="25"/>
  <c r="I147" i="25"/>
  <c r="I176" i="25"/>
  <c r="I56" i="25"/>
  <c r="I26" i="25"/>
  <c r="I222" i="26"/>
  <c r="I13" i="26"/>
  <c r="I102" i="25"/>
  <c r="I73" i="26"/>
  <c r="I192" i="25"/>
  <c r="I163" i="25"/>
  <c r="I208" i="25"/>
  <c r="I148" i="25"/>
  <c r="I71" i="25"/>
  <c r="I133" i="25"/>
  <c r="I148" i="26"/>
  <c r="I103" i="25"/>
  <c r="I161" i="25"/>
  <c r="I88" i="26"/>
  <c r="I103" i="26"/>
  <c r="I73" i="25"/>
  <c r="I28" i="26"/>
  <c r="I86" i="25"/>
  <c r="I57" i="25"/>
  <c r="I162" i="25"/>
  <c r="I118" i="25"/>
  <c r="I207" i="25"/>
  <c r="I101" i="25"/>
  <c r="I206" i="25"/>
  <c r="I88" i="25"/>
  <c r="I42" i="25"/>
  <c r="I118" i="26"/>
  <c r="I133" i="26"/>
  <c r="I41" i="25"/>
  <c r="I72" i="25"/>
  <c r="I193" i="26"/>
  <c r="I177" i="25"/>
  <c r="I58" i="25"/>
  <c r="I117" i="25"/>
  <c r="I87" i="25"/>
  <c r="I116" i="25"/>
  <c r="I131" i="25"/>
  <c r="I11" i="25"/>
  <c r="I191" i="25"/>
  <c r="I58" i="26"/>
  <c r="I43" i="25"/>
  <c r="I27" i="25"/>
  <c r="I178" i="26"/>
  <c r="I13" i="25"/>
  <c r="I178" i="25"/>
  <c r="I222" i="25" l="1"/>
  <c r="I221" i="25"/>
  <c r="I223" i="26"/>
  <c r="I223" i="25"/>
  <c r="G21" i="35"/>
  <c r="I22" i="12" s="1"/>
  <c r="E21" i="35"/>
  <c r="F21" i="35"/>
  <c r="F24" i="35" s="1"/>
  <c r="D19" i="35"/>
  <c r="I20" i="19" s="1"/>
  <c r="I144" i="19" s="1"/>
  <c r="D18" i="35"/>
  <c r="I19" i="19" s="1"/>
  <c r="I143" i="19" s="1"/>
  <c r="D17" i="35"/>
  <c r="I18" i="19" s="1"/>
  <c r="I142" i="19" s="1"/>
  <c r="D16" i="35"/>
  <c r="I17" i="19" s="1"/>
  <c r="I141" i="19" s="1"/>
  <c r="D15" i="35"/>
  <c r="I16" i="19" s="1"/>
  <c r="I140" i="19" s="1"/>
  <c r="D14" i="35"/>
  <c r="I15" i="19" s="1"/>
  <c r="I139" i="19" s="1"/>
  <c r="D13" i="35"/>
  <c r="I14" i="19" s="1"/>
  <c r="I138" i="19" s="1"/>
  <c r="D12" i="35"/>
  <c r="I13" i="19" s="1"/>
  <c r="I137" i="19" s="1"/>
  <c r="D11" i="35"/>
  <c r="I12" i="19" s="1"/>
  <c r="I136" i="19" s="1"/>
  <c r="D10" i="35"/>
  <c r="I11" i="19" s="1"/>
  <c r="I135" i="19" s="1"/>
  <c r="D9" i="35"/>
  <c r="I10" i="19" s="1"/>
  <c r="I134" i="19" s="1"/>
  <c r="D8" i="35"/>
  <c r="I9" i="19" s="1"/>
  <c r="I133" i="19" s="1"/>
  <c r="D7" i="35"/>
  <c r="I8" i="19" s="1"/>
  <c r="I132" i="19" s="1"/>
  <c r="D6" i="35"/>
  <c r="I7" i="19" s="1"/>
  <c r="I131" i="19" s="1"/>
  <c r="C19" i="35"/>
  <c r="I20" i="17" s="1"/>
  <c r="C18" i="35"/>
  <c r="I19" i="17" s="1"/>
  <c r="C17" i="35"/>
  <c r="I18" i="17" s="1"/>
  <c r="C16" i="35"/>
  <c r="I17" i="17" s="1"/>
  <c r="C15" i="35"/>
  <c r="I16" i="17" s="1"/>
  <c r="C14" i="35"/>
  <c r="I15" i="17" s="1"/>
  <c r="C13" i="35"/>
  <c r="I14" i="17" s="1"/>
  <c r="C12" i="35"/>
  <c r="I13" i="17" s="1"/>
  <c r="C11" i="35"/>
  <c r="I12" i="17" s="1"/>
  <c r="C10" i="35"/>
  <c r="I11" i="17" s="1"/>
  <c r="C9" i="35"/>
  <c r="I10" i="17" s="1"/>
  <c r="C8" i="35"/>
  <c r="I9" i="17" s="1"/>
  <c r="C7" i="35"/>
  <c r="I8" i="17" s="1"/>
  <c r="C6" i="35"/>
  <c r="I7" i="17" s="1"/>
  <c r="G21" i="34"/>
  <c r="G23" i="34" s="1"/>
  <c r="I66" i="23" l="1"/>
  <c r="I90" i="17" s="1"/>
  <c r="I131" i="17"/>
  <c r="I49" i="17"/>
  <c r="I78" i="23"/>
  <c r="I102" i="17" s="1"/>
  <c r="I143" i="17"/>
  <c r="I61" i="17"/>
  <c r="I134" i="17"/>
  <c r="I52" i="17"/>
  <c r="I69" i="23"/>
  <c r="I93" i="17" s="1"/>
  <c r="I138" i="17"/>
  <c r="I73" i="23"/>
  <c r="I97" i="17" s="1"/>
  <c r="I56" i="17"/>
  <c r="I60" i="17"/>
  <c r="I77" i="23"/>
  <c r="I142" i="17"/>
  <c r="I50" i="19"/>
  <c r="I87" i="23"/>
  <c r="I54" i="19"/>
  <c r="I91" i="23"/>
  <c r="I58" i="19"/>
  <c r="I95" i="23"/>
  <c r="I62" i="19"/>
  <c r="I99" i="23"/>
  <c r="I70" i="23"/>
  <c r="I94" i="17" s="1"/>
  <c r="I135" i="17"/>
  <c r="I53" i="17"/>
  <c r="I88" i="23"/>
  <c r="I51" i="19"/>
  <c r="I67" i="23"/>
  <c r="I132" i="17"/>
  <c r="I50" i="17"/>
  <c r="I71" i="23"/>
  <c r="I95" i="17" s="1"/>
  <c r="I136" i="17"/>
  <c r="I54" i="17"/>
  <c r="I75" i="23"/>
  <c r="I99" i="17" s="1"/>
  <c r="I140" i="17"/>
  <c r="I58" i="17"/>
  <c r="I79" i="23"/>
  <c r="I103" i="17" s="1"/>
  <c r="I144" i="17"/>
  <c r="I62" i="17"/>
  <c r="I89" i="23"/>
  <c r="I52" i="19"/>
  <c r="I93" i="23"/>
  <c r="I56" i="19"/>
  <c r="I97" i="23"/>
  <c r="I60" i="19"/>
  <c r="I74" i="23"/>
  <c r="I98" i="17" s="1"/>
  <c r="I139" i="17"/>
  <c r="I57" i="17"/>
  <c r="I92" i="23"/>
  <c r="I55" i="19"/>
  <c r="I59" i="19"/>
  <c r="I96" i="23"/>
  <c r="I133" i="17"/>
  <c r="I51" i="17"/>
  <c r="I68" i="23"/>
  <c r="I92" i="17" s="1"/>
  <c r="I137" i="17"/>
  <c r="I55" i="17"/>
  <c r="I72" i="23"/>
  <c r="I96" i="17" s="1"/>
  <c r="I141" i="17"/>
  <c r="I59" i="17"/>
  <c r="I76" i="23"/>
  <c r="I100" i="17" s="1"/>
  <c r="I86" i="23"/>
  <c r="I49" i="19"/>
  <c r="I90" i="23"/>
  <c r="I53" i="19"/>
  <c r="I57" i="19"/>
  <c r="I94" i="23"/>
  <c r="I98" i="23"/>
  <c r="I61" i="19"/>
  <c r="I101" i="17"/>
  <c r="I91" i="17"/>
  <c r="G23" i="35"/>
  <c r="G24" i="35"/>
  <c r="F23" i="35"/>
  <c r="I22" i="11"/>
  <c r="E23" i="35"/>
  <c r="I22" i="10"/>
  <c r="I15" i="35"/>
  <c r="I11" i="35"/>
  <c r="I12" i="35"/>
  <c r="I7" i="35"/>
  <c r="I19" i="35"/>
  <c r="I8" i="35"/>
  <c r="I16" i="35"/>
  <c r="E24" i="35"/>
  <c r="I20" i="34"/>
  <c r="C20" i="35"/>
  <c r="I13" i="35"/>
  <c r="D21" i="35"/>
  <c r="I22" i="19" s="1"/>
  <c r="C21" i="35"/>
  <c r="I6" i="35"/>
  <c r="I10" i="35"/>
  <c r="I14" i="35"/>
  <c r="I18" i="35"/>
  <c r="I9" i="35"/>
  <c r="I17" i="35"/>
  <c r="I8" i="34"/>
  <c r="E21" i="34"/>
  <c r="E23" i="34" s="1"/>
  <c r="F21" i="34"/>
  <c r="F23" i="34" s="1"/>
  <c r="I12" i="34"/>
  <c r="I16" i="34"/>
  <c r="H21" i="34"/>
  <c r="I9" i="34"/>
  <c r="I13" i="34"/>
  <c r="I14" i="34"/>
  <c r="I11" i="34"/>
  <c r="I15" i="34"/>
  <c r="I7" i="34"/>
  <c r="I19" i="34"/>
  <c r="I18" i="34"/>
  <c r="I17" i="34"/>
  <c r="I10" i="34"/>
  <c r="D21" i="34"/>
  <c r="D23" i="34" s="1"/>
  <c r="I6" i="34"/>
  <c r="C21" i="34"/>
  <c r="C23" i="34" s="1"/>
  <c r="H163" i="3"/>
  <c r="G166" i="17"/>
  <c r="G163" i="3" s="1"/>
  <c r="I25" i="25"/>
  <c r="I204" i="25"/>
  <c r="I115" i="25"/>
  <c r="I205" i="25"/>
  <c r="I85" i="25"/>
  <c r="I84" i="25"/>
  <c r="I175" i="25"/>
  <c r="I190" i="25"/>
  <c r="I174" i="25"/>
  <c r="I70" i="25"/>
  <c r="I10" i="25"/>
  <c r="I129" i="25"/>
  <c r="I189" i="25"/>
  <c r="I145" i="25"/>
  <c r="I39" i="25"/>
  <c r="I130" i="25"/>
  <c r="I114" i="25"/>
  <c r="I24" i="25"/>
  <c r="I159" i="25"/>
  <c r="I100" i="25"/>
  <c r="I144" i="25"/>
  <c r="I54" i="25"/>
  <c r="I9" i="25"/>
  <c r="I160" i="25"/>
  <c r="I69" i="25"/>
  <c r="I40" i="25"/>
  <c r="I55" i="25"/>
  <c r="I99" i="25"/>
  <c r="I219" i="25" l="1"/>
  <c r="I220" i="25"/>
  <c r="I97" i="19"/>
  <c r="I100" i="19"/>
  <c r="I92" i="19"/>
  <c r="I91" i="19"/>
  <c r="I98" i="19"/>
  <c r="I94" i="19"/>
  <c r="I99" i="19"/>
  <c r="I101" i="19"/>
  <c r="I93" i="19"/>
  <c r="I96" i="19"/>
  <c r="I95" i="19"/>
  <c r="I90" i="19"/>
  <c r="I102" i="19"/>
  <c r="I103" i="19"/>
  <c r="Z20" i="19"/>
  <c r="Z19" i="19"/>
  <c r="Z18" i="19"/>
  <c r="Z17" i="19"/>
  <c r="Z16" i="19"/>
  <c r="Z15" i="19"/>
  <c r="Z14" i="19"/>
  <c r="Z13" i="19"/>
  <c r="Z12" i="19"/>
  <c r="Z11" i="19"/>
  <c r="Z10" i="19"/>
  <c r="Z9" i="19"/>
  <c r="Z8" i="19"/>
  <c r="Z7" i="19"/>
  <c r="C24" i="35"/>
  <c r="I22" i="17"/>
  <c r="I20" i="35"/>
  <c r="C23" i="35"/>
  <c r="D24" i="35"/>
  <c r="D23" i="35"/>
  <c r="H17" i="35"/>
  <c r="K17" i="35" s="1"/>
  <c r="H13" i="35"/>
  <c r="K13" i="35" s="1"/>
  <c r="H9" i="35"/>
  <c r="K9" i="35" s="1"/>
  <c r="H16" i="35"/>
  <c r="K16" i="35" s="1"/>
  <c r="H12" i="35"/>
  <c r="K12" i="35" s="1"/>
  <c r="H8" i="35"/>
  <c r="K8" i="35" s="1"/>
  <c r="H19" i="35"/>
  <c r="K19" i="35" s="1"/>
  <c r="H15" i="35"/>
  <c r="K15" i="35" s="1"/>
  <c r="H11" i="35"/>
  <c r="K11" i="35" s="1"/>
  <c r="H7" i="35"/>
  <c r="K7" i="35" s="1"/>
  <c r="H18" i="35"/>
  <c r="K18" i="35" s="1"/>
  <c r="H14" i="35"/>
  <c r="K14" i="35" s="1"/>
  <c r="H10" i="35"/>
  <c r="K10" i="35" s="1"/>
  <c r="H6" i="35"/>
  <c r="K6" i="35" s="1"/>
  <c r="H153" i="3"/>
  <c r="G125" i="17"/>
  <c r="G153" i="3" s="1"/>
  <c r="I52" i="25"/>
  <c r="I22" i="25"/>
  <c r="I38" i="25"/>
  <c r="I37" i="25"/>
  <c r="I157" i="25"/>
  <c r="I82" i="25"/>
  <c r="I172" i="25"/>
  <c r="I7" i="25"/>
  <c r="I83" i="25"/>
  <c r="I128" i="25"/>
  <c r="I68" i="25"/>
  <c r="I188" i="25"/>
  <c r="I97" i="25"/>
  <c r="I98" i="25"/>
  <c r="I142" i="25"/>
  <c r="I53" i="25"/>
  <c r="I112" i="25"/>
  <c r="I203" i="25"/>
  <c r="I187" i="25"/>
  <c r="I113" i="25"/>
  <c r="I158" i="25"/>
  <c r="I67" i="25"/>
  <c r="I173" i="25"/>
  <c r="I202" i="25"/>
  <c r="I127" i="25"/>
  <c r="I23" i="25"/>
  <c r="I8" i="25"/>
  <c r="I143" i="25"/>
  <c r="I29" i="25" l="1"/>
  <c r="I164" i="25"/>
  <c r="I104" i="25"/>
  <c r="I179" i="25"/>
  <c r="I89" i="25"/>
  <c r="I218" i="25"/>
  <c r="I149" i="25"/>
  <c r="I59" i="25"/>
  <c r="I44" i="25"/>
  <c r="I119" i="25"/>
  <c r="I194" i="25"/>
  <c r="I209" i="25"/>
  <c r="I134" i="25"/>
  <c r="I74" i="25"/>
  <c r="I14" i="25"/>
  <c r="I217" i="25"/>
  <c r="Z21" i="19"/>
  <c r="H21" i="35"/>
  <c r="C6" i="30"/>
  <c r="H143" i="3"/>
  <c r="G84" i="17"/>
  <c r="G143" i="3" s="1"/>
  <c r="I224" i="25" l="1"/>
  <c r="H193" i="3"/>
  <c r="G166" i="19"/>
  <c r="G193" i="3" s="1"/>
  <c r="H183" i="3"/>
  <c r="G125" i="19"/>
  <c r="G183" i="3" s="1"/>
  <c r="H173" i="3"/>
  <c r="G84" i="19"/>
  <c r="G173" i="3" s="1"/>
  <c r="G28" i="10"/>
  <c r="G24" i="38" s="1"/>
  <c r="G140" i="3"/>
  <c r="G191" i="3"/>
  <c r="G190" i="3"/>
  <c r="G180" i="3"/>
  <c r="G181" i="3"/>
  <c r="G171" i="3"/>
  <c r="G170" i="3"/>
  <c r="G221" i="26"/>
  <c r="G192" i="3" l="1"/>
  <c r="G194" i="3" s="1"/>
  <c r="G161" i="19" s="1"/>
  <c r="H24" i="22"/>
  <c r="G24" i="22"/>
  <c r="G182" i="3"/>
  <c r="G184" i="3" s="1"/>
  <c r="H192" i="3"/>
  <c r="H194" i="3" s="1"/>
  <c r="H182" i="3"/>
  <c r="H184" i="3" s="1"/>
  <c r="H172" i="3"/>
  <c r="H174" i="3" s="1"/>
  <c r="G172" i="3"/>
  <c r="G174" i="3" s="1"/>
  <c r="H162" i="3"/>
  <c r="H164" i="3" s="1"/>
  <c r="H151" i="17" s="1"/>
  <c r="G161" i="3"/>
  <c r="G160" i="3"/>
  <c r="G150" i="3"/>
  <c r="G151" i="3"/>
  <c r="G141" i="3"/>
  <c r="G142" i="3" s="1"/>
  <c r="G144" i="3" s="1"/>
  <c r="F141" i="3"/>
  <c r="G193" i="18"/>
  <c r="H193" i="18"/>
  <c r="G172" i="18"/>
  <c r="H172" i="18"/>
  <c r="G109" i="18"/>
  <c r="H109" i="18"/>
  <c r="G67" i="18"/>
  <c r="H67" i="18"/>
  <c r="G28" i="6"/>
  <c r="H28" i="6"/>
  <c r="G160" i="26"/>
  <c r="G236" i="26" l="1"/>
  <c r="G52" i="38"/>
  <c r="H236" i="26"/>
  <c r="H52" i="38"/>
  <c r="H122" i="19"/>
  <c r="H118" i="19"/>
  <c r="H114" i="19"/>
  <c r="H110" i="19"/>
  <c r="H115" i="19"/>
  <c r="H121" i="19"/>
  <c r="H117" i="19"/>
  <c r="H113" i="19"/>
  <c r="H123" i="19"/>
  <c r="H111" i="19"/>
  <c r="H120" i="19"/>
  <c r="H116" i="19"/>
  <c r="H112" i="19"/>
  <c r="H119" i="19"/>
  <c r="H80" i="19"/>
  <c r="H76" i="19"/>
  <c r="H72" i="19"/>
  <c r="H77" i="19"/>
  <c r="H79" i="19"/>
  <c r="H75" i="19"/>
  <c r="H71" i="19"/>
  <c r="H73" i="19"/>
  <c r="H82" i="19"/>
  <c r="H78" i="19"/>
  <c r="H74" i="19"/>
  <c r="H70" i="19"/>
  <c r="H81" i="19"/>
  <c r="H69" i="19"/>
  <c r="H163" i="17"/>
  <c r="H159" i="17"/>
  <c r="H155" i="17"/>
  <c r="H156" i="17"/>
  <c r="H162" i="17"/>
  <c r="H158" i="17"/>
  <c r="H154" i="17"/>
  <c r="H164" i="17"/>
  <c r="H161" i="17"/>
  <c r="H157" i="17"/>
  <c r="H153" i="17"/>
  <c r="H160" i="17"/>
  <c r="H152" i="17"/>
  <c r="H162" i="19"/>
  <c r="H158" i="19"/>
  <c r="H154" i="19"/>
  <c r="H163" i="19"/>
  <c r="H161" i="19"/>
  <c r="H157" i="19"/>
  <c r="H153" i="19"/>
  <c r="H159" i="19"/>
  <c r="H151" i="19"/>
  <c r="H164" i="19"/>
  <c r="H160" i="19"/>
  <c r="H156" i="19"/>
  <c r="H152" i="19"/>
  <c r="H155" i="19"/>
  <c r="G158" i="19"/>
  <c r="G155" i="19"/>
  <c r="G157" i="19"/>
  <c r="G163" i="19"/>
  <c r="G151" i="19"/>
  <c r="G153" i="19"/>
  <c r="G162" i="19"/>
  <c r="G152" i="19"/>
  <c r="G154" i="19"/>
  <c r="G159" i="19"/>
  <c r="G156" i="19"/>
  <c r="G160" i="19"/>
  <c r="G164" i="19"/>
  <c r="H152" i="3"/>
  <c r="H154" i="3" s="1"/>
  <c r="G162" i="3"/>
  <c r="G164" i="3" s="1"/>
  <c r="G81" i="17"/>
  <c r="G77" i="17"/>
  <c r="G73" i="17"/>
  <c r="G69" i="17"/>
  <c r="G79" i="17"/>
  <c r="G71" i="17"/>
  <c r="G80" i="17"/>
  <c r="G76" i="17"/>
  <c r="G72" i="17"/>
  <c r="G75" i="17"/>
  <c r="G78" i="17"/>
  <c r="G74" i="17"/>
  <c r="G70" i="17"/>
  <c r="G82" i="17"/>
  <c r="G80" i="19"/>
  <c r="G76" i="19"/>
  <c r="G72" i="19"/>
  <c r="G79" i="19"/>
  <c r="G75" i="19"/>
  <c r="G71" i="19"/>
  <c r="G81" i="19"/>
  <c r="G78" i="19"/>
  <c r="G74" i="19"/>
  <c r="G70" i="19"/>
  <c r="G73" i="19"/>
  <c r="G69" i="19"/>
  <c r="G82" i="19"/>
  <c r="G77" i="19"/>
  <c r="G123" i="19"/>
  <c r="G119" i="19"/>
  <c r="G115" i="19"/>
  <c r="G111" i="19"/>
  <c r="G122" i="19"/>
  <c r="G118" i="19"/>
  <c r="G114" i="19"/>
  <c r="G110" i="19"/>
  <c r="G121" i="19"/>
  <c r="G117" i="19"/>
  <c r="G113" i="19"/>
  <c r="G116" i="19"/>
  <c r="G112" i="19"/>
  <c r="G120" i="19"/>
  <c r="G152" i="3"/>
  <c r="G154" i="3" s="1"/>
  <c r="H142" i="3"/>
  <c r="H144" i="3" s="1"/>
  <c r="G55" i="26"/>
  <c r="H24" i="26"/>
  <c r="G10" i="26"/>
  <c r="H190" i="26"/>
  <c r="G70" i="26"/>
  <c r="G130" i="26"/>
  <c r="H69" i="26"/>
  <c r="G145" i="26"/>
  <c r="G25" i="26"/>
  <c r="H100" i="26"/>
  <c r="H145" i="26"/>
  <c r="H130" i="26"/>
  <c r="H10" i="26"/>
  <c r="G115" i="26"/>
  <c r="H84" i="26"/>
  <c r="H9" i="26"/>
  <c r="G40" i="26"/>
  <c r="H25" i="26"/>
  <c r="H144" i="26"/>
  <c r="H204" i="26"/>
  <c r="H160" i="26"/>
  <c r="H39" i="26"/>
  <c r="H114" i="26"/>
  <c r="G85" i="26"/>
  <c r="H85" i="26"/>
  <c r="G100" i="26"/>
  <c r="H174" i="26"/>
  <c r="G205" i="26"/>
  <c r="H159" i="26"/>
  <c r="H99" i="26"/>
  <c r="G190" i="26"/>
  <c r="H115" i="26"/>
  <c r="H205" i="26"/>
  <c r="H54" i="26"/>
  <c r="H175" i="26"/>
  <c r="H70" i="26"/>
  <c r="H55" i="26"/>
  <c r="H129" i="26"/>
  <c r="H40" i="26"/>
  <c r="G175" i="26"/>
  <c r="H189" i="26"/>
  <c r="G220" i="26" l="1"/>
  <c r="H219" i="26"/>
  <c r="H220" i="26"/>
  <c r="H81" i="17"/>
  <c r="H81" i="8" s="1"/>
  <c r="H77" i="17"/>
  <c r="H77" i="8" s="1"/>
  <c r="H73" i="17"/>
  <c r="H73" i="8" s="1"/>
  <c r="H69" i="17"/>
  <c r="H69" i="8" s="1"/>
  <c r="H70" i="17"/>
  <c r="H80" i="17"/>
  <c r="H80" i="8" s="1"/>
  <c r="H76" i="17"/>
  <c r="H76" i="8" s="1"/>
  <c r="H72" i="17"/>
  <c r="H72" i="8" s="1"/>
  <c r="H78" i="17"/>
  <c r="H78" i="8" s="1"/>
  <c r="H79" i="17"/>
  <c r="H79" i="8" s="1"/>
  <c r="H75" i="17"/>
  <c r="H75" i="8" s="1"/>
  <c r="H71" i="17"/>
  <c r="H71" i="8" s="1"/>
  <c r="H82" i="17"/>
  <c r="H82" i="8" s="1"/>
  <c r="H74" i="17"/>
  <c r="H74" i="8" s="1"/>
  <c r="H123" i="17"/>
  <c r="H123" i="8" s="1"/>
  <c r="H119" i="17"/>
  <c r="H119" i="8" s="1"/>
  <c r="H115" i="17"/>
  <c r="H115" i="8" s="1"/>
  <c r="H111" i="17"/>
  <c r="H111" i="8" s="1"/>
  <c r="H122" i="17"/>
  <c r="H122" i="8" s="1"/>
  <c r="H118" i="17"/>
  <c r="H118" i="8" s="1"/>
  <c r="H114" i="17"/>
  <c r="H114" i="8" s="1"/>
  <c r="H110" i="17"/>
  <c r="H110" i="8" s="1"/>
  <c r="H120" i="17"/>
  <c r="H120" i="8" s="1"/>
  <c r="H112" i="17"/>
  <c r="H112" i="8" s="1"/>
  <c r="H121" i="17"/>
  <c r="H121" i="8" s="1"/>
  <c r="H117" i="17"/>
  <c r="H117" i="8" s="1"/>
  <c r="H113" i="17"/>
  <c r="H113" i="8" s="1"/>
  <c r="H116" i="17"/>
  <c r="H116" i="8" s="1"/>
  <c r="H70" i="8"/>
  <c r="G29" i="19"/>
  <c r="H38" i="19"/>
  <c r="G165" i="19"/>
  <c r="H41" i="19"/>
  <c r="H34" i="19"/>
  <c r="H31" i="19"/>
  <c r="G82" i="8"/>
  <c r="G75" i="8"/>
  <c r="G41" i="19"/>
  <c r="H35" i="19"/>
  <c r="H39" i="19"/>
  <c r="G71" i="8"/>
  <c r="G77" i="8"/>
  <c r="G164" i="17"/>
  <c r="G160" i="17"/>
  <c r="G156" i="17"/>
  <c r="G152" i="17"/>
  <c r="G163" i="17"/>
  <c r="G159" i="17"/>
  <c r="G155" i="17"/>
  <c r="G151" i="17"/>
  <c r="G162" i="17"/>
  <c r="G158" i="17"/>
  <c r="G154" i="17"/>
  <c r="G161" i="17"/>
  <c r="G157" i="17"/>
  <c r="G153" i="17"/>
  <c r="H154" i="8"/>
  <c r="G70" i="8"/>
  <c r="G72" i="8"/>
  <c r="G79" i="8"/>
  <c r="G81" i="8"/>
  <c r="H151" i="8"/>
  <c r="H165" i="17"/>
  <c r="H152" i="8"/>
  <c r="H153" i="8"/>
  <c r="H158" i="8"/>
  <c r="H164" i="8"/>
  <c r="G74" i="8"/>
  <c r="G76" i="8"/>
  <c r="G69" i="8"/>
  <c r="H155" i="8"/>
  <c r="H156" i="8"/>
  <c r="H157" i="8"/>
  <c r="H162" i="8"/>
  <c r="H163" i="8"/>
  <c r="G78" i="8"/>
  <c r="G80" i="8"/>
  <c r="G73" i="8"/>
  <c r="H159" i="8"/>
  <c r="H160" i="8"/>
  <c r="H161" i="8"/>
  <c r="G39" i="19"/>
  <c r="H28" i="19"/>
  <c r="H83" i="19"/>
  <c r="G120" i="17"/>
  <c r="G116" i="17"/>
  <c r="G116" i="8" s="1"/>
  <c r="G112" i="17"/>
  <c r="G112" i="8" s="1"/>
  <c r="G117" i="17"/>
  <c r="G117" i="8" s="1"/>
  <c r="G123" i="17"/>
  <c r="G119" i="17"/>
  <c r="G115" i="17"/>
  <c r="G115" i="8" s="1"/>
  <c r="G111" i="17"/>
  <c r="G111" i="8" s="1"/>
  <c r="G113" i="17"/>
  <c r="G122" i="17"/>
  <c r="G122" i="8" s="1"/>
  <c r="G118" i="17"/>
  <c r="G114" i="17"/>
  <c r="G114" i="8" s="1"/>
  <c r="G110" i="17"/>
  <c r="G121" i="17"/>
  <c r="G121" i="8" s="1"/>
  <c r="H32" i="19"/>
  <c r="H33" i="19"/>
  <c r="H29" i="19"/>
  <c r="H36" i="19"/>
  <c r="H124" i="19"/>
  <c r="H30" i="19"/>
  <c r="H37" i="19"/>
  <c r="H40" i="19"/>
  <c r="H165" i="19"/>
  <c r="G36" i="19"/>
  <c r="G35" i="19"/>
  <c r="G124" i="19"/>
  <c r="G83" i="19"/>
  <c r="G30" i="19"/>
  <c r="G83" i="17"/>
  <c r="G33" i="19"/>
  <c r="G34" i="19"/>
  <c r="G28" i="19"/>
  <c r="G37" i="19"/>
  <c r="G38" i="19"/>
  <c r="G32" i="19"/>
  <c r="G40" i="19"/>
  <c r="G31" i="19"/>
  <c r="G64" i="7"/>
  <c r="G62" i="7"/>
  <c r="G61" i="7"/>
  <c r="H143" i="26"/>
  <c r="G54" i="26"/>
  <c r="G159" i="26"/>
  <c r="G68" i="26"/>
  <c r="H68" i="26"/>
  <c r="G9" i="26"/>
  <c r="G144" i="26"/>
  <c r="G23" i="26"/>
  <c r="G69" i="26"/>
  <c r="G189" i="26"/>
  <c r="G53" i="26"/>
  <c r="G39" i="26"/>
  <c r="H158" i="26"/>
  <c r="G99" i="26"/>
  <c r="G188" i="26"/>
  <c r="G98" i="26"/>
  <c r="G129" i="26"/>
  <c r="H83" i="26"/>
  <c r="H173" i="26"/>
  <c r="G158" i="26"/>
  <c r="G203" i="26"/>
  <c r="G24" i="26"/>
  <c r="G84" i="26"/>
  <c r="G174" i="26"/>
  <c r="H8" i="26"/>
  <c r="G38" i="26"/>
  <c r="H38" i="26"/>
  <c r="G143" i="26"/>
  <c r="G8" i="26"/>
  <c r="H23" i="26"/>
  <c r="H188" i="26"/>
  <c r="H98" i="26"/>
  <c r="G173" i="26"/>
  <c r="H203" i="26"/>
  <c r="G83" i="26"/>
  <c r="H128" i="26"/>
  <c r="G128" i="26"/>
  <c r="G114" i="26"/>
  <c r="G113" i="26"/>
  <c r="H113" i="26"/>
  <c r="G204" i="26"/>
  <c r="H53" i="26"/>
  <c r="G23" i="22" l="1"/>
  <c r="G51" i="38" s="1"/>
  <c r="G23" i="38"/>
  <c r="H23" i="22"/>
  <c r="H51" i="38" s="1"/>
  <c r="H23" i="38"/>
  <c r="H22" i="22"/>
  <c r="H50" i="38" s="1"/>
  <c r="H22" i="38"/>
  <c r="G235" i="26"/>
  <c r="G218" i="26"/>
  <c r="H218" i="26"/>
  <c r="G219" i="26"/>
  <c r="H235" i="26"/>
  <c r="H41" i="8"/>
  <c r="H40" i="8"/>
  <c r="G33" i="17"/>
  <c r="G32" i="17"/>
  <c r="G30" i="17"/>
  <c r="H35" i="8"/>
  <c r="G34" i="17"/>
  <c r="G39" i="17"/>
  <c r="G40" i="17"/>
  <c r="H36" i="8"/>
  <c r="H28" i="8"/>
  <c r="H30" i="8"/>
  <c r="G29" i="17"/>
  <c r="H31" i="8"/>
  <c r="H33" i="8"/>
  <c r="G35" i="17"/>
  <c r="H37" i="8"/>
  <c r="H38" i="8"/>
  <c r="G41" i="17"/>
  <c r="G123" i="8"/>
  <c r="G161" i="8"/>
  <c r="H32" i="8"/>
  <c r="H34" i="8"/>
  <c r="H124" i="8"/>
  <c r="G154" i="8"/>
  <c r="G155" i="8"/>
  <c r="G32" i="8" s="1"/>
  <c r="G156" i="8"/>
  <c r="G33" i="8" s="1"/>
  <c r="G124" i="17"/>
  <c r="G110" i="8"/>
  <c r="G151" i="8"/>
  <c r="G165" i="17"/>
  <c r="G36" i="17"/>
  <c r="G118" i="8"/>
  <c r="G153" i="8"/>
  <c r="G30" i="8" s="1"/>
  <c r="G158" i="8"/>
  <c r="G35" i="8" s="1"/>
  <c r="G159" i="8"/>
  <c r="G160" i="8"/>
  <c r="H83" i="8"/>
  <c r="H29" i="8"/>
  <c r="G31" i="17"/>
  <c r="G113" i="8"/>
  <c r="G38" i="17"/>
  <c r="G120" i="8"/>
  <c r="G152" i="8"/>
  <c r="G29" i="8" s="1"/>
  <c r="H39" i="8"/>
  <c r="H124" i="17"/>
  <c r="G37" i="17"/>
  <c r="G119" i="8"/>
  <c r="G83" i="8"/>
  <c r="H165" i="8"/>
  <c r="G157" i="8"/>
  <c r="G34" i="8" s="1"/>
  <c r="G162" i="8"/>
  <c r="G39" i="8" s="1"/>
  <c r="G163" i="8"/>
  <c r="G40" i="8" s="1"/>
  <c r="G164" i="8"/>
  <c r="H42" i="19"/>
  <c r="G28" i="17"/>
  <c r="H39" i="17"/>
  <c r="H41" i="17"/>
  <c r="H40" i="17"/>
  <c r="G42" i="19"/>
  <c r="H29" i="17"/>
  <c r="H83" i="17"/>
  <c r="H28" i="17"/>
  <c r="H30" i="17"/>
  <c r="H31" i="17"/>
  <c r="H33" i="17"/>
  <c r="H32" i="17"/>
  <c r="H34" i="17"/>
  <c r="H35" i="17"/>
  <c r="H37" i="17"/>
  <c r="H36" i="17"/>
  <c r="H38" i="17"/>
  <c r="H63" i="7"/>
  <c r="G63" i="7"/>
  <c r="G112" i="26"/>
  <c r="H7" i="26"/>
  <c r="H202" i="26"/>
  <c r="G202" i="26"/>
  <c r="G157" i="26"/>
  <c r="G127" i="26"/>
  <c r="H157" i="26"/>
  <c r="H187" i="26"/>
  <c r="H67" i="26"/>
  <c r="H37" i="26"/>
  <c r="G37" i="26"/>
  <c r="G97" i="26"/>
  <c r="G67" i="26"/>
  <c r="H52" i="26"/>
  <c r="H82" i="26"/>
  <c r="G172" i="26"/>
  <c r="G187" i="26"/>
  <c r="G142" i="26"/>
  <c r="H172" i="26"/>
  <c r="H142" i="26"/>
  <c r="G82" i="26"/>
  <c r="G7" i="26"/>
  <c r="H22" i="26"/>
  <c r="G22" i="26"/>
  <c r="H97" i="26"/>
  <c r="G52" i="26"/>
  <c r="H112" i="26"/>
  <c r="H127" i="26"/>
  <c r="H234" i="26" l="1"/>
  <c r="G21" i="22"/>
  <c r="G49" i="38" s="1"/>
  <c r="G21" i="38"/>
  <c r="H21" i="22"/>
  <c r="H49" i="38" s="1"/>
  <c r="H21" i="38"/>
  <c r="G22" i="22"/>
  <c r="G50" i="38" s="1"/>
  <c r="G22" i="38"/>
  <c r="H217" i="26"/>
  <c r="G217" i="26"/>
  <c r="G104" i="3"/>
  <c r="G101" i="3"/>
  <c r="G121" i="3" s="1"/>
  <c r="G100" i="3"/>
  <c r="G120" i="3" s="1"/>
  <c r="G105" i="3"/>
  <c r="G234" i="26"/>
  <c r="G96" i="3"/>
  <c r="G116" i="3" s="1"/>
  <c r="G97" i="3"/>
  <c r="G117" i="3" s="1"/>
  <c r="H233" i="26"/>
  <c r="G103" i="3"/>
  <c r="G99" i="3"/>
  <c r="G119" i="3" s="1"/>
  <c r="G233" i="26"/>
  <c r="G31" i="8"/>
  <c r="G38" i="8"/>
  <c r="G106" i="3"/>
  <c r="G126" i="3" s="1"/>
  <c r="G107" i="3"/>
  <c r="G127" i="3" s="1"/>
  <c r="G102" i="3"/>
  <c r="G122" i="3" s="1"/>
  <c r="G37" i="8"/>
  <c r="G41" i="8"/>
  <c r="H104" i="3"/>
  <c r="H124" i="3" s="1"/>
  <c r="H108" i="3"/>
  <c r="H128" i="3" s="1"/>
  <c r="G124" i="8"/>
  <c r="H102" i="3"/>
  <c r="H122" i="3" s="1"/>
  <c r="H98" i="3"/>
  <c r="H118" i="3" s="1"/>
  <c r="H106" i="3"/>
  <c r="H126" i="3" s="1"/>
  <c r="G28" i="8"/>
  <c r="G108" i="3"/>
  <c r="H105" i="3"/>
  <c r="H125" i="3" s="1"/>
  <c r="G42" i="17"/>
  <c r="H42" i="8"/>
  <c r="G36" i="8"/>
  <c r="G165" i="8"/>
  <c r="H100" i="3"/>
  <c r="H120" i="3" s="1"/>
  <c r="H96" i="3"/>
  <c r="H116" i="3" s="1"/>
  <c r="H101" i="3"/>
  <c r="H121" i="3" s="1"/>
  <c r="H97" i="3"/>
  <c r="H117" i="3" s="1"/>
  <c r="H103" i="3"/>
  <c r="H123" i="3" s="1"/>
  <c r="H99" i="3"/>
  <c r="H119" i="3" s="1"/>
  <c r="H107" i="3"/>
  <c r="H127" i="3" s="1"/>
  <c r="G98" i="3"/>
  <c r="G95" i="3"/>
  <c r="H95" i="3"/>
  <c r="H42" i="17"/>
  <c r="G65" i="7"/>
  <c r="G28" i="11"/>
  <c r="G25" i="38" s="1"/>
  <c r="H65" i="7"/>
  <c r="H28" i="11"/>
  <c r="H25" i="38" s="1"/>
  <c r="H43" i="12"/>
  <c r="G31" i="13"/>
  <c r="G43" i="12" s="1"/>
  <c r="G29" i="13"/>
  <c r="G28" i="13"/>
  <c r="F28" i="13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19" i="20"/>
  <c r="H19" i="14"/>
  <c r="H19" i="1"/>
  <c r="H18" i="20"/>
  <c r="H18" i="14"/>
  <c r="H18" i="1"/>
  <c r="H17" i="20"/>
  <c r="H17" i="14"/>
  <c r="H17" i="1"/>
  <c r="H16" i="20"/>
  <c r="H16" i="14"/>
  <c r="H16" i="1"/>
  <c r="H15" i="20"/>
  <c r="H15" i="14"/>
  <c r="H15" i="1"/>
  <c r="H14" i="20"/>
  <c r="H14" i="14"/>
  <c r="H14" i="1"/>
  <c r="H13" i="20"/>
  <c r="H13" i="14"/>
  <c r="H13" i="1"/>
  <c r="H12" i="20"/>
  <c r="H12" i="14"/>
  <c r="H12" i="1"/>
  <c r="H11" i="20"/>
  <c r="H11" i="14"/>
  <c r="H11" i="1"/>
  <c r="H10" i="20"/>
  <c r="H10" i="14"/>
  <c r="H10" i="1"/>
  <c r="H9" i="20"/>
  <c r="H9" i="14"/>
  <c r="H9" i="1"/>
  <c r="H8" i="20"/>
  <c r="H8" i="14"/>
  <c r="H8" i="1"/>
  <c r="H7" i="20"/>
  <c r="H7" i="14"/>
  <c r="H7" i="1"/>
  <c r="H6" i="20"/>
  <c r="H6" i="14"/>
  <c r="H6" i="1"/>
  <c r="G22" i="30"/>
  <c r="F22" i="30"/>
  <c r="E22" i="30"/>
  <c r="D22" i="30"/>
  <c r="C22" i="30"/>
  <c r="G20" i="30"/>
  <c r="F20" i="30"/>
  <c r="E20" i="30"/>
  <c r="D20" i="30"/>
  <c r="C20" i="30"/>
  <c r="G19" i="30"/>
  <c r="F19" i="30"/>
  <c r="E19" i="30"/>
  <c r="D19" i="30"/>
  <c r="C19" i="30"/>
  <c r="G18" i="30"/>
  <c r="F18" i="30"/>
  <c r="E18" i="30"/>
  <c r="D18" i="30"/>
  <c r="C18" i="30"/>
  <c r="G17" i="30"/>
  <c r="F17" i="30"/>
  <c r="E17" i="30"/>
  <c r="D17" i="30"/>
  <c r="C17" i="30"/>
  <c r="G16" i="30"/>
  <c r="F16" i="30"/>
  <c r="E16" i="30"/>
  <c r="D16" i="30"/>
  <c r="C16" i="30"/>
  <c r="G15" i="30"/>
  <c r="F15" i="30"/>
  <c r="E15" i="30"/>
  <c r="D15" i="30"/>
  <c r="C15" i="30"/>
  <c r="G14" i="30"/>
  <c r="F14" i="30"/>
  <c r="E14" i="30"/>
  <c r="D14" i="30"/>
  <c r="C14" i="30"/>
  <c r="G13" i="30"/>
  <c r="F13" i="30"/>
  <c r="E13" i="30"/>
  <c r="D13" i="30"/>
  <c r="C13" i="30"/>
  <c r="G12" i="30"/>
  <c r="F12" i="30"/>
  <c r="E12" i="30"/>
  <c r="D12" i="30"/>
  <c r="C12" i="30"/>
  <c r="G11" i="30"/>
  <c r="F11" i="30"/>
  <c r="E11" i="30"/>
  <c r="D11" i="30"/>
  <c r="C11" i="30"/>
  <c r="G10" i="30"/>
  <c r="F10" i="30"/>
  <c r="E10" i="30"/>
  <c r="D10" i="30"/>
  <c r="C10" i="30"/>
  <c r="G9" i="30"/>
  <c r="F9" i="30"/>
  <c r="E9" i="30"/>
  <c r="D9" i="30"/>
  <c r="C9" i="30"/>
  <c r="G8" i="30"/>
  <c r="F8" i="30"/>
  <c r="E8" i="30"/>
  <c r="D8" i="30"/>
  <c r="C8" i="30"/>
  <c r="G7" i="30"/>
  <c r="F7" i="30"/>
  <c r="E7" i="30"/>
  <c r="D7" i="30"/>
  <c r="C7" i="30"/>
  <c r="G6" i="30"/>
  <c r="F6" i="30"/>
  <c r="E6" i="30"/>
  <c r="D6" i="30"/>
  <c r="H222" i="26"/>
  <c r="G222" i="26"/>
  <c r="G20" i="22" l="1"/>
  <c r="G48" i="38" s="1"/>
  <c r="G20" i="38"/>
  <c r="H20" i="22"/>
  <c r="H48" i="38" s="1"/>
  <c r="H20" i="38"/>
  <c r="G123" i="3"/>
  <c r="G124" i="3"/>
  <c r="G125" i="3"/>
  <c r="G232" i="26"/>
  <c r="H232" i="26"/>
  <c r="G118" i="3"/>
  <c r="G128" i="3"/>
  <c r="H109" i="3"/>
  <c r="H115" i="3"/>
  <c r="G115" i="3"/>
  <c r="G42" i="8"/>
  <c r="G25" i="22"/>
  <c r="G109" i="3"/>
  <c r="H25" i="22"/>
  <c r="H30" i="13"/>
  <c r="H32" i="13" s="1"/>
  <c r="G30" i="13"/>
  <c r="G32" i="13" s="1"/>
  <c r="E16" i="32"/>
  <c r="G17" i="10" s="1"/>
  <c r="D16" i="32"/>
  <c r="G17" i="19" s="1"/>
  <c r="G9" i="32"/>
  <c r="G10" i="12" s="1"/>
  <c r="E8" i="32"/>
  <c r="G9" i="10" s="1"/>
  <c r="F18" i="33"/>
  <c r="H19" i="11" s="1"/>
  <c r="C18" i="33"/>
  <c r="H19" i="17" s="1"/>
  <c r="G17" i="33"/>
  <c r="H18" i="12" s="1"/>
  <c r="D17" i="33"/>
  <c r="H18" i="19" s="1"/>
  <c r="C17" i="33"/>
  <c r="H18" i="17" s="1"/>
  <c r="D16" i="33"/>
  <c r="H17" i="19" s="1"/>
  <c r="C16" i="33"/>
  <c r="H17" i="17" s="1"/>
  <c r="E15" i="33"/>
  <c r="H16" i="10" s="1"/>
  <c r="G14" i="33"/>
  <c r="H15" i="12" s="1"/>
  <c r="F14" i="33"/>
  <c r="H15" i="11" s="1"/>
  <c r="E14" i="33"/>
  <c r="H15" i="10" s="1"/>
  <c r="C14" i="33"/>
  <c r="H15" i="17" s="1"/>
  <c r="G13" i="33"/>
  <c r="H14" i="12" s="1"/>
  <c r="D13" i="33"/>
  <c r="H14" i="19" s="1"/>
  <c r="C13" i="33"/>
  <c r="H14" i="17" s="1"/>
  <c r="E12" i="33"/>
  <c r="H13" i="10" s="1"/>
  <c r="D12" i="33"/>
  <c r="H13" i="19" s="1"/>
  <c r="E11" i="33"/>
  <c r="H12" i="10" s="1"/>
  <c r="F10" i="33"/>
  <c r="H11" i="11" s="1"/>
  <c r="G9" i="33"/>
  <c r="H10" i="12" s="1"/>
  <c r="F9" i="33"/>
  <c r="H10" i="11" s="1"/>
  <c r="C9" i="33"/>
  <c r="H10" i="17" s="1"/>
  <c r="G8" i="33"/>
  <c r="H9" i="12" s="1"/>
  <c r="E8" i="33"/>
  <c r="H9" i="10" s="1"/>
  <c r="D8" i="33"/>
  <c r="H9" i="19" s="1"/>
  <c r="F7" i="33"/>
  <c r="H8" i="11" s="1"/>
  <c r="I7" i="31"/>
  <c r="D7" i="33"/>
  <c r="H8" i="19" s="1"/>
  <c r="G6" i="33"/>
  <c r="H7" i="12" s="1"/>
  <c r="F6" i="33"/>
  <c r="H7" i="11" s="1"/>
  <c r="C6" i="33"/>
  <c r="H7" i="17" s="1"/>
  <c r="G20" i="33"/>
  <c r="D20" i="33"/>
  <c r="G20" i="32"/>
  <c r="F20" i="32"/>
  <c r="E20" i="32"/>
  <c r="D20" i="32"/>
  <c r="C20" i="32"/>
  <c r="G19" i="32"/>
  <c r="G20" i="12" s="1"/>
  <c r="F19" i="32"/>
  <c r="G20" i="11" s="1"/>
  <c r="E19" i="32"/>
  <c r="G20" i="10" s="1"/>
  <c r="D19" i="32"/>
  <c r="G20" i="19" s="1"/>
  <c r="C19" i="32"/>
  <c r="G20" i="17" s="1"/>
  <c r="G18" i="32"/>
  <c r="G19" i="12" s="1"/>
  <c r="F18" i="32"/>
  <c r="G19" i="11" s="1"/>
  <c r="E18" i="32"/>
  <c r="G19" i="10" s="1"/>
  <c r="D18" i="32"/>
  <c r="G19" i="19" s="1"/>
  <c r="G17" i="32"/>
  <c r="G18" i="12" s="1"/>
  <c r="F17" i="32"/>
  <c r="G18" i="11" s="1"/>
  <c r="E17" i="32"/>
  <c r="G18" i="10" s="1"/>
  <c r="D17" i="32"/>
  <c r="G18" i="19" s="1"/>
  <c r="C17" i="32"/>
  <c r="G18" i="17" s="1"/>
  <c r="G16" i="32"/>
  <c r="G17" i="12" s="1"/>
  <c r="F16" i="32"/>
  <c r="G17" i="11" s="1"/>
  <c r="C16" i="32"/>
  <c r="G17" i="17" s="1"/>
  <c r="G15" i="32"/>
  <c r="G16" i="12" s="1"/>
  <c r="F15" i="32"/>
  <c r="G16" i="11" s="1"/>
  <c r="E15" i="32"/>
  <c r="G16" i="10" s="1"/>
  <c r="D15" i="32"/>
  <c r="G16" i="19" s="1"/>
  <c r="I15" i="30"/>
  <c r="G14" i="32"/>
  <c r="G15" i="12" s="1"/>
  <c r="F14" i="32"/>
  <c r="G15" i="11" s="1"/>
  <c r="E14" i="32"/>
  <c r="G15" i="10" s="1"/>
  <c r="D14" i="32"/>
  <c r="G15" i="19" s="1"/>
  <c r="G13" i="32"/>
  <c r="G14" i="12" s="1"/>
  <c r="F13" i="32"/>
  <c r="G14" i="11" s="1"/>
  <c r="E13" i="32"/>
  <c r="G14" i="10" s="1"/>
  <c r="D13" i="32"/>
  <c r="G14" i="19" s="1"/>
  <c r="C13" i="32"/>
  <c r="G14" i="17" s="1"/>
  <c r="G12" i="32"/>
  <c r="G13" i="12" s="1"/>
  <c r="F12" i="32"/>
  <c r="G13" i="11" s="1"/>
  <c r="E12" i="32"/>
  <c r="G13" i="10" s="1"/>
  <c r="D12" i="32"/>
  <c r="G13" i="19" s="1"/>
  <c r="C12" i="32"/>
  <c r="G13" i="17" s="1"/>
  <c r="G11" i="32"/>
  <c r="G12" i="12" s="1"/>
  <c r="F11" i="32"/>
  <c r="G12" i="11" s="1"/>
  <c r="E11" i="32"/>
  <c r="G12" i="10" s="1"/>
  <c r="D11" i="32"/>
  <c r="G12" i="19" s="1"/>
  <c r="C11" i="32"/>
  <c r="G12" i="17" s="1"/>
  <c r="G10" i="32"/>
  <c r="G11" i="12" s="1"/>
  <c r="F10" i="32"/>
  <c r="G11" i="11" s="1"/>
  <c r="E10" i="32"/>
  <c r="G11" i="10" s="1"/>
  <c r="D10" i="32"/>
  <c r="G11" i="19" s="1"/>
  <c r="C10" i="32"/>
  <c r="G11" i="17" s="1"/>
  <c r="F9" i="32"/>
  <c r="G10" i="11" s="1"/>
  <c r="E9" i="32"/>
  <c r="G10" i="10" s="1"/>
  <c r="D9" i="32"/>
  <c r="G10" i="19" s="1"/>
  <c r="C9" i="32"/>
  <c r="G10" i="17" s="1"/>
  <c r="G8" i="32"/>
  <c r="G9" i="12" s="1"/>
  <c r="F8" i="32"/>
  <c r="G9" i="11" s="1"/>
  <c r="D8" i="32"/>
  <c r="G9" i="19" s="1"/>
  <c r="C8" i="32"/>
  <c r="G9" i="17" s="1"/>
  <c r="G7" i="32"/>
  <c r="G8" i="12" s="1"/>
  <c r="F7" i="32"/>
  <c r="G8" i="11" s="1"/>
  <c r="E7" i="32"/>
  <c r="G8" i="10" s="1"/>
  <c r="D7" i="32"/>
  <c r="G8" i="19" s="1"/>
  <c r="C7" i="32"/>
  <c r="G8" i="17" s="1"/>
  <c r="F6" i="32"/>
  <c r="G7" i="11" s="1"/>
  <c r="E6" i="32"/>
  <c r="G7" i="10" s="1"/>
  <c r="D6" i="32"/>
  <c r="G7" i="19" s="1"/>
  <c r="C6" i="32"/>
  <c r="G7" i="17" s="1"/>
  <c r="F17" i="33"/>
  <c r="H18" i="11" s="1"/>
  <c r="F16" i="33"/>
  <c r="H17" i="11" s="1"/>
  <c r="D14" i="33"/>
  <c r="H15" i="19" s="1"/>
  <c r="E13" i="33"/>
  <c r="H14" i="10" s="1"/>
  <c r="F12" i="33"/>
  <c r="H13" i="11" s="1"/>
  <c r="E10" i="33"/>
  <c r="H11" i="10" s="1"/>
  <c r="D10" i="33"/>
  <c r="H11" i="19" s="1"/>
  <c r="E9" i="33"/>
  <c r="H10" i="10" s="1"/>
  <c r="F8" i="33"/>
  <c r="H9" i="11" s="1"/>
  <c r="F20" i="33"/>
  <c r="G18" i="33"/>
  <c r="H19" i="12" s="1"/>
  <c r="G10" i="33"/>
  <c r="H11" i="12" s="1"/>
  <c r="C10" i="33"/>
  <c r="H11" i="17" s="1"/>
  <c r="G19" i="33"/>
  <c r="H20" i="12" s="1"/>
  <c r="F19" i="33"/>
  <c r="H20" i="11" s="1"/>
  <c r="E19" i="33"/>
  <c r="H20" i="10" s="1"/>
  <c r="C19" i="33"/>
  <c r="H20" i="17" s="1"/>
  <c r="G16" i="33"/>
  <c r="H17" i="12" s="1"/>
  <c r="G15" i="33"/>
  <c r="H16" i="12" s="1"/>
  <c r="F15" i="33"/>
  <c r="H16" i="11" s="1"/>
  <c r="C15" i="33"/>
  <c r="H16" i="17" s="1"/>
  <c r="G11" i="33"/>
  <c r="H12" i="12" s="1"/>
  <c r="F11" i="33"/>
  <c r="H12" i="11" s="1"/>
  <c r="D11" i="33"/>
  <c r="H12" i="19" s="1"/>
  <c r="C11" i="33"/>
  <c r="H12" i="17" s="1"/>
  <c r="G7" i="33"/>
  <c r="H8" i="12" s="1"/>
  <c r="C7" i="33"/>
  <c r="H8" i="17" s="1"/>
  <c r="H21" i="30"/>
  <c r="H12" i="25"/>
  <c r="G191" i="25"/>
  <c r="G41" i="25"/>
  <c r="H116" i="25"/>
  <c r="G147" i="25"/>
  <c r="G57" i="25"/>
  <c r="H148" i="25"/>
  <c r="H208" i="25"/>
  <c r="G71" i="25"/>
  <c r="G87" i="25"/>
  <c r="G117" i="25"/>
  <c r="G27" i="25"/>
  <c r="G176" i="25"/>
  <c r="G118" i="25"/>
  <c r="H101" i="25"/>
  <c r="G206" i="25"/>
  <c r="G146" i="25"/>
  <c r="G103" i="25"/>
  <c r="H73" i="25"/>
  <c r="G102" i="25"/>
  <c r="H27" i="25"/>
  <c r="G178" i="25"/>
  <c r="G43" i="25"/>
  <c r="G132" i="25"/>
  <c r="G28" i="25"/>
  <c r="G72" i="25"/>
  <c r="H88" i="25"/>
  <c r="G11" i="25"/>
  <c r="G56" i="25"/>
  <c r="G207" i="25"/>
  <c r="H193" i="25"/>
  <c r="G161" i="25"/>
  <c r="H41" i="25"/>
  <c r="H87" i="25"/>
  <c r="H147" i="25"/>
  <c r="G101" i="25"/>
  <c r="G88" i="25"/>
  <c r="G116" i="25"/>
  <c r="H102" i="25"/>
  <c r="H13" i="25"/>
  <c r="G163" i="25"/>
  <c r="H206" i="25"/>
  <c r="H163" i="25"/>
  <c r="H133" i="25"/>
  <c r="H57" i="25"/>
  <c r="H28" i="25"/>
  <c r="G73" i="25"/>
  <c r="H146" i="25"/>
  <c r="G12" i="25"/>
  <c r="G177" i="25"/>
  <c r="H58" i="25"/>
  <c r="H162" i="25"/>
  <c r="H42" i="25"/>
  <c r="G133" i="25"/>
  <c r="G208" i="25"/>
  <c r="H72" i="25"/>
  <c r="G192" i="25"/>
  <c r="G86" i="25"/>
  <c r="H118" i="25"/>
  <c r="G162" i="25"/>
  <c r="G42" i="25"/>
  <c r="G26" i="25"/>
  <c r="H86" i="25"/>
  <c r="H207" i="25"/>
  <c r="G58" i="25"/>
  <c r="H192" i="25"/>
  <c r="H43" i="25"/>
  <c r="H71" i="25"/>
  <c r="H132" i="25"/>
  <c r="G131" i="25"/>
  <c r="H56" i="25"/>
  <c r="G148" i="25"/>
  <c r="H178" i="25"/>
  <c r="H131" i="25"/>
  <c r="G193" i="25"/>
  <c r="H177" i="25"/>
  <c r="G237" i="26" l="1"/>
  <c r="G53" i="38"/>
  <c r="H237" i="26"/>
  <c r="H53" i="38"/>
  <c r="G222" i="25"/>
  <c r="G221" i="25"/>
  <c r="H141" i="17"/>
  <c r="H59" i="17"/>
  <c r="H76" i="23"/>
  <c r="H79" i="23"/>
  <c r="H144" i="17"/>
  <c r="H62" i="17"/>
  <c r="H52" i="17"/>
  <c r="H69" i="23"/>
  <c r="H134" i="17"/>
  <c r="H93" i="23"/>
  <c r="H138" i="19"/>
  <c r="H56" i="19"/>
  <c r="H96" i="23"/>
  <c r="H59" i="19"/>
  <c r="H141" i="19"/>
  <c r="H78" i="23"/>
  <c r="H143" i="17"/>
  <c r="H61" i="17"/>
  <c r="H138" i="17"/>
  <c r="H73" i="23"/>
  <c r="H56" i="17"/>
  <c r="H39" i="12"/>
  <c r="H35" i="12"/>
  <c r="H31" i="12"/>
  <c r="H38" i="12"/>
  <c r="H34" i="12"/>
  <c r="H30" i="12"/>
  <c r="H36" i="12"/>
  <c r="H28" i="12"/>
  <c r="H41" i="12"/>
  <c r="H37" i="12"/>
  <c r="H33" i="12"/>
  <c r="H29" i="12"/>
  <c r="H40" i="12"/>
  <c r="H32" i="12"/>
  <c r="H71" i="23"/>
  <c r="H136" i="17"/>
  <c r="H54" i="17"/>
  <c r="H70" i="23"/>
  <c r="H135" i="17"/>
  <c r="H53" i="17"/>
  <c r="H136" i="19"/>
  <c r="H54" i="19"/>
  <c r="H91" i="23"/>
  <c r="H51" i="19"/>
  <c r="H88" i="23"/>
  <c r="H133" i="19"/>
  <c r="H137" i="19"/>
  <c r="H92" i="23"/>
  <c r="H55" i="19"/>
  <c r="H142" i="17"/>
  <c r="H60" i="17"/>
  <c r="H77" i="23"/>
  <c r="H66" i="23"/>
  <c r="H131" i="17"/>
  <c r="H49" i="17"/>
  <c r="H75" i="23"/>
  <c r="H140" i="17"/>
  <c r="H58" i="17"/>
  <c r="H67" i="23"/>
  <c r="H132" i="17"/>
  <c r="H50" i="17"/>
  <c r="H135" i="19"/>
  <c r="H53" i="19"/>
  <c r="H90" i="23"/>
  <c r="H94" i="23"/>
  <c r="H139" i="19"/>
  <c r="H57" i="19"/>
  <c r="H132" i="19"/>
  <c r="H50" i="19"/>
  <c r="H87" i="23"/>
  <c r="H74" i="23"/>
  <c r="H139" i="17"/>
  <c r="H57" i="17"/>
  <c r="H97" i="23"/>
  <c r="H142" i="19"/>
  <c r="H60" i="19"/>
  <c r="G93" i="23"/>
  <c r="G97" i="19" s="1"/>
  <c r="G88" i="23"/>
  <c r="G92" i="19" s="1"/>
  <c r="G89" i="23"/>
  <c r="G93" i="19" s="1"/>
  <c r="G90" i="23"/>
  <c r="G94" i="19" s="1"/>
  <c r="G95" i="23"/>
  <c r="G99" i="19" s="1"/>
  <c r="G97" i="23"/>
  <c r="G101" i="19" s="1"/>
  <c r="G98" i="23"/>
  <c r="G102" i="19" s="1"/>
  <c r="G86" i="23"/>
  <c r="G21" i="11"/>
  <c r="G12" i="22" s="1"/>
  <c r="G40" i="38" s="1"/>
  <c r="G12" i="38" s="1"/>
  <c r="G91" i="23"/>
  <c r="G95" i="19" s="1"/>
  <c r="G99" i="23"/>
  <c r="G103" i="19" s="1"/>
  <c r="G96" i="23"/>
  <c r="G100" i="19" s="1"/>
  <c r="G87" i="23"/>
  <c r="G91" i="19" s="1"/>
  <c r="G94" i="23"/>
  <c r="G98" i="19" s="1"/>
  <c r="G131" i="17"/>
  <c r="G92" i="23"/>
  <c r="G96" i="19" s="1"/>
  <c r="G21" i="10"/>
  <c r="G11" i="22" s="1"/>
  <c r="G39" i="38" s="1"/>
  <c r="G11" i="38" s="1"/>
  <c r="H11" i="3"/>
  <c r="G137" i="17"/>
  <c r="G72" i="23"/>
  <c r="G96" i="17" s="1"/>
  <c r="G132" i="17"/>
  <c r="G67" i="23"/>
  <c r="G91" i="17" s="1"/>
  <c r="G138" i="17"/>
  <c r="G73" i="23"/>
  <c r="G97" i="17" s="1"/>
  <c r="H18" i="3"/>
  <c r="G133" i="17"/>
  <c r="G68" i="23"/>
  <c r="G92" i="17" s="1"/>
  <c r="G134" i="17"/>
  <c r="G69" i="23"/>
  <c r="G93" i="17" s="1"/>
  <c r="G135" i="17"/>
  <c r="G70" i="23"/>
  <c r="G94" i="17" s="1"/>
  <c r="G142" i="17"/>
  <c r="G77" i="23"/>
  <c r="G101" i="17" s="1"/>
  <c r="H15" i="3"/>
  <c r="H12" i="3"/>
  <c r="H8" i="3"/>
  <c r="G136" i="17"/>
  <c r="G71" i="23"/>
  <c r="G95" i="17" s="1"/>
  <c r="G141" i="17"/>
  <c r="G76" i="23"/>
  <c r="G100" i="17" s="1"/>
  <c r="G144" i="17"/>
  <c r="G79" i="23"/>
  <c r="G103" i="17" s="1"/>
  <c r="H14" i="3"/>
  <c r="H17" i="3"/>
  <c r="G136" i="19"/>
  <c r="G54" i="19"/>
  <c r="G144" i="19"/>
  <c r="G62" i="19"/>
  <c r="G141" i="19"/>
  <c r="G59" i="19"/>
  <c r="G66" i="23"/>
  <c r="G7" i="3"/>
  <c r="G49" i="17"/>
  <c r="G131" i="19"/>
  <c r="G49" i="19"/>
  <c r="G21" i="19"/>
  <c r="G50" i="19"/>
  <c r="G132" i="19"/>
  <c r="G9" i="3"/>
  <c r="G51" i="17"/>
  <c r="G10" i="3"/>
  <c r="G52" i="17"/>
  <c r="G11" i="3"/>
  <c r="G53" i="17"/>
  <c r="G138" i="19"/>
  <c r="G56" i="19"/>
  <c r="G139" i="19"/>
  <c r="G57" i="19"/>
  <c r="G18" i="3"/>
  <c r="G60" i="17"/>
  <c r="G32" i="12"/>
  <c r="G41" i="12"/>
  <c r="G37" i="12"/>
  <c r="G33" i="12"/>
  <c r="G28" i="12"/>
  <c r="G40" i="12"/>
  <c r="G36" i="12"/>
  <c r="G31" i="12"/>
  <c r="G38" i="12"/>
  <c r="G29" i="12"/>
  <c r="G35" i="12"/>
  <c r="G34" i="12"/>
  <c r="G39" i="12"/>
  <c r="G30" i="12"/>
  <c r="G13" i="3"/>
  <c r="G55" i="17"/>
  <c r="G50" i="17"/>
  <c r="G8" i="3"/>
  <c r="G137" i="19"/>
  <c r="G55" i="19"/>
  <c r="G14" i="3"/>
  <c r="G56" i="17"/>
  <c r="G133" i="19"/>
  <c r="G51" i="19"/>
  <c r="G134" i="19"/>
  <c r="G52" i="19"/>
  <c r="G135" i="19"/>
  <c r="G53" i="19"/>
  <c r="G54" i="17"/>
  <c r="G12" i="3"/>
  <c r="G140" i="19"/>
  <c r="G58" i="19"/>
  <c r="G17" i="3"/>
  <c r="G59" i="17"/>
  <c r="G142" i="19"/>
  <c r="G60" i="19"/>
  <c r="G61" i="19"/>
  <c r="G143" i="19"/>
  <c r="G62" i="17"/>
  <c r="G20" i="3"/>
  <c r="E21" i="30"/>
  <c r="E23" i="30" s="1"/>
  <c r="I10" i="30"/>
  <c r="C15" i="32"/>
  <c r="E7" i="33"/>
  <c r="H8" i="10" s="1"/>
  <c r="I15" i="31"/>
  <c r="G21" i="30"/>
  <c r="G23" i="30" s="1"/>
  <c r="F21" i="30"/>
  <c r="F23" i="30" s="1"/>
  <c r="I9" i="30"/>
  <c r="I11" i="30"/>
  <c r="I12" i="30"/>
  <c r="I13" i="30"/>
  <c r="I14" i="30"/>
  <c r="I16" i="30"/>
  <c r="I17" i="30"/>
  <c r="I18" i="30"/>
  <c r="I19" i="30"/>
  <c r="I20" i="30"/>
  <c r="H18" i="32" s="1"/>
  <c r="I19" i="31"/>
  <c r="G6" i="32"/>
  <c r="C14" i="32"/>
  <c r="G15" i="17" s="1"/>
  <c r="C18" i="32"/>
  <c r="C8" i="33"/>
  <c r="H9" i="17" s="1"/>
  <c r="G12" i="33"/>
  <c r="H13" i="12" s="1"/>
  <c r="D19" i="33"/>
  <c r="C20" i="33"/>
  <c r="F13" i="33"/>
  <c r="D15" i="33"/>
  <c r="I7" i="30"/>
  <c r="C21" i="30"/>
  <c r="C23" i="30" s="1"/>
  <c r="I8" i="32"/>
  <c r="D21" i="32"/>
  <c r="G22" i="19" s="1"/>
  <c r="D6" i="33"/>
  <c r="H7" i="19" s="1"/>
  <c r="C12" i="33"/>
  <c r="D18" i="33"/>
  <c r="H19" i="19" s="1"/>
  <c r="E6" i="33"/>
  <c r="H7" i="10" s="1"/>
  <c r="E17" i="33"/>
  <c r="H18" i="10" s="1"/>
  <c r="E18" i="33"/>
  <c r="H19" i="10" s="1"/>
  <c r="I10" i="31"/>
  <c r="I11" i="31"/>
  <c r="I10" i="33"/>
  <c r="I14" i="33"/>
  <c r="E16" i="33"/>
  <c r="E20" i="33"/>
  <c r="I14" i="31"/>
  <c r="D9" i="33"/>
  <c r="I11" i="33"/>
  <c r="I8" i="30"/>
  <c r="D21" i="30"/>
  <c r="D23" i="30" s="1"/>
  <c r="I9" i="32"/>
  <c r="I13" i="32"/>
  <c r="I17" i="32"/>
  <c r="I12" i="32"/>
  <c r="I20" i="32"/>
  <c r="I6" i="31"/>
  <c r="I18" i="31"/>
  <c r="I9" i="31"/>
  <c r="I13" i="31"/>
  <c r="I17" i="31"/>
  <c r="I20" i="31"/>
  <c r="F21" i="31"/>
  <c r="F23" i="31" s="1"/>
  <c r="E21" i="31"/>
  <c r="E23" i="31" s="1"/>
  <c r="I8" i="31"/>
  <c r="I12" i="31"/>
  <c r="I16" i="31"/>
  <c r="C21" i="31"/>
  <c r="C23" i="31" s="1"/>
  <c r="G21" i="31"/>
  <c r="G23" i="31" s="1"/>
  <c r="I7" i="32"/>
  <c r="I11" i="32"/>
  <c r="D21" i="31"/>
  <c r="D23" i="31" s="1"/>
  <c r="H21" i="31"/>
  <c r="I6" i="30"/>
  <c r="G39" i="25"/>
  <c r="G160" i="25"/>
  <c r="H28" i="26"/>
  <c r="H103" i="25"/>
  <c r="H176" i="25"/>
  <c r="H129" i="25"/>
  <c r="H130" i="25"/>
  <c r="H40" i="25"/>
  <c r="G103" i="26"/>
  <c r="G10" i="25"/>
  <c r="G174" i="25"/>
  <c r="G193" i="26"/>
  <c r="H25" i="25"/>
  <c r="G85" i="25"/>
  <c r="H174" i="25"/>
  <c r="H115" i="25"/>
  <c r="H114" i="25"/>
  <c r="G133" i="26"/>
  <c r="G130" i="25"/>
  <c r="H193" i="26"/>
  <c r="G73" i="26"/>
  <c r="G24" i="25"/>
  <c r="H43" i="26"/>
  <c r="H26" i="25"/>
  <c r="G13" i="26"/>
  <c r="H191" i="25"/>
  <c r="G163" i="26"/>
  <c r="G9" i="25"/>
  <c r="G88" i="26"/>
  <c r="G54" i="25"/>
  <c r="H178" i="26"/>
  <c r="H163" i="26"/>
  <c r="H13" i="26"/>
  <c r="H103" i="26"/>
  <c r="H144" i="25"/>
  <c r="G190" i="25"/>
  <c r="H118" i="26"/>
  <c r="H84" i="25"/>
  <c r="G100" i="25"/>
  <c r="G25" i="25"/>
  <c r="H73" i="26"/>
  <c r="H85" i="25"/>
  <c r="G118" i="26"/>
  <c r="H11" i="25"/>
  <c r="G205" i="25"/>
  <c r="G114" i="25"/>
  <c r="G55" i="25"/>
  <c r="G84" i="25"/>
  <c r="G28" i="26"/>
  <c r="G115" i="25"/>
  <c r="G145" i="25"/>
  <c r="G40" i="25"/>
  <c r="G178" i="26"/>
  <c r="G99" i="25"/>
  <c r="H159" i="25"/>
  <c r="H70" i="25"/>
  <c r="G70" i="25"/>
  <c r="H204" i="25"/>
  <c r="G69" i="25"/>
  <c r="H69" i="25"/>
  <c r="H148" i="26"/>
  <c r="H88" i="26"/>
  <c r="H208" i="26"/>
  <c r="G58" i="26"/>
  <c r="G148" i="26"/>
  <c r="H100" i="25"/>
  <c r="H58" i="26"/>
  <c r="H160" i="25"/>
  <c r="H133" i="26"/>
  <c r="G159" i="25"/>
  <c r="G43" i="26"/>
  <c r="G208" i="26"/>
  <c r="H189" i="25"/>
  <c r="G204" i="25"/>
  <c r="H24" i="25"/>
  <c r="H54" i="25"/>
  <c r="H9" i="25"/>
  <c r="H175" i="25"/>
  <c r="G175" i="25"/>
  <c r="X20" i="17" l="1"/>
  <c r="G103" i="8"/>
  <c r="G220" i="25"/>
  <c r="G236" i="25"/>
  <c r="G237" i="25"/>
  <c r="G179" i="26"/>
  <c r="G164" i="26"/>
  <c r="G223" i="26"/>
  <c r="G14" i="26"/>
  <c r="G74" i="26"/>
  <c r="H89" i="26"/>
  <c r="H134" i="26"/>
  <c r="H59" i="26"/>
  <c r="G104" i="26"/>
  <c r="G59" i="26"/>
  <c r="G89" i="26"/>
  <c r="H74" i="26"/>
  <c r="H149" i="26"/>
  <c r="H44" i="26"/>
  <c r="H119" i="26"/>
  <c r="H223" i="25"/>
  <c r="G119" i="26"/>
  <c r="G134" i="26"/>
  <c r="G149" i="26"/>
  <c r="H194" i="26"/>
  <c r="H209" i="26"/>
  <c r="H104" i="26"/>
  <c r="H179" i="26"/>
  <c r="G44" i="26"/>
  <c r="G29" i="26"/>
  <c r="G194" i="26"/>
  <c r="G209" i="26"/>
  <c r="H29" i="26"/>
  <c r="H223" i="26"/>
  <c r="H14" i="26"/>
  <c r="H164" i="26"/>
  <c r="G97" i="8"/>
  <c r="H133" i="17"/>
  <c r="H51" i="17"/>
  <c r="H68" i="23"/>
  <c r="H143" i="19"/>
  <c r="H61" i="19"/>
  <c r="H61" i="8" s="1"/>
  <c r="H98" i="23"/>
  <c r="H131" i="19"/>
  <c r="H49" i="19"/>
  <c r="H49" i="8" s="1"/>
  <c r="H86" i="23"/>
  <c r="Y7" i="17"/>
  <c r="I7" i="33"/>
  <c r="Y19" i="17"/>
  <c r="Y17" i="17"/>
  <c r="Y10" i="17"/>
  <c r="X12" i="17"/>
  <c r="X8" i="17"/>
  <c r="G94" i="8"/>
  <c r="G96" i="8"/>
  <c r="X9" i="17"/>
  <c r="X10" i="17"/>
  <c r="H54" i="8"/>
  <c r="Y12" i="17"/>
  <c r="Y15" i="17"/>
  <c r="G92" i="8"/>
  <c r="X13" i="17"/>
  <c r="X18" i="17"/>
  <c r="X7" i="17"/>
  <c r="H56" i="8"/>
  <c r="Y14" i="17"/>
  <c r="G95" i="8"/>
  <c r="Y18" i="17"/>
  <c r="Y11" i="17"/>
  <c r="Y16" i="17"/>
  <c r="X17" i="17"/>
  <c r="X14" i="17"/>
  <c r="X11" i="17"/>
  <c r="Y8" i="17"/>
  <c r="Y20" i="17"/>
  <c r="G101" i="8"/>
  <c r="G49" i="8"/>
  <c r="G21" i="33"/>
  <c r="G23" i="33" s="1"/>
  <c r="H57" i="8"/>
  <c r="I20" i="33"/>
  <c r="H50" i="8"/>
  <c r="G100" i="23"/>
  <c r="G60" i="8"/>
  <c r="H138" i="8"/>
  <c r="H136" i="8"/>
  <c r="G55" i="8"/>
  <c r="H141" i="8"/>
  <c r="G141" i="8"/>
  <c r="G133" i="8"/>
  <c r="H142" i="8"/>
  <c r="G59" i="8"/>
  <c r="G56" i="8"/>
  <c r="G53" i="8"/>
  <c r="G51" i="8"/>
  <c r="G144" i="8"/>
  <c r="G136" i="8"/>
  <c r="H139" i="8"/>
  <c r="G93" i="8"/>
  <c r="G90" i="19"/>
  <c r="G104" i="19" s="1"/>
  <c r="G138" i="8"/>
  <c r="Y12" i="19"/>
  <c r="G137" i="8"/>
  <c r="I8" i="33"/>
  <c r="G52" i="8"/>
  <c r="G132" i="8"/>
  <c r="H135" i="8"/>
  <c r="G62" i="8"/>
  <c r="G135" i="8"/>
  <c r="H21" i="12"/>
  <c r="H13" i="22" s="1"/>
  <c r="H41" i="38" s="1"/>
  <c r="H13" i="38" s="1"/>
  <c r="G54" i="8"/>
  <c r="G50" i="8"/>
  <c r="H59" i="8"/>
  <c r="G100" i="8"/>
  <c r="H132" i="8"/>
  <c r="G142" i="8"/>
  <c r="G134" i="8"/>
  <c r="H60" i="8"/>
  <c r="G91" i="8"/>
  <c r="H53" i="8"/>
  <c r="G131" i="8"/>
  <c r="X19" i="19"/>
  <c r="Y11" i="19"/>
  <c r="H91" i="17"/>
  <c r="H95" i="17"/>
  <c r="H101" i="17"/>
  <c r="H100" i="19"/>
  <c r="I16" i="33"/>
  <c r="H17" i="10"/>
  <c r="I19" i="33"/>
  <c r="H20" i="19"/>
  <c r="G139" i="17"/>
  <c r="G74" i="23"/>
  <c r="G98" i="17" s="1"/>
  <c r="G98" i="8" s="1"/>
  <c r="X20" i="19"/>
  <c r="Y18" i="19"/>
  <c r="H98" i="17"/>
  <c r="H91" i="19"/>
  <c r="H96" i="19"/>
  <c r="H95" i="19"/>
  <c r="H102" i="17"/>
  <c r="H93" i="17"/>
  <c r="H99" i="17"/>
  <c r="H103" i="17"/>
  <c r="G42" i="12"/>
  <c r="G26" i="38" s="1"/>
  <c r="G27" i="38" s="1"/>
  <c r="H97" i="17"/>
  <c r="H90" i="17"/>
  <c r="H7" i="3"/>
  <c r="Y15" i="19"/>
  <c r="H101" i="19"/>
  <c r="Y14" i="19"/>
  <c r="H92" i="19"/>
  <c r="H100" i="17"/>
  <c r="H98" i="19"/>
  <c r="H97" i="19"/>
  <c r="I9" i="33"/>
  <c r="H10" i="19"/>
  <c r="I15" i="33"/>
  <c r="H16" i="19"/>
  <c r="I17" i="33"/>
  <c r="C21" i="33"/>
  <c r="H22" i="17" s="1"/>
  <c r="H13" i="17"/>
  <c r="F21" i="33"/>
  <c r="F23" i="33" s="1"/>
  <c r="H14" i="11"/>
  <c r="H9" i="3"/>
  <c r="H42" i="12"/>
  <c r="H26" i="38" s="1"/>
  <c r="H27" i="38" s="1"/>
  <c r="X18" i="19"/>
  <c r="X16" i="19"/>
  <c r="X11" i="19"/>
  <c r="X9" i="19"/>
  <c r="X13" i="19"/>
  <c r="X14" i="19"/>
  <c r="X17" i="19"/>
  <c r="X12" i="19"/>
  <c r="H94" i="19"/>
  <c r="Y8" i="19"/>
  <c r="Y13" i="19"/>
  <c r="Y9" i="19"/>
  <c r="H19" i="3"/>
  <c r="Y17" i="19"/>
  <c r="H94" i="17"/>
  <c r="G90" i="17"/>
  <c r="G145" i="19"/>
  <c r="G10" i="22" s="1"/>
  <c r="G38" i="38" s="1"/>
  <c r="G15" i="3"/>
  <c r="G57" i="17"/>
  <c r="X8" i="19"/>
  <c r="X7" i="19"/>
  <c r="G63" i="19"/>
  <c r="I18" i="32"/>
  <c r="K18" i="32" s="1"/>
  <c r="G19" i="17"/>
  <c r="I6" i="32"/>
  <c r="G7" i="12"/>
  <c r="I15" i="32"/>
  <c r="G16" i="17"/>
  <c r="X10" i="19"/>
  <c r="X15" i="19"/>
  <c r="I6" i="33"/>
  <c r="H9" i="32"/>
  <c r="K9" i="32" s="1"/>
  <c r="H14" i="32"/>
  <c r="I13" i="33"/>
  <c r="H17" i="32"/>
  <c r="K17" i="32" s="1"/>
  <c r="H11" i="32"/>
  <c r="K11" i="32" s="1"/>
  <c r="H16" i="32"/>
  <c r="H8" i="32"/>
  <c r="K8" i="32" s="1"/>
  <c r="H12" i="32"/>
  <c r="K12" i="32" s="1"/>
  <c r="H6" i="32"/>
  <c r="H19" i="32"/>
  <c r="H15" i="32"/>
  <c r="I18" i="33"/>
  <c r="H13" i="32"/>
  <c r="K13" i="32" s="1"/>
  <c r="H7" i="32"/>
  <c r="K7" i="32" s="1"/>
  <c r="H10" i="32"/>
  <c r="D24" i="32"/>
  <c r="D23" i="32"/>
  <c r="F21" i="32"/>
  <c r="E21" i="33"/>
  <c r="I14" i="32"/>
  <c r="I12" i="33"/>
  <c r="D21" i="33"/>
  <c r="I19" i="32"/>
  <c r="E21" i="32"/>
  <c r="I16" i="32"/>
  <c r="H18" i="33"/>
  <c r="H10" i="33"/>
  <c r="K10" i="33" s="1"/>
  <c r="H8" i="33"/>
  <c r="H19" i="33"/>
  <c r="H17" i="33"/>
  <c r="H15" i="33"/>
  <c r="H13" i="33"/>
  <c r="H11" i="33"/>
  <c r="K11" i="33" s="1"/>
  <c r="H9" i="33"/>
  <c r="H7" i="33"/>
  <c r="H12" i="33"/>
  <c r="H16" i="33"/>
  <c r="H14" i="33"/>
  <c r="K14" i="33" s="1"/>
  <c r="H6" i="33"/>
  <c r="G21" i="32"/>
  <c r="G22" i="12" s="1"/>
  <c r="I10" i="32"/>
  <c r="C21" i="32"/>
  <c r="G22" i="17" s="1"/>
  <c r="H98" i="25"/>
  <c r="H22" i="25"/>
  <c r="G82" i="25"/>
  <c r="G143" i="25"/>
  <c r="G158" i="25"/>
  <c r="G203" i="25"/>
  <c r="H202" i="25"/>
  <c r="H161" i="25"/>
  <c r="G38" i="25"/>
  <c r="G97" i="25"/>
  <c r="G7" i="25"/>
  <c r="H190" i="25"/>
  <c r="G8" i="25"/>
  <c r="G37" i="25"/>
  <c r="H52" i="25"/>
  <c r="H82" i="25"/>
  <c r="G53" i="25"/>
  <c r="G112" i="25"/>
  <c r="H23" i="25"/>
  <c r="H39" i="25"/>
  <c r="H112" i="25"/>
  <c r="H142" i="25"/>
  <c r="H187" i="25"/>
  <c r="H173" i="25"/>
  <c r="G188" i="25"/>
  <c r="H10" i="25"/>
  <c r="H83" i="25"/>
  <c r="H68" i="25"/>
  <c r="G23" i="25"/>
  <c r="G98" i="25"/>
  <c r="H113" i="25"/>
  <c r="G113" i="25"/>
  <c r="G128" i="25"/>
  <c r="H127" i="25"/>
  <c r="H38" i="25"/>
  <c r="G68" i="25"/>
  <c r="G83" i="25"/>
  <c r="G22" i="25"/>
  <c r="G173" i="25"/>
  <c r="H67" i="25"/>
  <c r="G13" i="25"/>
  <c r="H158" i="25"/>
  <c r="G52" i="25"/>
  <c r="H157" i="25"/>
  <c r="G172" i="25"/>
  <c r="G67" i="25"/>
  <c r="H117" i="25"/>
  <c r="G157" i="25"/>
  <c r="G129" i="25"/>
  <c r="G202" i="25"/>
  <c r="H7" i="25"/>
  <c r="H128" i="25"/>
  <c r="H172" i="25"/>
  <c r="G60" i="38" l="1"/>
  <c r="G10" i="38"/>
  <c r="G235" i="25"/>
  <c r="G119" i="25"/>
  <c r="G89" i="25"/>
  <c r="G218" i="25"/>
  <c r="G59" i="25"/>
  <c r="G179" i="25"/>
  <c r="G74" i="25"/>
  <c r="G44" i="25"/>
  <c r="G209" i="25"/>
  <c r="G104" i="25"/>
  <c r="G29" i="25"/>
  <c r="G164" i="25"/>
  <c r="G223" i="25"/>
  <c r="G14" i="25"/>
  <c r="H89" i="25"/>
  <c r="H179" i="25"/>
  <c r="H74" i="25"/>
  <c r="H29" i="25"/>
  <c r="H134" i="25"/>
  <c r="H221" i="25"/>
  <c r="H164" i="25"/>
  <c r="H222" i="25"/>
  <c r="H119" i="25"/>
  <c r="H21" i="17"/>
  <c r="H224" i="26"/>
  <c r="H21" i="10"/>
  <c r="H11" i="22" s="1"/>
  <c r="H39" i="38" s="1"/>
  <c r="H11" i="38" s="1"/>
  <c r="H238" i="25"/>
  <c r="G224" i="26"/>
  <c r="K7" i="33"/>
  <c r="H137" i="17"/>
  <c r="H55" i="17"/>
  <c r="H72" i="23"/>
  <c r="H80" i="23" s="1"/>
  <c r="H144" i="19"/>
  <c r="H62" i="19"/>
  <c r="H62" i="8" s="1"/>
  <c r="H99" i="23"/>
  <c r="H89" i="23"/>
  <c r="H134" i="19"/>
  <c r="H52" i="19"/>
  <c r="H52" i="8" s="1"/>
  <c r="H100" i="8"/>
  <c r="H17" i="8" s="1"/>
  <c r="H17" i="16" s="1"/>
  <c r="H140" i="19"/>
  <c r="H58" i="19"/>
  <c r="H95" i="23"/>
  <c r="G11" i="8"/>
  <c r="G11" i="16" s="1"/>
  <c r="K15" i="32"/>
  <c r="G90" i="8"/>
  <c r="G7" i="8" s="1"/>
  <c r="G20" i="8"/>
  <c r="G40" i="3" s="1"/>
  <c r="H22" i="12"/>
  <c r="K15" i="33"/>
  <c r="G24" i="33"/>
  <c r="C23" i="33"/>
  <c r="K17" i="33"/>
  <c r="X15" i="17"/>
  <c r="G12" i="8"/>
  <c r="G32" i="3" s="1"/>
  <c r="K16" i="33"/>
  <c r="K8" i="33"/>
  <c r="Y9" i="17"/>
  <c r="H95" i="8"/>
  <c r="H12" i="8" s="1"/>
  <c r="H12" i="16" s="1"/>
  <c r="G10" i="8"/>
  <c r="G10" i="16" s="1"/>
  <c r="K14" i="32"/>
  <c r="K9" i="33"/>
  <c r="K19" i="33"/>
  <c r="H94" i="8"/>
  <c r="H11" i="8" s="1"/>
  <c r="G9" i="8"/>
  <c r="G29" i="3" s="1"/>
  <c r="G17" i="8"/>
  <c r="G17" i="16" s="1"/>
  <c r="G13" i="8"/>
  <c r="G13" i="16" s="1"/>
  <c r="G8" i="22"/>
  <c r="G36" i="38" s="1"/>
  <c r="H51" i="8"/>
  <c r="H97" i="8"/>
  <c r="H14" i="8" s="1"/>
  <c r="G57" i="8"/>
  <c r="H21" i="11"/>
  <c r="H12" i="22" s="1"/>
  <c r="H40" i="38" s="1"/>
  <c r="H12" i="38" s="1"/>
  <c r="G139" i="8"/>
  <c r="G8" i="8"/>
  <c r="G14" i="8"/>
  <c r="G18" i="8"/>
  <c r="H26" i="22"/>
  <c r="H27" i="16"/>
  <c r="G26" i="22"/>
  <c r="G27" i="16"/>
  <c r="C24" i="33"/>
  <c r="G21" i="12"/>
  <c r="G13" i="22" s="1"/>
  <c r="G41" i="38" s="1"/>
  <c r="G13" i="38" s="1"/>
  <c r="H133" i="8"/>
  <c r="H91" i="8"/>
  <c r="H98" i="8"/>
  <c r="H15" i="8" s="1"/>
  <c r="H101" i="8"/>
  <c r="H18" i="8" s="1"/>
  <c r="H131" i="8"/>
  <c r="H143" i="8"/>
  <c r="E23" i="33"/>
  <c r="H22" i="10"/>
  <c r="Y7" i="19"/>
  <c r="H92" i="17"/>
  <c r="H92" i="8" s="1"/>
  <c r="H20" i="3"/>
  <c r="D23" i="33"/>
  <c r="H22" i="19"/>
  <c r="G140" i="17"/>
  <c r="G75" i="23"/>
  <c r="G143" i="17"/>
  <c r="G78" i="23"/>
  <c r="G102" i="17" s="1"/>
  <c r="G102" i="8" s="1"/>
  <c r="F24" i="33"/>
  <c r="H22" i="11"/>
  <c r="Y19" i="19"/>
  <c r="H90" i="19"/>
  <c r="H90" i="8" s="1"/>
  <c r="H13" i="3"/>
  <c r="H58" i="8"/>
  <c r="H16" i="3"/>
  <c r="H10" i="3"/>
  <c r="H102" i="19"/>
  <c r="H102" i="8" s="1"/>
  <c r="H21" i="19"/>
  <c r="G58" i="17"/>
  <c r="G16" i="3"/>
  <c r="G19" i="3"/>
  <c r="G61" i="17"/>
  <c r="G21" i="17"/>
  <c r="F23" i="32"/>
  <c r="G22" i="11"/>
  <c r="E24" i="32"/>
  <c r="G22" i="10"/>
  <c r="K6" i="32"/>
  <c r="X21" i="19"/>
  <c r="D24" i="33"/>
  <c r="K12" i="33"/>
  <c r="K13" i="33"/>
  <c r="K18" i="33"/>
  <c r="E23" i="32"/>
  <c r="F24" i="32"/>
  <c r="E24" i="33"/>
  <c r="K19" i="32"/>
  <c r="K16" i="32"/>
  <c r="K10" i="32"/>
  <c r="G23" i="32"/>
  <c r="G24" i="32"/>
  <c r="H21" i="33"/>
  <c r="K6" i="33"/>
  <c r="C24" i="32"/>
  <c r="C23" i="32"/>
  <c r="H21" i="32"/>
  <c r="H188" i="25"/>
  <c r="H55" i="25"/>
  <c r="H99" i="25"/>
  <c r="G144" i="25"/>
  <c r="H37" i="25"/>
  <c r="G189" i="25"/>
  <c r="H145" i="25"/>
  <c r="H205" i="25"/>
  <c r="G127" i="25"/>
  <c r="H8" i="25"/>
  <c r="G8" i="38" l="1"/>
  <c r="G61" i="38"/>
  <c r="G59" i="38"/>
  <c r="G27" i="22"/>
  <c r="G54" i="38"/>
  <c r="G55" i="38" s="1"/>
  <c r="H27" i="22"/>
  <c r="H54" i="38"/>
  <c r="H55" i="38" s="1"/>
  <c r="G233" i="25"/>
  <c r="G134" i="25"/>
  <c r="G31" i="3"/>
  <c r="G219" i="25"/>
  <c r="G238" i="25"/>
  <c r="H44" i="25"/>
  <c r="H14" i="25"/>
  <c r="H194" i="25"/>
  <c r="H219" i="25"/>
  <c r="H220" i="25"/>
  <c r="H236" i="25"/>
  <c r="G238" i="26"/>
  <c r="G239" i="26" s="1"/>
  <c r="H238" i="26"/>
  <c r="H239" i="26" s="1"/>
  <c r="H237" i="25"/>
  <c r="G30" i="3"/>
  <c r="G20" i="16"/>
  <c r="H100" i="23"/>
  <c r="G37" i="3"/>
  <c r="H32" i="3"/>
  <c r="G9" i="16"/>
  <c r="H37" i="3"/>
  <c r="H19" i="8"/>
  <c r="H39" i="3" s="1"/>
  <c r="X16" i="17"/>
  <c r="G12" i="16"/>
  <c r="G33" i="3"/>
  <c r="G15" i="8"/>
  <c r="G35" i="3" s="1"/>
  <c r="X19" i="17"/>
  <c r="Y13" i="17"/>
  <c r="H7" i="8"/>
  <c r="H7" i="16" s="1"/>
  <c r="H21" i="3"/>
  <c r="H38" i="3"/>
  <c r="H18" i="16"/>
  <c r="G145" i="17"/>
  <c r="G9" i="22" s="1"/>
  <c r="G37" i="38" s="1"/>
  <c r="G9" i="38" s="1"/>
  <c r="G143" i="8"/>
  <c r="G21" i="3"/>
  <c r="H145" i="19"/>
  <c r="H10" i="22" s="1"/>
  <c r="H38" i="38" s="1"/>
  <c r="H134" i="8"/>
  <c r="H145" i="17"/>
  <c r="H137" i="8"/>
  <c r="H31" i="3"/>
  <c r="H11" i="16"/>
  <c r="G38" i="3"/>
  <c r="G18" i="16"/>
  <c r="H9" i="8"/>
  <c r="H140" i="8"/>
  <c r="H34" i="3"/>
  <c r="H14" i="16"/>
  <c r="G58" i="8"/>
  <c r="G140" i="8"/>
  <c r="G27" i="3"/>
  <c r="G7" i="16"/>
  <c r="G28" i="3"/>
  <c r="G8" i="16"/>
  <c r="H8" i="8"/>
  <c r="G61" i="8"/>
  <c r="H63" i="17"/>
  <c r="H55" i="8"/>
  <c r="H144" i="8"/>
  <c r="H35" i="3"/>
  <c r="H15" i="16"/>
  <c r="G34" i="3"/>
  <c r="G14" i="16"/>
  <c r="Y20" i="19"/>
  <c r="H99" i="19"/>
  <c r="H99" i="8" s="1"/>
  <c r="Y10" i="19"/>
  <c r="Y16" i="19"/>
  <c r="H93" i="19"/>
  <c r="H93" i="8" s="1"/>
  <c r="H96" i="17"/>
  <c r="G99" i="17"/>
  <c r="G80" i="23"/>
  <c r="H103" i="19"/>
  <c r="H63" i="19"/>
  <c r="G63" i="17"/>
  <c r="G142" i="25"/>
  <c r="G187" i="25"/>
  <c r="H97" i="25"/>
  <c r="H143" i="25"/>
  <c r="H53" i="25"/>
  <c r="H203" i="25"/>
  <c r="H10" i="38" l="1"/>
  <c r="H60" i="38"/>
  <c r="G67" i="38"/>
  <c r="G194" i="25"/>
  <c r="G149" i="25"/>
  <c r="G217" i="25"/>
  <c r="G224" i="25" s="1"/>
  <c r="G234" i="25"/>
  <c r="H59" i="25"/>
  <c r="H218" i="25"/>
  <c r="H149" i="25"/>
  <c r="H217" i="25"/>
  <c r="H104" i="25"/>
  <c r="H209" i="25"/>
  <c r="H235" i="25"/>
  <c r="G7" i="22"/>
  <c r="H16" i="8"/>
  <c r="H36" i="3" s="1"/>
  <c r="H19" i="16"/>
  <c r="G15" i="16"/>
  <c r="H27" i="3"/>
  <c r="G19" i="8"/>
  <c r="G19" i="16" s="1"/>
  <c r="H8" i="22"/>
  <c r="H36" i="38" s="1"/>
  <c r="H145" i="8"/>
  <c r="X21" i="17"/>
  <c r="H10" i="8"/>
  <c r="H9" i="22"/>
  <c r="H7" i="22"/>
  <c r="H35" i="38" s="1"/>
  <c r="G104" i="17"/>
  <c r="G99" i="8"/>
  <c r="G104" i="8" s="1"/>
  <c r="H104" i="19"/>
  <c r="H103" i="8"/>
  <c r="H20" i="8" s="1"/>
  <c r="G145" i="8"/>
  <c r="H29" i="3"/>
  <c r="H9" i="16"/>
  <c r="G63" i="8"/>
  <c r="H104" i="17"/>
  <c r="H96" i="8"/>
  <c r="Y21" i="19"/>
  <c r="H63" i="8"/>
  <c r="H28" i="3"/>
  <c r="H8" i="16"/>
  <c r="Y21" i="17"/>
  <c r="G14" i="22" l="1"/>
  <c r="G35" i="38"/>
  <c r="H7" i="38"/>
  <c r="H234" i="25"/>
  <c r="H37" i="38"/>
  <c r="H9" i="38" s="1"/>
  <c r="H8" i="38"/>
  <c r="H61" i="38"/>
  <c r="H59" i="38"/>
  <c r="H233" i="25"/>
  <c r="H224" i="25"/>
  <c r="H232" i="25"/>
  <c r="G232" i="25"/>
  <c r="G239" i="25" s="1"/>
  <c r="G39" i="3"/>
  <c r="H16" i="16"/>
  <c r="H104" i="8"/>
  <c r="H21" i="8" s="1"/>
  <c r="H14" i="22"/>
  <c r="H13" i="8"/>
  <c r="H30" i="3"/>
  <c r="H10" i="16"/>
  <c r="G21" i="8"/>
  <c r="H40" i="3"/>
  <c r="H20" i="16"/>
  <c r="G16" i="8"/>
  <c r="H42" i="38" l="1"/>
  <c r="H67" i="38"/>
  <c r="H14" i="38"/>
  <c r="G7" i="38"/>
  <c r="G42" i="38"/>
  <c r="H239" i="25"/>
  <c r="G36" i="3"/>
  <c r="G41" i="3" s="1"/>
  <c r="G16" i="16"/>
  <c r="G21" i="16" s="1"/>
  <c r="H33" i="3"/>
  <c r="H41" i="3" s="1"/>
  <c r="H13" i="16"/>
  <c r="H21" i="16" s="1"/>
  <c r="G14" i="38" l="1"/>
  <c r="E22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22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2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21" i="1" l="1"/>
  <c r="E23" i="1" s="1"/>
  <c r="E21" i="14"/>
  <c r="E23" i="14" s="1"/>
  <c r="E21" i="20"/>
  <c r="E23" i="20" s="1"/>
  <c r="C11" i="14"/>
  <c r="AA6" i="23" l="1"/>
  <c r="I6" i="23" s="1"/>
  <c r="F31" i="13"/>
  <c r="F29" i="13"/>
  <c r="F64" i="7"/>
  <c r="F62" i="7"/>
  <c r="F61" i="7"/>
  <c r="F191" i="3"/>
  <c r="F190" i="3"/>
  <c r="F181" i="3"/>
  <c r="F180" i="3"/>
  <c r="F171" i="3"/>
  <c r="F170" i="3"/>
  <c r="F161" i="3"/>
  <c r="F160" i="3"/>
  <c r="F151" i="3"/>
  <c r="F150" i="3"/>
  <c r="F140" i="3"/>
  <c r="F142" i="3" s="1"/>
  <c r="F144" i="3" s="1"/>
  <c r="F134" i="3"/>
  <c r="F132" i="3"/>
  <c r="F88" i="3"/>
  <c r="F86" i="3"/>
  <c r="G22" i="20"/>
  <c r="F22" i="20"/>
  <c r="D22" i="20"/>
  <c r="C22" i="20"/>
  <c r="G20" i="20"/>
  <c r="F20" i="20"/>
  <c r="D20" i="20"/>
  <c r="C20" i="20"/>
  <c r="G19" i="20"/>
  <c r="F19" i="20"/>
  <c r="D19" i="20"/>
  <c r="C19" i="20"/>
  <c r="G18" i="20"/>
  <c r="F18" i="20"/>
  <c r="D18" i="20"/>
  <c r="C18" i="20"/>
  <c r="G17" i="20"/>
  <c r="F17" i="20"/>
  <c r="D17" i="20"/>
  <c r="C17" i="20"/>
  <c r="G16" i="20"/>
  <c r="F16" i="20"/>
  <c r="D16" i="20"/>
  <c r="C16" i="20"/>
  <c r="G15" i="20"/>
  <c r="F15" i="20"/>
  <c r="D15" i="20"/>
  <c r="C15" i="20"/>
  <c r="G14" i="20"/>
  <c r="F14" i="20"/>
  <c r="D14" i="20"/>
  <c r="C14" i="20"/>
  <c r="G13" i="20"/>
  <c r="F13" i="20"/>
  <c r="D13" i="20"/>
  <c r="C13" i="20"/>
  <c r="G12" i="20"/>
  <c r="F12" i="20"/>
  <c r="D12" i="20"/>
  <c r="C12" i="20"/>
  <c r="G11" i="20"/>
  <c r="F11" i="20"/>
  <c r="D11" i="20"/>
  <c r="C11" i="20"/>
  <c r="G10" i="20"/>
  <c r="F10" i="20"/>
  <c r="D10" i="20"/>
  <c r="C10" i="20"/>
  <c r="G9" i="20"/>
  <c r="F9" i="20"/>
  <c r="D9" i="20"/>
  <c r="C9" i="20"/>
  <c r="G8" i="20"/>
  <c r="F8" i="20"/>
  <c r="D8" i="20"/>
  <c r="C8" i="20"/>
  <c r="G7" i="20"/>
  <c r="F7" i="20"/>
  <c r="D7" i="20"/>
  <c r="C7" i="20"/>
  <c r="G6" i="20"/>
  <c r="F6" i="20"/>
  <c r="D6" i="20"/>
  <c r="C6" i="20"/>
  <c r="F28" i="10"/>
  <c r="F24" i="38" s="1"/>
  <c r="F166" i="19"/>
  <c r="F125" i="19"/>
  <c r="F84" i="19"/>
  <c r="F166" i="17"/>
  <c r="F125" i="17"/>
  <c r="F84" i="17"/>
  <c r="F143" i="3" s="1"/>
  <c r="E31" i="13"/>
  <c r="E29" i="13"/>
  <c r="E28" i="13"/>
  <c r="E64" i="7"/>
  <c r="E62" i="7"/>
  <c r="E61" i="7"/>
  <c r="E191" i="3"/>
  <c r="E190" i="3"/>
  <c r="E181" i="3"/>
  <c r="E180" i="3"/>
  <c r="E171" i="3"/>
  <c r="E170" i="3"/>
  <c r="E161" i="3"/>
  <c r="E160" i="3"/>
  <c r="E151" i="3"/>
  <c r="E150" i="3"/>
  <c r="E141" i="3"/>
  <c r="E140" i="3"/>
  <c r="G22" i="14"/>
  <c r="F22" i="14"/>
  <c r="D22" i="14"/>
  <c r="C22" i="14"/>
  <c r="G20" i="14"/>
  <c r="F20" i="14"/>
  <c r="D20" i="14"/>
  <c r="C20" i="14"/>
  <c r="G19" i="14"/>
  <c r="F19" i="14"/>
  <c r="D19" i="14"/>
  <c r="C19" i="14"/>
  <c r="G18" i="14"/>
  <c r="F18" i="14"/>
  <c r="D18" i="14"/>
  <c r="C18" i="14"/>
  <c r="G17" i="14"/>
  <c r="F17" i="14"/>
  <c r="D17" i="14"/>
  <c r="C17" i="14"/>
  <c r="G16" i="14"/>
  <c r="F16" i="14"/>
  <c r="D16" i="14"/>
  <c r="C16" i="14"/>
  <c r="G15" i="14"/>
  <c r="F15" i="14"/>
  <c r="D15" i="14"/>
  <c r="C15" i="14"/>
  <c r="G14" i="14"/>
  <c r="F14" i="14"/>
  <c r="D14" i="14"/>
  <c r="C14" i="14"/>
  <c r="G13" i="14"/>
  <c r="F13" i="14"/>
  <c r="D13" i="14"/>
  <c r="C13" i="14"/>
  <c r="G12" i="14"/>
  <c r="F12" i="14"/>
  <c r="D12" i="14"/>
  <c r="C12" i="14"/>
  <c r="G11" i="14"/>
  <c r="F11" i="14"/>
  <c r="D11" i="14"/>
  <c r="G10" i="14"/>
  <c r="F10" i="14"/>
  <c r="D10" i="14"/>
  <c r="C10" i="14"/>
  <c r="G9" i="14"/>
  <c r="F9" i="14"/>
  <c r="D9" i="14"/>
  <c r="C9" i="14"/>
  <c r="G8" i="14"/>
  <c r="F8" i="14"/>
  <c r="D8" i="14"/>
  <c r="C8" i="14"/>
  <c r="G7" i="14"/>
  <c r="F7" i="14"/>
  <c r="D7" i="14"/>
  <c r="C7" i="14"/>
  <c r="G6" i="14"/>
  <c r="F6" i="14"/>
  <c r="D6" i="14"/>
  <c r="C6" i="14"/>
  <c r="E28" i="10"/>
  <c r="E24" i="38" s="1"/>
  <c r="E166" i="19"/>
  <c r="E125" i="19"/>
  <c r="E84" i="19"/>
  <c r="E166" i="17"/>
  <c r="E125" i="17"/>
  <c r="E84" i="17"/>
  <c r="D31" i="13"/>
  <c r="D29" i="13"/>
  <c r="D28" i="13"/>
  <c r="D64" i="7"/>
  <c r="D62" i="7"/>
  <c r="D61" i="7"/>
  <c r="D191" i="3"/>
  <c r="D190" i="3"/>
  <c r="D181" i="3"/>
  <c r="D180" i="3"/>
  <c r="D171" i="3"/>
  <c r="D170" i="3"/>
  <c r="D161" i="3"/>
  <c r="D160" i="3"/>
  <c r="D151" i="3"/>
  <c r="D150" i="3"/>
  <c r="D141" i="3"/>
  <c r="D140" i="3"/>
  <c r="G22" i="1"/>
  <c r="F22" i="1"/>
  <c r="D22" i="1"/>
  <c r="C22" i="1"/>
  <c r="G20" i="1"/>
  <c r="F20" i="1"/>
  <c r="D20" i="1"/>
  <c r="C20" i="1"/>
  <c r="G19" i="1"/>
  <c r="F19" i="1"/>
  <c r="D19" i="1"/>
  <c r="C19" i="1"/>
  <c r="G18" i="1"/>
  <c r="F18" i="1"/>
  <c r="D18" i="1"/>
  <c r="C18" i="1"/>
  <c r="G17" i="1"/>
  <c r="F17" i="1"/>
  <c r="D17" i="1"/>
  <c r="C17" i="1"/>
  <c r="G16" i="1"/>
  <c r="F16" i="1"/>
  <c r="D16" i="1"/>
  <c r="C16" i="1"/>
  <c r="G15" i="1"/>
  <c r="F15" i="1"/>
  <c r="D15" i="1"/>
  <c r="C15" i="1"/>
  <c r="G14" i="1"/>
  <c r="F14" i="1"/>
  <c r="D14" i="1"/>
  <c r="C14" i="1"/>
  <c r="G13" i="1"/>
  <c r="F13" i="1"/>
  <c r="D13" i="1"/>
  <c r="C13" i="1"/>
  <c r="G12" i="1"/>
  <c r="F12" i="1"/>
  <c r="D12" i="1"/>
  <c r="C12" i="1"/>
  <c r="G11" i="1"/>
  <c r="F11" i="1"/>
  <c r="D11" i="1"/>
  <c r="C11" i="1"/>
  <c r="G10" i="1"/>
  <c r="F10" i="1"/>
  <c r="D10" i="1"/>
  <c r="C10" i="1"/>
  <c r="G9" i="1"/>
  <c r="F9" i="1"/>
  <c r="D9" i="1"/>
  <c r="C9" i="1"/>
  <c r="G8" i="1"/>
  <c r="F8" i="1"/>
  <c r="D8" i="1"/>
  <c r="C8" i="1"/>
  <c r="G7" i="1"/>
  <c r="F7" i="1"/>
  <c r="D7" i="1"/>
  <c r="C7" i="1"/>
  <c r="G6" i="1"/>
  <c r="F6" i="1"/>
  <c r="D6" i="1"/>
  <c r="C6" i="1"/>
  <c r="D28" i="10"/>
  <c r="D24" i="38" s="1"/>
  <c r="D166" i="19"/>
  <c r="D125" i="19"/>
  <c r="D84" i="19"/>
  <c r="D166" i="17"/>
  <c r="D125" i="17"/>
  <c r="D84" i="17"/>
  <c r="F221" i="26"/>
  <c r="E221" i="26"/>
  <c r="D221" i="26"/>
  <c r="I27" i="23" l="1"/>
  <c r="AF21" i="23"/>
  <c r="AE21" i="23"/>
  <c r="AD21" i="23"/>
  <c r="AC21" i="23"/>
  <c r="AB21" i="23"/>
  <c r="AA21" i="23"/>
  <c r="V21" i="23"/>
  <c r="AA19" i="23"/>
  <c r="I19" i="23" s="1"/>
  <c r="AA18" i="23"/>
  <c r="I18" i="23" s="1"/>
  <c r="AA17" i="23"/>
  <c r="I17" i="23" s="1"/>
  <c r="AA16" i="23"/>
  <c r="I16" i="23" s="1"/>
  <c r="AA15" i="23"/>
  <c r="I15" i="23" s="1"/>
  <c r="AA14" i="23"/>
  <c r="I14" i="23" s="1"/>
  <c r="AA13" i="23"/>
  <c r="I13" i="23" s="1"/>
  <c r="AA12" i="23"/>
  <c r="I12" i="23" s="1"/>
  <c r="AA11" i="23"/>
  <c r="I11" i="23" s="1"/>
  <c r="AA10" i="23"/>
  <c r="I10" i="23" s="1"/>
  <c r="AA9" i="23"/>
  <c r="I9" i="23" s="1"/>
  <c r="AA8" i="23"/>
  <c r="I8" i="23" s="1"/>
  <c r="AA7" i="23"/>
  <c r="I7" i="23" s="1"/>
  <c r="AF19" i="23"/>
  <c r="O19" i="23" s="1"/>
  <c r="AE19" i="23"/>
  <c r="N19" i="23" s="1"/>
  <c r="AD19" i="23"/>
  <c r="M19" i="23" s="1"/>
  <c r="AC19" i="23"/>
  <c r="L19" i="23" s="1"/>
  <c r="AB19" i="23"/>
  <c r="K19" i="23" s="1"/>
  <c r="AF18" i="23"/>
  <c r="O18" i="23" s="1"/>
  <c r="AE18" i="23"/>
  <c r="N18" i="23" s="1"/>
  <c r="AD18" i="23"/>
  <c r="M18" i="23" s="1"/>
  <c r="AC18" i="23"/>
  <c r="L18" i="23" s="1"/>
  <c r="AB18" i="23"/>
  <c r="K18" i="23" s="1"/>
  <c r="AF17" i="23"/>
  <c r="O17" i="23" s="1"/>
  <c r="AE17" i="23"/>
  <c r="N17" i="23" s="1"/>
  <c r="AD17" i="23"/>
  <c r="M17" i="23" s="1"/>
  <c r="AC17" i="23"/>
  <c r="L17" i="23" s="1"/>
  <c r="AB17" i="23"/>
  <c r="K17" i="23" s="1"/>
  <c r="AF16" i="23"/>
  <c r="O16" i="23" s="1"/>
  <c r="AE16" i="23"/>
  <c r="N16" i="23" s="1"/>
  <c r="AD16" i="23"/>
  <c r="M16" i="23" s="1"/>
  <c r="AC16" i="23"/>
  <c r="L16" i="23" s="1"/>
  <c r="AB16" i="23"/>
  <c r="K16" i="23" s="1"/>
  <c r="AF15" i="23"/>
  <c r="O15" i="23" s="1"/>
  <c r="AE15" i="23"/>
  <c r="N15" i="23" s="1"/>
  <c r="AD15" i="23"/>
  <c r="M15" i="23" s="1"/>
  <c r="AC15" i="23"/>
  <c r="L15" i="23" s="1"/>
  <c r="AB15" i="23"/>
  <c r="K15" i="23" s="1"/>
  <c r="AF14" i="23"/>
  <c r="O14" i="23" s="1"/>
  <c r="AE14" i="23"/>
  <c r="N14" i="23" s="1"/>
  <c r="AD14" i="23"/>
  <c r="M14" i="23" s="1"/>
  <c r="AC14" i="23"/>
  <c r="L14" i="23" s="1"/>
  <c r="AB14" i="23"/>
  <c r="K14" i="23" s="1"/>
  <c r="AF13" i="23"/>
  <c r="O13" i="23" s="1"/>
  <c r="AE13" i="23"/>
  <c r="N13" i="23" s="1"/>
  <c r="AD13" i="23"/>
  <c r="M13" i="23" s="1"/>
  <c r="AC13" i="23"/>
  <c r="L13" i="23" s="1"/>
  <c r="AB13" i="23"/>
  <c r="K13" i="23" s="1"/>
  <c r="AF12" i="23"/>
  <c r="O12" i="23" s="1"/>
  <c r="AE12" i="23"/>
  <c r="N12" i="23" s="1"/>
  <c r="AD12" i="23"/>
  <c r="M12" i="23" s="1"/>
  <c r="AC12" i="23"/>
  <c r="L12" i="23" s="1"/>
  <c r="AB12" i="23"/>
  <c r="K12" i="23" s="1"/>
  <c r="AF11" i="23"/>
  <c r="O11" i="23" s="1"/>
  <c r="AE11" i="23"/>
  <c r="N11" i="23" s="1"/>
  <c r="AD11" i="23"/>
  <c r="M11" i="23" s="1"/>
  <c r="AC11" i="23"/>
  <c r="L11" i="23" s="1"/>
  <c r="AB11" i="23"/>
  <c r="K11" i="23" s="1"/>
  <c r="AF10" i="23"/>
  <c r="O10" i="23" s="1"/>
  <c r="AE10" i="23"/>
  <c r="N10" i="23" s="1"/>
  <c r="AD10" i="23"/>
  <c r="M10" i="23" s="1"/>
  <c r="AC10" i="23"/>
  <c r="L10" i="23" s="1"/>
  <c r="AB10" i="23"/>
  <c r="K10" i="23" s="1"/>
  <c r="AF9" i="23"/>
  <c r="O9" i="23" s="1"/>
  <c r="AE9" i="23"/>
  <c r="N9" i="23" s="1"/>
  <c r="AD9" i="23"/>
  <c r="M9" i="23" s="1"/>
  <c r="AC9" i="23"/>
  <c r="L9" i="23" s="1"/>
  <c r="AB9" i="23"/>
  <c r="K9" i="23" s="1"/>
  <c r="AF8" i="23"/>
  <c r="O8" i="23" s="1"/>
  <c r="AE8" i="23"/>
  <c r="N8" i="23" s="1"/>
  <c r="AD8" i="23"/>
  <c r="M8" i="23" s="1"/>
  <c r="AC8" i="23"/>
  <c r="L8" i="23" s="1"/>
  <c r="AB8" i="23"/>
  <c r="K8" i="23" s="1"/>
  <c r="AF7" i="23"/>
  <c r="O7" i="23" s="1"/>
  <c r="AE7" i="23"/>
  <c r="N7" i="23" s="1"/>
  <c r="AD7" i="23"/>
  <c r="M7" i="23" s="1"/>
  <c r="AC7" i="23"/>
  <c r="L7" i="23" s="1"/>
  <c r="AB7" i="23"/>
  <c r="K7" i="23" s="1"/>
  <c r="AF6" i="23"/>
  <c r="O6" i="23" s="1"/>
  <c r="AE6" i="23"/>
  <c r="N6" i="23" s="1"/>
  <c r="AD6" i="23"/>
  <c r="M6" i="23" s="1"/>
  <c r="AC6" i="23"/>
  <c r="L6" i="23" s="1"/>
  <c r="AB6" i="23"/>
  <c r="K6" i="23" s="1"/>
  <c r="V19" i="23"/>
  <c r="V18" i="23"/>
  <c r="V17" i="23"/>
  <c r="V16" i="23"/>
  <c r="V15" i="23"/>
  <c r="V14" i="23"/>
  <c r="V13" i="23"/>
  <c r="V12" i="23"/>
  <c r="V11" i="23"/>
  <c r="V10" i="23"/>
  <c r="V9" i="23"/>
  <c r="V8" i="23"/>
  <c r="V7" i="23"/>
  <c r="V6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C122" i="26"/>
  <c r="C62" i="25"/>
  <c r="C137" i="26"/>
  <c r="C17" i="25"/>
  <c r="C92" i="25"/>
  <c r="C2" i="25"/>
  <c r="C197" i="26"/>
  <c r="C32" i="25"/>
  <c r="C77" i="26"/>
  <c r="C32" i="26"/>
  <c r="C107" i="25"/>
  <c r="C107" i="26"/>
  <c r="C47" i="25"/>
  <c r="C137" i="25"/>
  <c r="C182" i="25"/>
  <c r="C17" i="26"/>
  <c r="C77" i="25"/>
  <c r="C152" i="26"/>
  <c r="C167" i="25"/>
  <c r="C152" i="25"/>
  <c r="C167" i="26"/>
  <c r="C47" i="26"/>
  <c r="C2" i="26"/>
  <c r="C197" i="25"/>
  <c r="C62" i="26"/>
  <c r="C122" i="25"/>
  <c r="C92" i="26"/>
  <c r="C182" i="26"/>
  <c r="I30" i="23" l="1"/>
  <c r="I34" i="23"/>
  <c r="I38" i="23"/>
  <c r="I31" i="23"/>
  <c r="I35" i="23"/>
  <c r="I39" i="23"/>
  <c r="I28" i="23"/>
  <c r="I32" i="23"/>
  <c r="I36" i="23"/>
  <c r="I40" i="23"/>
  <c r="I29" i="23"/>
  <c r="I33" i="23"/>
  <c r="I37" i="23"/>
  <c r="J16" i="23"/>
  <c r="J37" i="23" s="1"/>
  <c r="J9" i="23"/>
  <c r="J30" i="23" s="1"/>
  <c r="J13" i="23"/>
  <c r="J34" i="23" s="1"/>
  <c r="J17" i="23"/>
  <c r="J38" i="23" s="1"/>
  <c r="J8" i="23"/>
  <c r="J29" i="23" s="1"/>
  <c r="J12" i="23"/>
  <c r="J33" i="23" s="1"/>
  <c r="J6" i="23"/>
  <c r="J27" i="23" s="1"/>
  <c r="J10" i="23"/>
  <c r="J31" i="23" s="1"/>
  <c r="J14" i="23"/>
  <c r="J35" i="23" s="1"/>
  <c r="J18" i="23"/>
  <c r="J39" i="23" s="1"/>
  <c r="J7" i="23"/>
  <c r="J28" i="23" s="1"/>
  <c r="J11" i="23"/>
  <c r="J32" i="23" s="1"/>
  <c r="J15" i="23"/>
  <c r="J36" i="23" s="1"/>
  <c r="J19" i="23"/>
  <c r="J40" i="23" s="1"/>
  <c r="AI8" i="23"/>
  <c r="R8" i="23" s="1"/>
  <c r="AH8" i="23"/>
  <c r="Q8" i="23" s="1"/>
  <c r="AG8" i="23"/>
  <c r="P8" i="23" s="1"/>
  <c r="AI12" i="23"/>
  <c r="R12" i="23" s="1"/>
  <c r="AH12" i="23"/>
  <c r="Q12" i="23" s="1"/>
  <c r="AG12" i="23"/>
  <c r="P12" i="23" s="1"/>
  <c r="AI16" i="23"/>
  <c r="R16" i="23" s="1"/>
  <c r="AH16" i="23"/>
  <c r="Q16" i="23" s="1"/>
  <c r="AG16" i="23"/>
  <c r="P16" i="23" s="1"/>
  <c r="AI9" i="23"/>
  <c r="R9" i="23" s="1"/>
  <c r="AG9" i="23"/>
  <c r="P9" i="23" s="1"/>
  <c r="AH9" i="23"/>
  <c r="Q9" i="23" s="1"/>
  <c r="AI13" i="23"/>
  <c r="R13" i="23" s="1"/>
  <c r="AG13" i="23"/>
  <c r="P13" i="23" s="1"/>
  <c r="AH13" i="23"/>
  <c r="Q13" i="23" s="1"/>
  <c r="AI17" i="23"/>
  <c r="R17" i="23" s="1"/>
  <c r="AG17" i="23"/>
  <c r="P17" i="23" s="1"/>
  <c r="AH17" i="23"/>
  <c r="Q17" i="23" s="1"/>
  <c r="AG6" i="23"/>
  <c r="P6" i="23" s="1"/>
  <c r="AI6" i="23"/>
  <c r="R6" i="23" s="1"/>
  <c r="AH6" i="23"/>
  <c r="Q6" i="23" s="1"/>
  <c r="AG10" i="23"/>
  <c r="P10" i="23" s="1"/>
  <c r="AI10" i="23"/>
  <c r="R10" i="23" s="1"/>
  <c r="AH10" i="23"/>
  <c r="Q10" i="23" s="1"/>
  <c r="AG14" i="23"/>
  <c r="P14" i="23" s="1"/>
  <c r="AH14" i="23"/>
  <c r="Q14" i="23" s="1"/>
  <c r="AI14" i="23"/>
  <c r="R14" i="23" s="1"/>
  <c r="AG18" i="23"/>
  <c r="P18" i="23" s="1"/>
  <c r="AI18" i="23"/>
  <c r="R18" i="23" s="1"/>
  <c r="AH18" i="23"/>
  <c r="Q18" i="23" s="1"/>
  <c r="AH7" i="23"/>
  <c r="Q7" i="23" s="1"/>
  <c r="AI7" i="23"/>
  <c r="R7" i="23" s="1"/>
  <c r="AG7" i="23"/>
  <c r="P7" i="23" s="1"/>
  <c r="AH11" i="23"/>
  <c r="Q11" i="23" s="1"/>
  <c r="AG11" i="23"/>
  <c r="P11" i="23" s="1"/>
  <c r="AI11" i="23"/>
  <c r="R11" i="23" s="1"/>
  <c r="AH15" i="23"/>
  <c r="Q15" i="23" s="1"/>
  <c r="AG15" i="23"/>
  <c r="P15" i="23" s="1"/>
  <c r="AI15" i="23"/>
  <c r="R15" i="23" s="1"/>
  <c r="AH19" i="23"/>
  <c r="Q19" i="23" s="1"/>
  <c r="AI19" i="23"/>
  <c r="R19" i="23" s="1"/>
  <c r="AG19" i="23"/>
  <c r="P19" i="23" s="1"/>
  <c r="Y9" i="23"/>
  <c r="Z9" i="23"/>
  <c r="Y13" i="23"/>
  <c r="Z13" i="23"/>
  <c r="Y17" i="23"/>
  <c r="Z17" i="23"/>
  <c r="Z6" i="23"/>
  <c r="Y6" i="23"/>
  <c r="Z10" i="23"/>
  <c r="Y10" i="23"/>
  <c r="Z14" i="23"/>
  <c r="Y14" i="23"/>
  <c r="Z18" i="23"/>
  <c r="Y18" i="23"/>
  <c r="Y21" i="23"/>
  <c r="Z21" i="23"/>
  <c r="Y7" i="23"/>
  <c r="Z7" i="23"/>
  <c r="Y11" i="23"/>
  <c r="Z11" i="23"/>
  <c r="Y15" i="23"/>
  <c r="Z15" i="23"/>
  <c r="Y19" i="23"/>
  <c r="Z19" i="23"/>
  <c r="Z8" i="23"/>
  <c r="Y8" i="23"/>
  <c r="Z12" i="23"/>
  <c r="Y12" i="23"/>
  <c r="Z16" i="23"/>
  <c r="Y16" i="23"/>
  <c r="X21" i="23"/>
  <c r="W21" i="23"/>
  <c r="W19" i="23"/>
  <c r="W18" i="23"/>
  <c r="X18" i="23"/>
  <c r="X17" i="23"/>
  <c r="W17" i="23"/>
  <c r="X16" i="23"/>
  <c r="W15" i="23"/>
  <c r="W14" i="23"/>
  <c r="X14" i="23"/>
  <c r="X13" i="23"/>
  <c r="W13" i="23"/>
  <c r="X12" i="23"/>
  <c r="W11" i="23"/>
  <c r="W10" i="23"/>
  <c r="X10" i="23"/>
  <c r="X9" i="23"/>
  <c r="W9" i="23"/>
  <c r="AE20" i="23"/>
  <c r="AD20" i="23"/>
  <c r="X8" i="23"/>
  <c r="W7" i="23"/>
  <c r="AF20" i="23"/>
  <c r="AC20" i="23"/>
  <c r="AB20" i="23"/>
  <c r="W6" i="23"/>
  <c r="V20" i="23"/>
  <c r="J41" i="23" l="1"/>
  <c r="J20" i="23"/>
  <c r="Y20" i="23"/>
  <c r="Z20" i="23"/>
  <c r="AA20" i="23"/>
  <c r="X7" i="23"/>
  <c r="W8" i="23"/>
  <c r="X11" i="23"/>
  <c r="W12" i="23"/>
  <c r="X15" i="23"/>
  <c r="W16" i="23"/>
  <c r="X19" i="23"/>
  <c r="X6" i="23"/>
  <c r="W20" i="23" l="1"/>
  <c r="X20" i="23"/>
  <c r="I28" i="6" l="1"/>
  <c r="K28" i="6" l="1"/>
  <c r="J28" i="6" s="1"/>
  <c r="F193" i="18"/>
  <c r="E193" i="18"/>
  <c r="D193" i="18"/>
  <c r="L28" i="6" l="1"/>
  <c r="M28" i="6" s="1"/>
  <c r="N28" i="6"/>
  <c r="O28" i="6" s="1"/>
  <c r="D221" i="18"/>
  <c r="D67" i="18"/>
  <c r="P28" i="6" l="1"/>
  <c r="Q28" i="6" s="1"/>
  <c r="R28" i="6" s="1"/>
  <c r="E67" i="18"/>
  <c r="F67" i="18" l="1"/>
  <c r="D109" i="18" l="1"/>
  <c r="F30" i="13"/>
  <c r="E30" i="13"/>
  <c r="D30" i="13"/>
  <c r="F63" i="7" l="1"/>
  <c r="F65" i="7" s="1"/>
  <c r="E63" i="7"/>
  <c r="E65" i="7" s="1"/>
  <c r="D63" i="7"/>
  <c r="D65" i="7" s="1"/>
  <c r="G49" i="7"/>
  <c r="D44" i="7"/>
  <c r="D49" i="7" s="1"/>
  <c r="F109" i="18" l="1"/>
  <c r="E109" i="18"/>
  <c r="D40" i="23" l="1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0" i="23"/>
  <c r="N132" i="3" s="1"/>
  <c r="D41" i="23" l="1"/>
  <c r="F192" i="3"/>
  <c r="F194" i="3" s="1"/>
  <c r="E192" i="3"/>
  <c r="D192" i="3"/>
  <c r="F182" i="3"/>
  <c r="F184" i="3" s="1"/>
  <c r="E182" i="3"/>
  <c r="D182" i="3"/>
  <c r="F172" i="3"/>
  <c r="F174" i="3" s="1"/>
  <c r="E172" i="3"/>
  <c r="D172" i="3"/>
  <c r="F162" i="3"/>
  <c r="F164" i="3" s="1"/>
  <c r="E162" i="3"/>
  <c r="D162" i="3"/>
  <c r="F152" i="3"/>
  <c r="F154" i="3" s="1"/>
  <c r="E152" i="3"/>
  <c r="D152" i="3"/>
  <c r="E142" i="3"/>
  <c r="D142" i="3"/>
  <c r="F82" i="17" l="1"/>
  <c r="F78" i="17"/>
  <c r="F74" i="17"/>
  <c r="F70" i="17"/>
  <c r="F75" i="17"/>
  <c r="F81" i="17"/>
  <c r="F77" i="17"/>
  <c r="F73" i="17"/>
  <c r="F69" i="17"/>
  <c r="F79" i="17"/>
  <c r="F71" i="17"/>
  <c r="F80" i="17"/>
  <c r="F76" i="17"/>
  <c r="F72" i="17"/>
  <c r="F123" i="19"/>
  <c r="F119" i="19"/>
  <c r="F115" i="19"/>
  <c r="F111" i="19"/>
  <c r="F116" i="19"/>
  <c r="F122" i="19"/>
  <c r="F118" i="19"/>
  <c r="F114" i="19"/>
  <c r="F110" i="19"/>
  <c r="F120" i="19"/>
  <c r="F121" i="19"/>
  <c r="F117" i="19"/>
  <c r="F113" i="19"/>
  <c r="F112" i="19"/>
  <c r="F81" i="19"/>
  <c r="F77" i="19"/>
  <c r="F73" i="19"/>
  <c r="F69" i="19"/>
  <c r="F78" i="19"/>
  <c r="F80" i="19"/>
  <c r="F76" i="19"/>
  <c r="F72" i="19"/>
  <c r="F82" i="19"/>
  <c r="F70" i="19"/>
  <c r="F79" i="19"/>
  <c r="F75" i="19"/>
  <c r="F71" i="19"/>
  <c r="F74" i="19"/>
  <c r="F120" i="17"/>
  <c r="F116" i="17"/>
  <c r="F112" i="17"/>
  <c r="F113" i="17"/>
  <c r="F123" i="17"/>
  <c r="F119" i="17"/>
  <c r="F115" i="17"/>
  <c r="F111" i="17"/>
  <c r="F117" i="17"/>
  <c r="F122" i="17"/>
  <c r="F118" i="17"/>
  <c r="F114" i="17"/>
  <c r="F110" i="17"/>
  <c r="F121" i="17"/>
  <c r="F163" i="19"/>
  <c r="F159" i="19"/>
  <c r="F155" i="19"/>
  <c r="F151" i="19"/>
  <c r="F156" i="19"/>
  <c r="F162" i="19"/>
  <c r="F158" i="19"/>
  <c r="F154" i="19"/>
  <c r="F164" i="19"/>
  <c r="F152" i="19"/>
  <c r="F161" i="19"/>
  <c r="F157" i="19"/>
  <c r="F153" i="19"/>
  <c r="F160" i="19"/>
  <c r="F164" i="17"/>
  <c r="F160" i="17"/>
  <c r="F156" i="17"/>
  <c r="F152" i="17"/>
  <c r="F163" i="17"/>
  <c r="F159" i="17"/>
  <c r="F155" i="17"/>
  <c r="F151" i="17"/>
  <c r="F161" i="17"/>
  <c r="F153" i="17"/>
  <c r="F162" i="17"/>
  <c r="F158" i="17"/>
  <c r="F154" i="17"/>
  <c r="F157" i="17"/>
  <c r="E154" i="3"/>
  <c r="E174" i="3"/>
  <c r="E194" i="3"/>
  <c r="E144" i="3"/>
  <c r="E164" i="3"/>
  <c r="E184" i="3"/>
  <c r="D144" i="3"/>
  <c r="D154" i="3"/>
  <c r="D164" i="3"/>
  <c r="D174" i="3"/>
  <c r="D184" i="3"/>
  <c r="D194" i="3"/>
  <c r="F24" i="26"/>
  <c r="F190" i="26"/>
  <c r="F69" i="26"/>
  <c r="F25" i="26"/>
  <c r="F205" i="26"/>
  <c r="F10" i="26"/>
  <c r="F54" i="26"/>
  <c r="F100" i="26"/>
  <c r="F84" i="26"/>
  <c r="F189" i="26"/>
  <c r="F9" i="26"/>
  <c r="F115" i="26"/>
  <c r="F130" i="26"/>
  <c r="F70" i="26"/>
  <c r="F39" i="26"/>
  <c r="F159" i="26"/>
  <c r="F174" i="26"/>
  <c r="F160" i="26"/>
  <c r="F129" i="26"/>
  <c r="F204" i="26"/>
  <c r="F175" i="26"/>
  <c r="F99" i="26"/>
  <c r="F144" i="26"/>
  <c r="F114" i="26"/>
  <c r="F55" i="26"/>
  <c r="F85" i="26"/>
  <c r="F40" i="26"/>
  <c r="F145" i="26"/>
  <c r="F220" i="26" l="1"/>
  <c r="F219" i="26"/>
  <c r="E81" i="19"/>
  <c r="E77" i="19"/>
  <c r="E73" i="19"/>
  <c r="E69" i="19"/>
  <c r="E78" i="19"/>
  <c r="E80" i="19"/>
  <c r="E76" i="19"/>
  <c r="E72" i="19"/>
  <c r="E79" i="19"/>
  <c r="E75" i="19"/>
  <c r="E82" i="19"/>
  <c r="E71" i="19"/>
  <c r="E74" i="19"/>
  <c r="E70" i="19"/>
  <c r="E120" i="17"/>
  <c r="E116" i="17"/>
  <c r="E112" i="17"/>
  <c r="E121" i="17"/>
  <c r="E113" i="17"/>
  <c r="E123" i="17"/>
  <c r="E119" i="17"/>
  <c r="E115" i="17"/>
  <c r="E111" i="17"/>
  <c r="E118" i="17"/>
  <c r="E110" i="17"/>
  <c r="E122" i="17"/>
  <c r="E114" i="17"/>
  <c r="E117" i="17"/>
  <c r="E82" i="17"/>
  <c r="E78" i="17"/>
  <c r="E74" i="17"/>
  <c r="E70" i="17"/>
  <c r="E79" i="17"/>
  <c r="E71" i="17"/>
  <c r="E81" i="17"/>
  <c r="E77" i="17"/>
  <c r="E73" i="17"/>
  <c r="E69" i="17"/>
  <c r="E76" i="17"/>
  <c r="E75" i="17"/>
  <c r="E80" i="17"/>
  <c r="E72" i="17"/>
  <c r="E123" i="19"/>
  <c r="E119" i="19"/>
  <c r="E115" i="19"/>
  <c r="E111" i="19"/>
  <c r="E122" i="19"/>
  <c r="E118" i="19"/>
  <c r="E114" i="19"/>
  <c r="E110" i="19"/>
  <c r="E121" i="19"/>
  <c r="E113" i="19"/>
  <c r="E116" i="19"/>
  <c r="E117" i="19"/>
  <c r="E120" i="19"/>
  <c r="E112" i="19"/>
  <c r="E164" i="17"/>
  <c r="E160" i="17"/>
  <c r="E156" i="17"/>
  <c r="E152" i="17"/>
  <c r="E157" i="17"/>
  <c r="E163" i="17"/>
  <c r="E159" i="17"/>
  <c r="E155" i="17"/>
  <c r="E151" i="17"/>
  <c r="E158" i="17"/>
  <c r="E161" i="17"/>
  <c r="E162" i="17"/>
  <c r="E154" i="17"/>
  <c r="E153" i="17"/>
  <c r="E163" i="19"/>
  <c r="E159" i="19"/>
  <c r="E155" i="19"/>
  <c r="E151" i="19"/>
  <c r="E164" i="19"/>
  <c r="E152" i="19"/>
  <c r="E162" i="19"/>
  <c r="E158" i="19"/>
  <c r="E154" i="19"/>
  <c r="E161" i="19"/>
  <c r="E157" i="19"/>
  <c r="E153" i="19"/>
  <c r="E160" i="19"/>
  <c r="E156" i="19"/>
  <c r="D79" i="19"/>
  <c r="D75" i="19"/>
  <c r="D71" i="19"/>
  <c r="D77" i="19"/>
  <c r="D73" i="19"/>
  <c r="D80" i="19"/>
  <c r="D82" i="19"/>
  <c r="D78" i="19"/>
  <c r="D74" i="19"/>
  <c r="D70" i="19"/>
  <c r="D81" i="19"/>
  <c r="D69" i="19"/>
  <c r="D76" i="19"/>
  <c r="D72" i="19"/>
  <c r="D161" i="19"/>
  <c r="D157" i="19"/>
  <c r="D153" i="19"/>
  <c r="D163" i="19"/>
  <c r="D155" i="19"/>
  <c r="D164" i="19"/>
  <c r="D160" i="19"/>
  <c r="D156" i="19"/>
  <c r="D152" i="19"/>
  <c r="D159" i="19"/>
  <c r="D151" i="19"/>
  <c r="D162" i="19"/>
  <c r="D158" i="19"/>
  <c r="D154" i="19"/>
  <c r="D122" i="17"/>
  <c r="D118" i="17"/>
  <c r="D114" i="17"/>
  <c r="D110" i="17"/>
  <c r="D121" i="17"/>
  <c r="D113" i="17"/>
  <c r="D120" i="17"/>
  <c r="D116" i="17"/>
  <c r="D117" i="17"/>
  <c r="D112" i="17"/>
  <c r="D115" i="17"/>
  <c r="D111" i="17"/>
  <c r="D123" i="17"/>
  <c r="D119" i="17"/>
  <c r="D162" i="17"/>
  <c r="D158" i="17"/>
  <c r="D154" i="17"/>
  <c r="D164" i="17"/>
  <c r="D161" i="17"/>
  <c r="D157" i="17"/>
  <c r="D153" i="17"/>
  <c r="D160" i="17"/>
  <c r="D156" i="17"/>
  <c r="D152" i="17"/>
  <c r="D155" i="17"/>
  <c r="D151" i="17"/>
  <c r="D163" i="17"/>
  <c r="D159" i="17"/>
  <c r="D121" i="19"/>
  <c r="D117" i="19"/>
  <c r="D113" i="19"/>
  <c r="D119" i="19"/>
  <c r="D111" i="19"/>
  <c r="D118" i="19"/>
  <c r="D120" i="19"/>
  <c r="D116" i="19"/>
  <c r="D112" i="19"/>
  <c r="D123" i="19"/>
  <c r="D115" i="19"/>
  <c r="D122" i="19"/>
  <c r="D114" i="19"/>
  <c r="D110" i="19"/>
  <c r="D80" i="17"/>
  <c r="D76" i="17"/>
  <c r="D72" i="17"/>
  <c r="D75" i="17"/>
  <c r="D71" i="17"/>
  <c r="D82" i="17"/>
  <c r="D78" i="17"/>
  <c r="D74" i="17"/>
  <c r="D70" i="17"/>
  <c r="D79" i="17"/>
  <c r="D77" i="17"/>
  <c r="D81" i="17"/>
  <c r="D73" i="17"/>
  <c r="D69" i="17"/>
  <c r="F193" i="3"/>
  <c r="E193" i="3" s="1"/>
  <c r="D193" i="3" s="1"/>
  <c r="F153" i="3"/>
  <c r="E153" i="3" s="1"/>
  <c r="D153" i="3" s="1"/>
  <c r="F163" i="3"/>
  <c r="E163" i="3" s="1"/>
  <c r="D163" i="3" s="1"/>
  <c r="F173" i="3"/>
  <c r="E173" i="3" s="1"/>
  <c r="D173" i="3" s="1"/>
  <c r="F183" i="3"/>
  <c r="E183" i="3" s="1"/>
  <c r="D183" i="3" s="1"/>
  <c r="E143" i="3"/>
  <c r="D143" i="3" s="1"/>
  <c r="G20" i="21"/>
  <c r="F20" i="21"/>
  <c r="E20" i="21"/>
  <c r="D20" i="21"/>
  <c r="C20" i="21"/>
  <c r="G19" i="21"/>
  <c r="F20" i="12" s="1"/>
  <c r="F19" i="21"/>
  <c r="E48" i="7" s="1"/>
  <c r="D19" i="21"/>
  <c r="C19" i="21"/>
  <c r="G18" i="21"/>
  <c r="F19" i="12" s="1"/>
  <c r="F18" i="21"/>
  <c r="E47" i="7" s="1"/>
  <c r="D18" i="21"/>
  <c r="C18" i="21"/>
  <c r="G17" i="21"/>
  <c r="F18" i="12" s="1"/>
  <c r="F17" i="21"/>
  <c r="E46" i="7" s="1"/>
  <c r="D17" i="21"/>
  <c r="C17" i="21"/>
  <c r="G16" i="21"/>
  <c r="F17" i="12" s="1"/>
  <c r="F16" i="21"/>
  <c r="E45" i="7" s="1"/>
  <c r="D16" i="21"/>
  <c r="C16" i="21"/>
  <c r="G15" i="21"/>
  <c r="F16" i="12" s="1"/>
  <c r="F15" i="21"/>
  <c r="E44" i="7" s="1"/>
  <c r="F44" i="7" s="1"/>
  <c r="D15" i="21"/>
  <c r="C15" i="21"/>
  <c r="G14" i="21"/>
  <c r="F15" i="12" s="1"/>
  <c r="F14" i="21"/>
  <c r="E43" i="7" s="1"/>
  <c r="D14" i="21"/>
  <c r="C14" i="21"/>
  <c r="G13" i="21"/>
  <c r="F14" i="12" s="1"/>
  <c r="F13" i="21"/>
  <c r="E42" i="7" s="1"/>
  <c r="D13" i="21"/>
  <c r="C13" i="21"/>
  <c r="G12" i="21"/>
  <c r="F13" i="12" s="1"/>
  <c r="F12" i="21"/>
  <c r="E41" i="7" s="1"/>
  <c r="D12" i="21"/>
  <c r="C12" i="21"/>
  <c r="G11" i="21"/>
  <c r="F12" i="12" s="1"/>
  <c r="F11" i="21"/>
  <c r="E40" i="7" s="1"/>
  <c r="D11" i="21"/>
  <c r="C11" i="21"/>
  <c r="G10" i="21"/>
  <c r="F11" i="12" s="1"/>
  <c r="F10" i="21"/>
  <c r="E39" i="7" s="1"/>
  <c r="D10" i="21"/>
  <c r="C10" i="21"/>
  <c r="G9" i="21"/>
  <c r="F10" i="12" s="1"/>
  <c r="F9" i="21"/>
  <c r="E38" i="7" s="1"/>
  <c r="D9" i="21"/>
  <c r="C9" i="21"/>
  <c r="G8" i="21"/>
  <c r="F9" i="12" s="1"/>
  <c r="F8" i="21"/>
  <c r="E37" i="7" s="1"/>
  <c r="D8" i="21"/>
  <c r="C8" i="21"/>
  <c r="G7" i="21"/>
  <c r="F8" i="12" s="1"/>
  <c r="F7" i="21"/>
  <c r="E36" i="7" s="1"/>
  <c r="D7" i="21"/>
  <c r="C7" i="21"/>
  <c r="G6" i="21"/>
  <c r="F7" i="12" s="1"/>
  <c r="F6" i="21"/>
  <c r="E35" i="7" s="1"/>
  <c r="D6" i="21"/>
  <c r="C6" i="21"/>
  <c r="E190" i="26"/>
  <c r="D129" i="26"/>
  <c r="F28" i="25"/>
  <c r="D144" i="26"/>
  <c r="F163" i="25"/>
  <c r="D25" i="26"/>
  <c r="E100" i="26"/>
  <c r="F13" i="25"/>
  <c r="D189" i="26"/>
  <c r="D54" i="26"/>
  <c r="E175" i="26"/>
  <c r="D9" i="26"/>
  <c r="D10" i="26"/>
  <c r="F133" i="25"/>
  <c r="F148" i="25"/>
  <c r="D85" i="26"/>
  <c r="D24" i="26"/>
  <c r="D39" i="26"/>
  <c r="E10" i="26"/>
  <c r="E159" i="26"/>
  <c r="F193" i="25"/>
  <c r="E145" i="26"/>
  <c r="D100" i="26"/>
  <c r="E54" i="26"/>
  <c r="F178" i="25"/>
  <c r="E85" i="26"/>
  <c r="E55" i="26"/>
  <c r="E144" i="26"/>
  <c r="E189" i="26"/>
  <c r="D99" i="26"/>
  <c r="E9" i="26"/>
  <c r="E205" i="26"/>
  <c r="D70" i="26"/>
  <c r="F73" i="25"/>
  <c r="D130" i="26"/>
  <c r="F88" i="25"/>
  <c r="D40" i="26"/>
  <c r="D145" i="26"/>
  <c r="E40" i="26"/>
  <c r="E160" i="26"/>
  <c r="E130" i="26"/>
  <c r="D190" i="26"/>
  <c r="F103" i="25"/>
  <c r="D84" i="26"/>
  <c r="F58" i="25"/>
  <c r="E84" i="26"/>
  <c r="D205" i="26"/>
  <c r="E99" i="26"/>
  <c r="D174" i="26"/>
  <c r="E24" i="26"/>
  <c r="E204" i="26"/>
  <c r="E70" i="26"/>
  <c r="E114" i="26"/>
  <c r="E39" i="26"/>
  <c r="F208" i="25"/>
  <c r="D160" i="26"/>
  <c r="E174" i="26"/>
  <c r="D175" i="26"/>
  <c r="F118" i="25"/>
  <c r="D69" i="26"/>
  <c r="D114" i="26"/>
  <c r="E115" i="26"/>
  <c r="E25" i="26"/>
  <c r="D55" i="26"/>
  <c r="E129" i="26"/>
  <c r="D115" i="26"/>
  <c r="D159" i="26"/>
  <c r="E69" i="26"/>
  <c r="F43" i="25"/>
  <c r="D204" i="26"/>
  <c r="E219" i="26" l="1"/>
  <c r="E220" i="26"/>
  <c r="F223" i="25"/>
  <c r="D220" i="26"/>
  <c r="D219" i="26"/>
  <c r="D21" i="21"/>
  <c r="D24" i="21" s="1"/>
  <c r="I20" i="21"/>
  <c r="G21" i="21"/>
  <c r="G24" i="21" s="1"/>
  <c r="F38" i="7"/>
  <c r="F39" i="7"/>
  <c r="F43" i="7"/>
  <c r="F45" i="7"/>
  <c r="F46" i="7"/>
  <c r="F40" i="7"/>
  <c r="F47" i="7"/>
  <c r="C21" i="21"/>
  <c r="C24" i="21" s="1"/>
  <c r="F21" i="21"/>
  <c r="E49" i="7"/>
  <c r="F49" i="7" s="1"/>
  <c r="F35" i="7"/>
  <c r="F41" i="7"/>
  <c r="F48" i="7"/>
  <c r="F36" i="7"/>
  <c r="F37" i="7"/>
  <c r="F42" i="7"/>
  <c r="H21" i="20"/>
  <c r="G21" i="20"/>
  <c r="G23" i="20" s="1"/>
  <c r="F21" i="20"/>
  <c r="D21" i="20"/>
  <c r="C21" i="20"/>
  <c r="I20" i="20"/>
  <c r="I19" i="20"/>
  <c r="E19" i="21"/>
  <c r="I19" i="21" s="1"/>
  <c r="E18" i="21"/>
  <c r="I18" i="21" s="1"/>
  <c r="E17" i="21"/>
  <c r="I17" i="21" s="1"/>
  <c r="I16" i="20"/>
  <c r="E16" i="21"/>
  <c r="I16" i="21" s="1"/>
  <c r="I15" i="20"/>
  <c r="E15" i="21"/>
  <c r="I15" i="21" s="1"/>
  <c r="E14" i="21"/>
  <c r="I14" i="21" s="1"/>
  <c r="E13" i="21"/>
  <c r="I13" i="21" s="1"/>
  <c r="I12" i="20"/>
  <c r="E12" i="21"/>
  <c r="I12" i="21" s="1"/>
  <c r="I11" i="20"/>
  <c r="E11" i="21"/>
  <c r="I11" i="21" s="1"/>
  <c r="E10" i="21"/>
  <c r="I10" i="21" s="1"/>
  <c r="E9" i="21"/>
  <c r="I9" i="21" s="1"/>
  <c r="I8" i="20"/>
  <c r="E8" i="21"/>
  <c r="I8" i="21" s="1"/>
  <c r="I7" i="20"/>
  <c r="E7" i="21"/>
  <c r="E6" i="21"/>
  <c r="I6" i="21" s="1"/>
  <c r="G20" i="15"/>
  <c r="F20" i="15"/>
  <c r="E20" i="15"/>
  <c r="D20" i="15"/>
  <c r="C20" i="15"/>
  <c r="G19" i="15"/>
  <c r="E20" i="12" s="1"/>
  <c r="F19" i="15"/>
  <c r="D19" i="15"/>
  <c r="C19" i="15"/>
  <c r="G18" i="15"/>
  <c r="E19" i="12" s="1"/>
  <c r="F18" i="15"/>
  <c r="D18" i="15"/>
  <c r="C18" i="15"/>
  <c r="G17" i="15"/>
  <c r="E18" i="12" s="1"/>
  <c r="F17" i="15"/>
  <c r="D17" i="15"/>
  <c r="C17" i="15"/>
  <c r="G16" i="15"/>
  <c r="E17" i="12" s="1"/>
  <c r="F16" i="15"/>
  <c r="D16" i="15"/>
  <c r="C16" i="15"/>
  <c r="G15" i="15"/>
  <c r="E16" i="12" s="1"/>
  <c r="F15" i="15"/>
  <c r="D15" i="15"/>
  <c r="C15" i="15"/>
  <c r="G14" i="15"/>
  <c r="E15" i="12" s="1"/>
  <c r="F14" i="15"/>
  <c r="D14" i="15"/>
  <c r="C14" i="15"/>
  <c r="G13" i="15"/>
  <c r="E14" i="12" s="1"/>
  <c r="F13" i="15"/>
  <c r="D13" i="15"/>
  <c r="C13" i="15"/>
  <c r="G12" i="15"/>
  <c r="E13" i="12" s="1"/>
  <c r="F12" i="15"/>
  <c r="D12" i="15"/>
  <c r="C12" i="15"/>
  <c r="G11" i="15"/>
  <c r="E12" i="12" s="1"/>
  <c r="F11" i="15"/>
  <c r="D11" i="15"/>
  <c r="C11" i="15"/>
  <c r="G10" i="15"/>
  <c r="E11" i="12" s="1"/>
  <c r="F10" i="15"/>
  <c r="D10" i="15"/>
  <c r="C10" i="15"/>
  <c r="G9" i="15"/>
  <c r="E10" i="12" s="1"/>
  <c r="F9" i="15"/>
  <c r="D9" i="15"/>
  <c r="C9" i="15"/>
  <c r="G8" i="15"/>
  <c r="E9" i="12" s="1"/>
  <c r="F8" i="15"/>
  <c r="D8" i="15"/>
  <c r="C8" i="15"/>
  <c r="G7" i="15"/>
  <c r="E8" i="12" s="1"/>
  <c r="F7" i="15"/>
  <c r="D7" i="15"/>
  <c r="C7" i="15"/>
  <c r="G6" i="15"/>
  <c r="E7" i="12" s="1"/>
  <c r="F6" i="15"/>
  <c r="D6" i="15"/>
  <c r="C6" i="15"/>
  <c r="H21" i="14"/>
  <c r="E193" i="25"/>
  <c r="E13" i="25"/>
  <c r="E28" i="25"/>
  <c r="E88" i="25"/>
  <c r="E118" i="25"/>
  <c r="E133" i="25"/>
  <c r="E73" i="25"/>
  <c r="E103" i="25"/>
  <c r="E148" i="25"/>
  <c r="E43" i="25"/>
  <c r="E208" i="25"/>
  <c r="E163" i="25"/>
  <c r="E178" i="25"/>
  <c r="E58" i="25"/>
  <c r="E223" i="25" l="1"/>
  <c r="D23" i="21"/>
  <c r="F21" i="15"/>
  <c r="F24" i="15" s="1"/>
  <c r="C21" i="15"/>
  <c r="G23" i="21"/>
  <c r="G21" i="15"/>
  <c r="G23" i="15" s="1"/>
  <c r="F23" i="21"/>
  <c r="F23" i="20"/>
  <c r="D23" i="20" s="1"/>
  <c r="C23" i="20"/>
  <c r="C23" i="21"/>
  <c r="E21" i="21"/>
  <c r="I9" i="20"/>
  <c r="I13" i="20"/>
  <c r="I17" i="20"/>
  <c r="H19" i="21"/>
  <c r="K19" i="21" s="1"/>
  <c r="H17" i="21"/>
  <c r="K17" i="21" s="1"/>
  <c r="H15" i="21"/>
  <c r="K15" i="21" s="1"/>
  <c r="H13" i="21"/>
  <c r="K13" i="21" s="1"/>
  <c r="H11" i="21"/>
  <c r="K11" i="21" s="1"/>
  <c r="H9" i="21"/>
  <c r="K9" i="21" s="1"/>
  <c r="H7" i="21"/>
  <c r="H18" i="21"/>
  <c r="K18" i="21" s="1"/>
  <c r="H16" i="21"/>
  <c r="K16" i="21" s="1"/>
  <c r="H14" i="21"/>
  <c r="K14" i="21" s="1"/>
  <c r="H12" i="21"/>
  <c r="K12" i="21" s="1"/>
  <c r="H10" i="21"/>
  <c r="K10" i="21" s="1"/>
  <c r="H8" i="21"/>
  <c r="K8" i="21" s="1"/>
  <c r="H6" i="21"/>
  <c r="I6" i="20"/>
  <c r="I10" i="20"/>
  <c r="I14" i="20"/>
  <c r="I18" i="20"/>
  <c r="I7" i="21"/>
  <c r="D21" i="15"/>
  <c r="D23" i="15" s="1"/>
  <c r="E50" i="7"/>
  <c r="F24" i="21"/>
  <c r="I20" i="15"/>
  <c r="G21" i="14"/>
  <c r="G23" i="14" s="1"/>
  <c r="F21" i="14"/>
  <c r="F23" i="14" s="1"/>
  <c r="I20" i="14"/>
  <c r="E19" i="15"/>
  <c r="I19" i="15" s="1"/>
  <c r="I18" i="14"/>
  <c r="E18" i="15"/>
  <c r="I18" i="15" s="1"/>
  <c r="I17" i="14"/>
  <c r="E17" i="15"/>
  <c r="I17" i="15" s="1"/>
  <c r="E16" i="15"/>
  <c r="I16" i="15" s="1"/>
  <c r="E15" i="15"/>
  <c r="I15" i="15" s="1"/>
  <c r="I14" i="14"/>
  <c r="E14" i="15"/>
  <c r="I14" i="15" s="1"/>
  <c r="I13" i="14"/>
  <c r="E13" i="15"/>
  <c r="I13" i="15" s="1"/>
  <c r="E12" i="15"/>
  <c r="I12" i="15" s="1"/>
  <c r="E11" i="15"/>
  <c r="I11" i="15" s="1"/>
  <c r="I10" i="14"/>
  <c r="E10" i="15"/>
  <c r="I10" i="15" s="1"/>
  <c r="I9" i="14"/>
  <c r="E9" i="15"/>
  <c r="I9" i="15" s="1"/>
  <c r="E8" i="15"/>
  <c r="I8" i="15" s="1"/>
  <c r="E7" i="15"/>
  <c r="I7" i="15" s="1"/>
  <c r="I6" i="14"/>
  <c r="E6" i="15"/>
  <c r="C23" i="15" l="1"/>
  <c r="C24" i="15"/>
  <c r="F23" i="15"/>
  <c r="G24" i="15"/>
  <c r="K7" i="21"/>
  <c r="E21" i="15"/>
  <c r="E24" i="15" s="1"/>
  <c r="H21" i="21"/>
  <c r="K6" i="21"/>
  <c r="E24" i="21"/>
  <c r="E23" i="21"/>
  <c r="D21" i="14"/>
  <c r="D24" i="15"/>
  <c r="I7" i="14"/>
  <c r="I11" i="14"/>
  <c r="I15" i="14"/>
  <c r="I19" i="14"/>
  <c r="I6" i="15"/>
  <c r="H19" i="15"/>
  <c r="K19" i="15" s="1"/>
  <c r="H17" i="15"/>
  <c r="K17" i="15" s="1"/>
  <c r="H15" i="15"/>
  <c r="K15" i="15" s="1"/>
  <c r="H13" i="15"/>
  <c r="K13" i="15" s="1"/>
  <c r="H11" i="15"/>
  <c r="K11" i="15" s="1"/>
  <c r="H9" i="15"/>
  <c r="K9" i="15" s="1"/>
  <c r="H7" i="15"/>
  <c r="K7" i="15" s="1"/>
  <c r="H18" i="15"/>
  <c r="K18" i="15" s="1"/>
  <c r="H16" i="15"/>
  <c r="K16" i="15" s="1"/>
  <c r="H14" i="15"/>
  <c r="K14" i="15" s="1"/>
  <c r="H12" i="15"/>
  <c r="K12" i="15" s="1"/>
  <c r="H10" i="15"/>
  <c r="K10" i="15" s="1"/>
  <c r="H8" i="15"/>
  <c r="K8" i="15" s="1"/>
  <c r="H6" i="15"/>
  <c r="I8" i="14"/>
  <c r="I12" i="14"/>
  <c r="I16" i="14"/>
  <c r="G20" i="4"/>
  <c r="F20" i="4"/>
  <c r="E20" i="4"/>
  <c r="D20" i="4"/>
  <c r="C20" i="4"/>
  <c r="G19" i="4"/>
  <c r="D20" i="12" s="1"/>
  <c r="F19" i="4"/>
  <c r="D19" i="4"/>
  <c r="C19" i="4"/>
  <c r="G18" i="4"/>
  <c r="D19" i="12" s="1"/>
  <c r="F18" i="4"/>
  <c r="E18" i="4"/>
  <c r="D18" i="4"/>
  <c r="C18" i="4"/>
  <c r="G17" i="4"/>
  <c r="D18" i="12" s="1"/>
  <c r="F17" i="4"/>
  <c r="D17" i="4"/>
  <c r="C17" i="4"/>
  <c r="G16" i="4"/>
  <c r="D17" i="12" s="1"/>
  <c r="F16" i="4"/>
  <c r="D16" i="4"/>
  <c r="C16" i="4"/>
  <c r="G15" i="4"/>
  <c r="D16" i="12" s="1"/>
  <c r="F15" i="4"/>
  <c r="D15" i="4"/>
  <c r="C15" i="4"/>
  <c r="G14" i="4"/>
  <c r="D15" i="12" s="1"/>
  <c r="F14" i="4"/>
  <c r="E14" i="4"/>
  <c r="D14" i="4"/>
  <c r="C14" i="4"/>
  <c r="G13" i="4"/>
  <c r="D14" i="12" s="1"/>
  <c r="F13" i="4"/>
  <c r="D13" i="4"/>
  <c r="C13" i="4"/>
  <c r="G12" i="4"/>
  <c r="D13" i="12" s="1"/>
  <c r="F12" i="4"/>
  <c r="D12" i="4"/>
  <c r="C12" i="4"/>
  <c r="G11" i="4"/>
  <c r="D12" i="12" s="1"/>
  <c r="F11" i="4"/>
  <c r="D11" i="4"/>
  <c r="C11" i="4"/>
  <c r="G10" i="4"/>
  <c r="D11" i="12" s="1"/>
  <c r="F10" i="4"/>
  <c r="E10" i="4"/>
  <c r="D10" i="4"/>
  <c r="C10" i="4"/>
  <c r="G9" i="4"/>
  <c r="D10" i="12" s="1"/>
  <c r="F9" i="4"/>
  <c r="E9" i="4"/>
  <c r="D9" i="4"/>
  <c r="C9" i="4"/>
  <c r="G8" i="4"/>
  <c r="D9" i="12" s="1"/>
  <c r="F8" i="4"/>
  <c r="D8" i="4"/>
  <c r="C8" i="4"/>
  <c r="G7" i="4"/>
  <c r="D8" i="12" s="1"/>
  <c r="F7" i="4"/>
  <c r="D7" i="4"/>
  <c r="C7" i="4"/>
  <c r="G6" i="4"/>
  <c r="D7" i="12" s="1"/>
  <c r="F6" i="4"/>
  <c r="E6" i="4"/>
  <c r="D6" i="4"/>
  <c r="C6" i="4"/>
  <c r="H21" i="1"/>
  <c r="G21" i="1"/>
  <c r="F21" i="1" s="1"/>
  <c r="F23" i="1" s="1"/>
  <c r="C21" i="1"/>
  <c r="C23" i="1" s="1"/>
  <c r="I20" i="1"/>
  <c r="E19" i="4"/>
  <c r="I18" i="1"/>
  <c r="I17" i="1"/>
  <c r="E17" i="4"/>
  <c r="E16" i="4"/>
  <c r="E15" i="4"/>
  <c r="I14" i="1"/>
  <c r="I13" i="1"/>
  <c r="E13" i="4"/>
  <c r="I12" i="1"/>
  <c r="I11" i="1"/>
  <c r="I10" i="1"/>
  <c r="I9" i="1"/>
  <c r="E8" i="4"/>
  <c r="E7" i="4"/>
  <c r="I6" i="1"/>
  <c r="D21" i="1"/>
  <c r="D23" i="1" s="1"/>
  <c r="F43" i="12"/>
  <c r="E43" i="12" s="1"/>
  <c r="D43" i="12" s="1"/>
  <c r="D133" i="25"/>
  <c r="D103" i="25"/>
  <c r="D178" i="25"/>
  <c r="D208" i="25"/>
  <c r="D13" i="25"/>
  <c r="D88" i="25"/>
  <c r="D58" i="25"/>
  <c r="D118" i="25"/>
  <c r="D73" i="25"/>
  <c r="D163" i="25"/>
  <c r="D28" i="25"/>
  <c r="D43" i="25"/>
  <c r="D148" i="25"/>
  <c r="D193" i="25"/>
  <c r="E23" i="15" l="1"/>
  <c r="I13" i="4"/>
  <c r="H17" i="4"/>
  <c r="C21" i="4"/>
  <c r="G21" i="4"/>
  <c r="G23" i="4" s="1"/>
  <c r="I17" i="4"/>
  <c r="G23" i="1"/>
  <c r="I9" i="4"/>
  <c r="H18" i="4"/>
  <c r="H19" i="4"/>
  <c r="H15" i="4"/>
  <c r="H13" i="4"/>
  <c r="K6" i="15"/>
  <c r="H11" i="4"/>
  <c r="C21" i="14"/>
  <c r="C23" i="14" s="1"/>
  <c r="D23" i="14"/>
  <c r="H21" i="15"/>
  <c r="F21" i="4"/>
  <c r="F24" i="4" s="1"/>
  <c r="H7" i="4"/>
  <c r="E12" i="4"/>
  <c r="I12" i="4" s="1"/>
  <c r="I7" i="1"/>
  <c r="I15" i="1"/>
  <c r="I19" i="1"/>
  <c r="H10" i="4"/>
  <c r="I8" i="1"/>
  <c r="I16" i="1"/>
  <c r="D21" i="4"/>
  <c r="D24" i="4" s="1"/>
  <c r="H6" i="4"/>
  <c r="I8" i="4"/>
  <c r="H8" i="4"/>
  <c r="I10" i="4"/>
  <c r="E11" i="4"/>
  <c r="I11" i="4" s="1"/>
  <c r="I14" i="4"/>
  <c r="I18" i="4"/>
  <c r="H9" i="4"/>
  <c r="I7" i="4"/>
  <c r="H12" i="4"/>
  <c r="H14" i="4"/>
  <c r="I16" i="4"/>
  <c r="H16" i="4"/>
  <c r="I6" i="4"/>
  <c r="I20" i="4"/>
  <c r="I15" i="4"/>
  <c r="I19" i="4"/>
  <c r="F22" i="12"/>
  <c r="E22" i="12"/>
  <c r="C23" i="4" l="1"/>
  <c r="C24" i="4"/>
  <c r="F23" i="4"/>
  <c r="K6" i="4"/>
  <c r="K11" i="4"/>
  <c r="K13" i="4"/>
  <c r="K19" i="4"/>
  <c r="K14" i="4"/>
  <c r="K18" i="4"/>
  <c r="K15" i="4"/>
  <c r="D22" i="12"/>
  <c r="G24" i="4"/>
  <c r="K17" i="4"/>
  <c r="K10" i="4"/>
  <c r="D23" i="4"/>
  <c r="K9" i="4"/>
  <c r="K16" i="4"/>
  <c r="E21" i="4"/>
  <c r="E23" i="4" s="1"/>
  <c r="K8" i="4"/>
  <c r="K7" i="4"/>
  <c r="K12" i="4"/>
  <c r="H21" i="4"/>
  <c r="E24" i="4" l="1"/>
  <c r="D28" i="11"/>
  <c r="D25" i="38" s="1"/>
  <c r="F22" i="11"/>
  <c r="E22" i="11" s="1"/>
  <c r="D22" i="11" s="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D222" i="26"/>
  <c r="F27" i="25"/>
  <c r="F57" i="25"/>
  <c r="F132" i="25"/>
  <c r="F102" i="25"/>
  <c r="F12" i="25"/>
  <c r="F162" i="25"/>
  <c r="F177" i="25"/>
  <c r="F192" i="25"/>
  <c r="F117" i="25"/>
  <c r="F147" i="25"/>
  <c r="F207" i="25"/>
  <c r="F42" i="25"/>
  <c r="F87" i="25"/>
  <c r="F72" i="25"/>
  <c r="F222" i="25" l="1"/>
  <c r="E7" i="11"/>
  <c r="E11" i="11"/>
  <c r="E15" i="11"/>
  <c r="E19" i="11"/>
  <c r="E10" i="11"/>
  <c r="E14" i="11"/>
  <c r="E18" i="11"/>
  <c r="E9" i="11"/>
  <c r="E13" i="11"/>
  <c r="E17" i="11"/>
  <c r="E8" i="11"/>
  <c r="E12" i="11"/>
  <c r="E16" i="11"/>
  <c r="E20" i="11"/>
  <c r="F21" i="11"/>
  <c r="E72" i="25"/>
  <c r="E12" i="25"/>
  <c r="E27" i="25"/>
  <c r="E177" i="25"/>
  <c r="E102" i="25"/>
  <c r="E87" i="25"/>
  <c r="E57" i="25"/>
  <c r="E147" i="25"/>
  <c r="E192" i="25"/>
  <c r="E42" i="25"/>
  <c r="E207" i="25"/>
  <c r="E162" i="25"/>
  <c r="E117" i="25"/>
  <c r="E132" i="25"/>
  <c r="E222" i="25" l="1"/>
  <c r="D18" i="11"/>
  <c r="D16" i="11"/>
  <c r="D10" i="11"/>
  <c r="D7" i="11"/>
  <c r="D8" i="11"/>
  <c r="D15" i="11"/>
  <c r="D12" i="11"/>
  <c r="D9" i="11"/>
  <c r="D19" i="11"/>
  <c r="D13" i="11"/>
  <c r="D20" i="11"/>
  <c r="D17" i="11"/>
  <c r="D14" i="11"/>
  <c r="D11" i="11"/>
  <c r="E21" i="11"/>
  <c r="F22" i="10"/>
  <c r="E22" i="10" s="1"/>
  <c r="D22" i="10"/>
  <c r="D132" i="25"/>
  <c r="D117" i="25"/>
  <c r="D102" i="25"/>
  <c r="D207" i="25"/>
  <c r="D42" i="25"/>
  <c r="D177" i="25"/>
  <c r="D72" i="25"/>
  <c r="D87" i="25"/>
  <c r="D162" i="25"/>
  <c r="D27" i="25"/>
  <c r="D57" i="25"/>
  <c r="D192" i="25"/>
  <c r="D12" i="25"/>
  <c r="D147" i="25"/>
  <c r="D222" i="25" l="1"/>
  <c r="D21" i="11"/>
  <c r="D16" i="10"/>
  <c r="F7" i="10"/>
  <c r="F165" i="19"/>
  <c r="F23" i="38" s="1"/>
  <c r="E165" i="19"/>
  <c r="E23" i="38" s="1"/>
  <c r="D146" i="25"/>
  <c r="F11" i="25"/>
  <c r="E7" i="10" l="1"/>
  <c r="D165" i="19"/>
  <c r="D23" i="38" s="1"/>
  <c r="F124" i="19"/>
  <c r="E124" i="19"/>
  <c r="D124" i="19"/>
  <c r="E11" i="25"/>
  <c r="D7" i="10" l="1"/>
  <c r="D40" i="19"/>
  <c r="E39" i="19"/>
  <c r="D36" i="19"/>
  <c r="E35" i="19"/>
  <c r="D32" i="19"/>
  <c r="E31" i="19"/>
  <c r="E83" i="19"/>
  <c r="D83" i="19"/>
  <c r="F41" i="19"/>
  <c r="E41" i="19"/>
  <c r="D41" i="19"/>
  <c r="F40" i="19"/>
  <c r="E40" i="19"/>
  <c r="F39" i="19"/>
  <c r="D39" i="19"/>
  <c r="F38" i="19"/>
  <c r="E38" i="19"/>
  <c r="D38" i="19"/>
  <c r="F37" i="19"/>
  <c r="E37" i="19"/>
  <c r="D37" i="19"/>
  <c r="F36" i="19"/>
  <c r="E36" i="19"/>
  <c r="F35" i="19"/>
  <c r="D35" i="19"/>
  <c r="E34" i="19"/>
  <c r="D34" i="19"/>
  <c r="F33" i="19"/>
  <c r="E33" i="19"/>
  <c r="D33" i="19"/>
  <c r="F32" i="19"/>
  <c r="E32" i="19"/>
  <c r="F31" i="19"/>
  <c r="D31" i="19"/>
  <c r="E30" i="19"/>
  <c r="D30" i="19"/>
  <c r="F29" i="19"/>
  <c r="E29" i="19"/>
  <c r="D29" i="19"/>
  <c r="F28" i="19"/>
  <c r="E28" i="19"/>
  <c r="F22" i="19"/>
  <c r="E22" i="19" s="1"/>
  <c r="D22" i="19"/>
  <c r="D12" i="19"/>
  <c r="E7" i="19"/>
  <c r="D113" i="26"/>
  <c r="F173" i="26"/>
  <c r="E53" i="26"/>
  <c r="F143" i="26"/>
  <c r="E98" i="26"/>
  <c r="E38" i="26"/>
  <c r="E23" i="26"/>
  <c r="D11" i="25"/>
  <c r="F113" i="26"/>
  <c r="D83" i="26"/>
  <c r="E203" i="26"/>
  <c r="D38" i="26"/>
  <c r="F53" i="26"/>
  <c r="E158" i="26"/>
  <c r="D203" i="26"/>
  <c r="F68" i="26"/>
  <c r="E143" i="26"/>
  <c r="F83" i="26"/>
  <c r="D68" i="26"/>
  <c r="E188" i="26"/>
  <c r="F8" i="26"/>
  <c r="D158" i="26"/>
  <c r="F203" i="26"/>
  <c r="D173" i="26"/>
  <c r="F188" i="26"/>
  <c r="F23" i="26"/>
  <c r="E128" i="26"/>
  <c r="D53" i="26"/>
  <c r="E68" i="26"/>
  <c r="F128" i="26"/>
  <c r="E113" i="26"/>
  <c r="D23" i="26"/>
  <c r="D188" i="26"/>
  <c r="E83" i="26"/>
  <c r="D128" i="26"/>
  <c r="E173" i="26"/>
  <c r="D143" i="26"/>
  <c r="F158" i="26"/>
  <c r="D98" i="26"/>
  <c r="E8" i="26"/>
  <c r="E218" i="26" l="1"/>
  <c r="E131" i="19"/>
  <c r="E49" i="19"/>
  <c r="E86" i="23"/>
  <c r="D91" i="23"/>
  <c r="D95" i="19" s="1"/>
  <c r="D136" i="19"/>
  <c r="D54" i="19"/>
  <c r="E42" i="19"/>
  <c r="E21" i="38" s="1"/>
  <c r="D28" i="19"/>
  <c r="F30" i="19"/>
  <c r="D7" i="19"/>
  <c r="F83" i="19"/>
  <c r="F34" i="19"/>
  <c r="F14" i="19"/>
  <c r="F10" i="19"/>
  <c r="F13" i="19"/>
  <c r="F12" i="19"/>
  <c r="F16" i="19"/>
  <c r="F7" i="19"/>
  <c r="F8" i="19"/>
  <c r="F15" i="19"/>
  <c r="F19" i="19"/>
  <c r="F11" i="19"/>
  <c r="F18" i="19"/>
  <c r="F17" i="19"/>
  <c r="F20" i="19"/>
  <c r="E165" i="17"/>
  <c r="E22" i="38" s="1"/>
  <c r="D165" i="17"/>
  <c r="D22" i="38" s="1"/>
  <c r="D85" i="25"/>
  <c r="F38" i="26"/>
  <c r="D8" i="26"/>
  <c r="E10" i="25"/>
  <c r="F98" i="26"/>
  <c r="F218" i="26" l="1"/>
  <c r="F137" i="19"/>
  <c r="F55" i="19"/>
  <c r="F92" i="23"/>
  <c r="F135" i="19"/>
  <c r="F53" i="19"/>
  <c r="F90" i="23"/>
  <c r="F131" i="19"/>
  <c r="F49" i="19"/>
  <c r="F86" i="23"/>
  <c r="F89" i="23"/>
  <c r="F134" i="19"/>
  <c r="F52" i="19"/>
  <c r="F97" i="23"/>
  <c r="F60" i="19"/>
  <c r="F142" i="19"/>
  <c r="F140" i="19"/>
  <c r="F58" i="19"/>
  <c r="F95" i="23"/>
  <c r="F132" i="19"/>
  <c r="F50" i="19"/>
  <c r="F87" i="23"/>
  <c r="F144" i="19"/>
  <c r="F62" i="19"/>
  <c r="F99" i="23"/>
  <c r="F143" i="19"/>
  <c r="F61" i="19"/>
  <c r="F98" i="23"/>
  <c r="F93" i="23"/>
  <c r="F138" i="19"/>
  <c r="F56" i="19"/>
  <c r="F141" i="19"/>
  <c r="F59" i="19"/>
  <c r="F96" i="23"/>
  <c r="F94" i="23"/>
  <c r="F139" i="19"/>
  <c r="F57" i="19"/>
  <c r="F136" i="19"/>
  <c r="F54" i="19"/>
  <c r="F91" i="23"/>
  <c r="D131" i="19"/>
  <c r="D49" i="19"/>
  <c r="D86" i="23"/>
  <c r="D218" i="26"/>
  <c r="D42" i="19"/>
  <c r="D21" i="38" s="1"/>
  <c r="U12" i="19"/>
  <c r="F42" i="19"/>
  <c r="F21" i="38" s="1"/>
  <c r="F165" i="17"/>
  <c r="F22" i="38" s="1"/>
  <c r="E20" i="19"/>
  <c r="E11" i="19"/>
  <c r="E19" i="19"/>
  <c r="E8" i="19"/>
  <c r="E16" i="19"/>
  <c r="E10" i="19"/>
  <c r="E17" i="19"/>
  <c r="E18" i="19"/>
  <c r="E15" i="19"/>
  <c r="E12" i="19"/>
  <c r="E13" i="19"/>
  <c r="E14" i="19"/>
  <c r="F9" i="19"/>
  <c r="D124" i="17"/>
  <c r="D172" i="18" s="1"/>
  <c r="E124" i="17"/>
  <c r="E172" i="18" s="1"/>
  <c r="F70" i="25"/>
  <c r="D10" i="25"/>
  <c r="F100" i="25"/>
  <c r="E8" i="25"/>
  <c r="F115" i="25"/>
  <c r="F205" i="25"/>
  <c r="F160" i="25"/>
  <c r="D83" i="25"/>
  <c r="F55" i="25"/>
  <c r="F10" i="25"/>
  <c r="F175" i="25"/>
  <c r="F190" i="25"/>
  <c r="F25" i="25"/>
  <c r="F130" i="25"/>
  <c r="F85" i="25"/>
  <c r="F145" i="25"/>
  <c r="F133" i="19" l="1"/>
  <c r="F51" i="19"/>
  <c r="F88" i="23"/>
  <c r="E136" i="19"/>
  <c r="E54" i="19"/>
  <c r="E91" i="23"/>
  <c r="E132" i="19"/>
  <c r="E50" i="19"/>
  <c r="E87" i="23"/>
  <c r="E137" i="19"/>
  <c r="E55" i="19"/>
  <c r="E92" i="23"/>
  <c r="E141" i="19"/>
  <c r="E59" i="19"/>
  <c r="E96" i="23"/>
  <c r="E140" i="19"/>
  <c r="E58" i="19"/>
  <c r="E95" i="23"/>
  <c r="E144" i="19"/>
  <c r="E62" i="19"/>
  <c r="E99" i="23"/>
  <c r="E139" i="19"/>
  <c r="E94" i="23"/>
  <c r="E57" i="19"/>
  <c r="E61" i="19"/>
  <c r="E143" i="19"/>
  <c r="E98" i="23"/>
  <c r="E93" i="23"/>
  <c r="E56" i="19"/>
  <c r="E138" i="19"/>
  <c r="E97" i="23"/>
  <c r="E142" i="19"/>
  <c r="E60" i="19"/>
  <c r="E89" i="23"/>
  <c r="E134" i="19"/>
  <c r="E52" i="19"/>
  <c r="E53" i="19"/>
  <c r="E135" i="19"/>
  <c r="E90" i="23"/>
  <c r="W18" i="19"/>
  <c r="F93" i="19"/>
  <c r="F102" i="19"/>
  <c r="F103" i="19"/>
  <c r="F97" i="19"/>
  <c r="F96" i="19"/>
  <c r="F95" i="19"/>
  <c r="D15" i="19"/>
  <c r="D18" i="19"/>
  <c r="D17" i="19"/>
  <c r="D13" i="19"/>
  <c r="W15" i="19"/>
  <c r="W17" i="19"/>
  <c r="F91" i="19"/>
  <c r="F94" i="19"/>
  <c r="F98" i="19"/>
  <c r="F101" i="19"/>
  <c r="F100" i="19"/>
  <c r="W10" i="19"/>
  <c r="W16" i="19"/>
  <c r="W8" i="19"/>
  <c r="W19" i="19"/>
  <c r="W11" i="19"/>
  <c r="W20" i="19"/>
  <c r="F124" i="17"/>
  <c r="D14" i="19"/>
  <c r="F99" i="19"/>
  <c r="E9" i="19"/>
  <c r="W14" i="19"/>
  <c r="W13" i="19"/>
  <c r="W12" i="19"/>
  <c r="D10" i="19"/>
  <c r="D16" i="19"/>
  <c r="D8" i="19"/>
  <c r="D19" i="19"/>
  <c r="D11" i="19"/>
  <c r="D20" i="19"/>
  <c r="F21" i="19"/>
  <c r="E190" i="25"/>
  <c r="F203" i="25"/>
  <c r="F23" i="25"/>
  <c r="E205" i="25"/>
  <c r="F68" i="25"/>
  <c r="E175" i="25"/>
  <c r="F113" i="25"/>
  <c r="F173" i="25"/>
  <c r="F158" i="25"/>
  <c r="E55" i="25"/>
  <c r="E100" i="25"/>
  <c r="E25" i="25"/>
  <c r="F40" i="25"/>
  <c r="F98" i="25"/>
  <c r="E130" i="25"/>
  <c r="F83" i="25"/>
  <c r="E145" i="25"/>
  <c r="E115" i="25"/>
  <c r="E70" i="25"/>
  <c r="F53" i="25"/>
  <c r="F188" i="25"/>
  <c r="D8" i="25"/>
  <c r="F143" i="25"/>
  <c r="F8" i="25"/>
  <c r="E160" i="25"/>
  <c r="F128" i="25"/>
  <c r="E85" i="25"/>
  <c r="F220" i="25" l="1"/>
  <c r="E133" i="19"/>
  <c r="E51" i="19"/>
  <c r="E88" i="23"/>
  <c r="D55" i="19"/>
  <c r="D92" i="23"/>
  <c r="D137" i="19"/>
  <c r="D93" i="23"/>
  <c r="D138" i="19"/>
  <c r="D56" i="19"/>
  <c r="D99" i="23"/>
  <c r="D144" i="19"/>
  <c r="D62" i="19"/>
  <c r="D95" i="23"/>
  <c r="D99" i="19" s="1"/>
  <c r="D140" i="19"/>
  <c r="D58" i="19"/>
  <c r="D97" i="23"/>
  <c r="D101" i="19" s="1"/>
  <c r="D142" i="19"/>
  <c r="D60" i="19"/>
  <c r="D143" i="19"/>
  <c r="D61" i="19"/>
  <c r="D98" i="23"/>
  <c r="D132" i="19"/>
  <c r="D87" i="23"/>
  <c r="D91" i="19" s="1"/>
  <c r="D50" i="19"/>
  <c r="D141" i="19"/>
  <c r="D96" i="23"/>
  <c r="D100" i="19" s="1"/>
  <c r="D59" i="19"/>
  <c r="D135" i="19"/>
  <c r="D53" i="19"/>
  <c r="D90" i="23"/>
  <c r="D89" i="23"/>
  <c r="D134" i="19"/>
  <c r="D52" i="19"/>
  <c r="D139" i="19"/>
  <c r="D57" i="19"/>
  <c r="D94" i="23"/>
  <c r="D98" i="19" s="1"/>
  <c r="E21" i="19"/>
  <c r="F145" i="19"/>
  <c r="F172" i="18"/>
  <c r="E101" i="19"/>
  <c r="E100" i="19"/>
  <c r="V19" i="19"/>
  <c r="E99" i="19"/>
  <c r="V14" i="19"/>
  <c r="V15" i="19"/>
  <c r="E98" i="19"/>
  <c r="W9" i="19"/>
  <c r="D9" i="19"/>
  <c r="V13" i="19"/>
  <c r="F92" i="19"/>
  <c r="V10" i="19"/>
  <c r="F63" i="19"/>
  <c r="V17" i="19"/>
  <c r="E95" i="19"/>
  <c r="E96" i="19"/>
  <c r="E97" i="19"/>
  <c r="E103" i="19"/>
  <c r="E102" i="19"/>
  <c r="E93" i="19"/>
  <c r="V8" i="19"/>
  <c r="V16" i="19"/>
  <c r="V20" i="19"/>
  <c r="V11" i="19"/>
  <c r="E94" i="19"/>
  <c r="E91" i="19"/>
  <c r="V18" i="19"/>
  <c r="V12" i="19"/>
  <c r="E23" i="25"/>
  <c r="D160" i="25"/>
  <c r="D115" i="25"/>
  <c r="E83" i="25"/>
  <c r="E53" i="25"/>
  <c r="E98" i="25"/>
  <c r="E68" i="25"/>
  <c r="E188" i="25"/>
  <c r="D55" i="25"/>
  <c r="E40" i="25"/>
  <c r="D190" i="25"/>
  <c r="D70" i="25"/>
  <c r="E113" i="25"/>
  <c r="E158" i="25"/>
  <c r="D175" i="25"/>
  <c r="E128" i="25"/>
  <c r="D205" i="25"/>
  <c r="E203" i="25"/>
  <c r="D145" i="25"/>
  <c r="F38" i="25"/>
  <c r="E143" i="25"/>
  <c r="E173" i="25"/>
  <c r="D100" i="25"/>
  <c r="D130" i="25"/>
  <c r="D25" i="25"/>
  <c r="F218" i="25" l="1"/>
  <c r="E220" i="25"/>
  <c r="D133" i="19"/>
  <c r="D88" i="23"/>
  <c r="D92" i="19" s="1"/>
  <c r="D51" i="19"/>
  <c r="E145" i="19"/>
  <c r="D21" i="19"/>
  <c r="E92" i="19"/>
  <c r="D96" i="19"/>
  <c r="U15" i="19"/>
  <c r="V9" i="19"/>
  <c r="D93" i="19"/>
  <c r="D94" i="19"/>
  <c r="U10" i="19"/>
  <c r="U13" i="19"/>
  <c r="U8" i="19"/>
  <c r="U17" i="19"/>
  <c r="U19" i="19"/>
  <c r="D97" i="19"/>
  <c r="U11" i="19"/>
  <c r="U16" i="19"/>
  <c r="D103" i="19"/>
  <c r="U14" i="19"/>
  <c r="U20" i="19"/>
  <c r="U18" i="19"/>
  <c r="E63" i="19"/>
  <c r="D102" i="19"/>
  <c r="D29" i="17"/>
  <c r="F83" i="17"/>
  <c r="E83" i="17"/>
  <c r="F41" i="17"/>
  <c r="E41" i="17"/>
  <c r="D41" i="17"/>
  <c r="F40" i="17"/>
  <c r="E40" i="17"/>
  <c r="D40" i="17"/>
  <c r="F39" i="17"/>
  <c r="E39" i="17"/>
  <c r="D39" i="17"/>
  <c r="F38" i="17"/>
  <c r="E38" i="17"/>
  <c r="D38" i="17"/>
  <c r="F37" i="17"/>
  <c r="E37" i="17"/>
  <c r="D37" i="17"/>
  <c r="F36" i="17"/>
  <c r="E36" i="17"/>
  <c r="D36" i="17"/>
  <c r="F35" i="17"/>
  <c r="E35" i="17"/>
  <c r="D35" i="17"/>
  <c r="F34" i="17"/>
  <c r="E34" i="17"/>
  <c r="D34" i="17"/>
  <c r="F33" i="17"/>
  <c r="E33" i="17"/>
  <c r="D33" i="17"/>
  <c r="F32" i="17"/>
  <c r="E32" i="17"/>
  <c r="D32" i="17"/>
  <c r="F31" i="17"/>
  <c r="E31" i="17"/>
  <c r="D31" i="17"/>
  <c r="F30" i="17"/>
  <c r="E30" i="17"/>
  <c r="D30" i="17"/>
  <c r="F29" i="17"/>
  <c r="E29" i="17"/>
  <c r="F28" i="17"/>
  <c r="D28" i="17"/>
  <c r="F22" i="17"/>
  <c r="E22" i="17"/>
  <c r="D22" i="17"/>
  <c r="E20" i="17"/>
  <c r="E19" i="17"/>
  <c r="D19" i="17"/>
  <c r="E18" i="17"/>
  <c r="D18" i="17"/>
  <c r="E17" i="17"/>
  <c r="E16" i="17"/>
  <c r="E15" i="17"/>
  <c r="E14" i="17"/>
  <c r="D14" i="17"/>
  <c r="D13" i="17"/>
  <c r="E12" i="17"/>
  <c r="E11" i="17"/>
  <c r="D11" i="17"/>
  <c r="E10" i="17"/>
  <c r="D10" i="17"/>
  <c r="E9" i="17"/>
  <c r="E8" i="17"/>
  <c r="D8" i="17"/>
  <c r="F164" i="8"/>
  <c r="E164" i="8"/>
  <c r="D164" i="8"/>
  <c r="F163" i="8"/>
  <c r="E163" i="8"/>
  <c r="D163" i="8"/>
  <c r="F162" i="8"/>
  <c r="E162" i="8"/>
  <c r="D162" i="8"/>
  <c r="F161" i="8"/>
  <c r="E161" i="8"/>
  <c r="D161" i="8"/>
  <c r="F160" i="8"/>
  <c r="E160" i="8"/>
  <c r="D160" i="8"/>
  <c r="F159" i="8"/>
  <c r="E159" i="8"/>
  <c r="D159" i="8"/>
  <c r="F158" i="8"/>
  <c r="E158" i="8"/>
  <c r="D158" i="8"/>
  <c r="F157" i="8"/>
  <c r="E157" i="8"/>
  <c r="D157" i="8"/>
  <c r="F156" i="8"/>
  <c r="E156" i="8"/>
  <c r="D156" i="8"/>
  <c r="F155" i="8"/>
  <c r="E155" i="8"/>
  <c r="D155" i="8"/>
  <c r="F154" i="8"/>
  <c r="E154" i="8"/>
  <c r="D154" i="8"/>
  <c r="F153" i="8"/>
  <c r="E153" i="8"/>
  <c r="D153" i="8"/>
  <c r="F152" i="8"/>
  <c r="E152" i="8"/>
  <c r="D152" i="8"/>
  <c r="F151" i="8"/>
  <c r="E151" i="8"/>
  <c r="D151" i="8"/>
  <c r="F123" i="8"/>
  <c r="E123" i="8"/>
  <c r="D123" i="8"/>
  <c r="F122" i="8"/>
  <c r="E122" i="8"/>
  <c r="D122" i="8"/>
  <c r="F121" i="8"/>
  <c r="E121" i="8"/>
  <c r="D121" i="8"/>
  <c r="F120" i="8"/>
  <c r="E120" i="8"/>
  <c r="D120" i="8"/>
  <c r="F119" i="8"/>
  <c r="E119" i="8"/>
  <c r="D119" i="8"/>
  <c r="F118" i="8"/>
  <c r="E118" i="8"/>
  <c r="D118" i="8"/>
  <c r="F117" i="8"/>
  <c r="E117" i="8"/>
  <c r="D117" i="8"/>
  <c r="F116" i="8"/>
  <c r="E116" i="8"/>
  <c r="D116" i="8"/>
  <c r="F115" i="8"/>
  <c r="E115" i="8"/>
  <c r="D115" i="8"/>
  <c r="F114" i="8"/>
  <c r="E114" i="8"/>
  <c r="D114" i="8"/>
  <c r="F113" i="8"/>
  <c r="E113" i="8"/>
  <c r="D113" i="8"/>
  <c r="F112" i="8"/>
  <c r="E112" i="8"/>
  <c r="D112" i="8"/>
  <c r="F111" i="8"/>
  <c r="E111" i="8"/>
  <c r="D157" i="26"/>
  <c r="E172" i="26"/>
  <c r="D68" i="25"/>
  <c r="D82" i="26"/>
  <c r="F112" i="26"/>
  <c r="E38" i="25"/>
  <c r="E82" i="26"/>
  <c r="E67" i="26"/>
  <c r="F172" i="26"/>
  <c r="F52" i="26"/>
  <c r="E157" i="26"/>
  <c r="E142" i="26"/>
  <c r="E52" i="26"/>
  <c r="D112" i="26"/>
  <c r="D67" i="26"/>
  <c r="E22" i="26"/>
  <c r="D158" i="25"/>
  <c r="D187" i="26"/>
  <c r="D188" i="25"/>
  <c r="D203" i="25"/>
  <c r="F97" i="26"/>
  <c r="F82" i="26"/>
  <c r="D22" i="26"/>
  <c r="F187" i="26"/>
  <c r="E127" i="26"/>
  <c r="D172" i="26"/>
  <c r="D113" i="25"/>
  <c r="D127" i="26"/>
  <c r="D202" i="26"/>
  <c r="D53" i="25"/>
  <c r="F67" i="26"/>
  <c r="E187" i="26"/>
  <c r="F37" i="26"/>
  <c r="D37" i="26"/>
  <c r="D143" i="25"/>
  <c r="E112" i="26"/>
  <c r="E202" i="26"/>
  <c r="D7" i="26"/>
  <c r="F142" i="26"/>
  <c r="F7" i="26"/>
  <c r="E97" i="26"/>
  <c r="D173" i="25"/>
  <c r="D98" i="25"/>
  <c r="D97" i="26"/>
  <c r="F202" i="26"/>
  <c r="D23" i="25"/>
  <c r="D128" i="25"/>
  <c r="D40" i="25"/>
  <c r="E37" i="26"/>
  <c r="F157" i="26"/>
  <c r="D52" i="26"/>
  <c r="F127" i="26"/>
  <c r="D142" i="26"/>
  <c r="F22" i="26"/>
  <c r="E218" i="25" l="1"/>
  <c r="F217" i="26"/>
  <c r="E134" i="17"/>
  <c r="E52" i="17"/>
  <c r="E69" i="23"/>
  <c r="E67" i="23"/>
  <c r="E50" i="17"/>
  <c r="E132" i="17"/>
  <c r="E141" i="17"/>
  <c r="E59" i="17"/>
  <c r="E76" i="23"/>
  <c r="E133" i="17"/>
  <c r="E51" i="17"/>
  <c r="E68" i="23"/>
  <c r="E70" i="23"/>
  <c r="E135" i="17"/>
  <c r="E53" i="17"/>
  <c r="E138" i="17"/>
  <c r="E56" i="17"/>
  <c r="E73" i="23"/>
  <c r="E79" i="23"/>
  <c r="E144" i="17"/>
  <c r="E62" i="17"/>
  <c r="E75" i="23"/>
  <c r="E140" i="17"/>
  <c r="E58" i="17"/>
  <c r="E78" i="23"/>
  <c r="E143" i="17"/>
  <c r="E61" i="17"/>
  <c r="E71" i="23"/>
  <c r="E136" i="17"/>
  <c r="E54" i="17"/>
  <c r="E139" i="17"/>
  <c r="E57" i="17"/>
  <c r="E74" i="23"/>
  <c r="E142" i="17"/>
  <c r="E60" i="17"/>
  <c r="E77" i="23"/>
  <c r="D67" i="23"/>
  <c r="D132" i="17"/>
  <c r="D50" i="17"/>
  <c r="D78" i="23"/>
  <c r="D143" i="17"/>
  <c r="D61" i="17"/>
  <c r="D135" i="17"/>
  <c r="D53" i="17"/>
  <c r="D70" i="23"/>
  <c r="D138" i="17"/>
  <c r="D56" i="17"/>
  <c r="D73" i="23"/>
  <c r="D77" i="23"/>
  <c r="D142" i="17"/>
  <c r="D60" i="17"/>
  <c r="D72" i="23"/>
  <c r="D55" i="17"/>
  <c r="D137" i="17"/>
  <c r="D69" i="23"/>
  <c r="D134" i="17"/>
  <c r="D52" i="17"/>
  <c r="D220" i="25"/>
  <c r="D145" i="19"/>
  <c r="D217" i="26"/>
  <c r="E97" i="3"/>
  <c r="D100" i="3"/>
  <c r="F102" i="3"/>
  <c r="E105" i="3"/>
  <c r="D108" i="3"/>
  <c r="D97" i="3"/>
  <c r="F99" i="3"/>
  <c r="E102" i="3"/>
  <c r="D105" i="3"/>
  <c r="F107" i="3"/>
  <c r="F96" i="3"/>
  <c r="D98" i="3"/>
  <c r="E99" i="3"/>
  <c r="F100" i="3"/>
  <c r="D102" i="3"/>
  <c r="E103" i="3"/>
  <c r="F104" i="3"/>
  <c r="D106" i="3"/>
  <c r="E107" i="3"/>
  <c r="F108" i="3"/>
  <c r="F95" i="3"/>
  <c r="F98" i="3"/>
  <c r="E101" i="3"/>
  <c r="D104" i="3"/>
  <c r="F106" i="3"/>
  <c r="D95" i="3"/>
  <c r="E98" i="3"/>
  <c r="D101" i="3"/>
  <c r="F103" i="3"/>
  <c r="E106" i="3"/>
  <c r="E96" i="3"/>
  <c r="F97" i="3"/>
  <c r="D99" i="3"/>
  <c r="E100" i="3"/>
  <c r="F101" i="3"/>
  <c r="D103" i="3"/>
  <c r="E104" i="3"/>
  <c r="F105" i="3"/>
  <c r="D107" i="3"/>
  <c r="E108" i="3"/>
  <c r="F165" i="8"/>
  <c r="E165" i="8"/>
  <c r="U9" i="19"/>
  <c r="D63" i="19"/>
  <c r="D96" i="3"/>
  <c r="D42" i="17"/>
  <c r="D20" i="38" s="1"/>
  <c r="D8" i="3"/>
  <c r="E10" i="3"/>
  <c r="D10" i="3"/>
  <c r="E11" i="3"/>
  <c r="D13" i="3"/>
  <c r="D17" i="17"/>
  <c r="E17" i="3"/>
  <c r="D20" i="17"/>
  <c r="E20" i="3"/>
  <c r="E28" i="17"/>
  <c r="D83" i="17"/>
  <c r="D11" i="3"/>
  <c r="E14" i="3"/>
  <c r="E18" i="3"/>
  <c r="D165" i="8"/>
  <c r="F42" i="17"/>
  <c r="F20" i="38" s="1"/>
  <c r="D15" i="17"/>
  <c r="E15" i="3"/>
  <c r="D19" i="3"/>
  <c r="E8" i="3"/>
  <c r="D9" i="17"/>
  <c r="E9" i="3"/>
  <c r="D12" i="17"/>
  <c r="E12" i="3"/>
  <c r="D14" i="3"/>
  <c r="D16" i="17"/>
  <c r="E16" i="3"/>
  <c r="D18" i="3"/>
  <c r="E19" i="3"/>
  <c r="D111" i="8"/>
  <c r="F110" i="8"/>
  <c r="E110" i="8"/>
  <c r="E124" i="8" s="1"/>
  <c r="D110" i="8"/>
  <c r="D24" i="25"/>
  <c r="E114" i="25"/>
  <c r="E129" i="25"/>
  <c r="D54" i="25"/>
  <c r="D189" i="25"/>
  <c r="E159" i="25"/>
  <c r="E174" i="25"/>
  <c r="E24" i="25"/>
  <c r="D99" i="25"/>
  <c r="D114" i="25"/>
  <c r="E7" i="26"/>
  <c r="E189" i="25"/>
  <c r="E144" i="25"/>
  <c r="D69" i="25"/>
  <c r="E39" i="25"/>
  <c r="E69" i="25"/>
  <c r="D174" i="25"/>
  <c r="E204" i="25"/>
  <c r="E84" i="25"/>
  <c r="E54" i="25"/>
  <c r="D38" i="25"/>
  <c r="E217" i="26" l="1"/>
  <c r="F124" i="8"/>
  <c r="D68" i="23"/>
  <c r="D133" i="17"/>
  <c r="D51" i="17"/>
  <c r="D79" i="23"/>
  <c r="D144" i="17"/>
  <c r="D62" i="17"/>
  <c r="D57" i="17"/>
  <c r="D74" i="23"/>
  <c r="D139" i="17"/>
  <c r="D75" i="23"/>
  <c r="D140" i="17"/>
  <c r="D58" i="17"/>
  <c r="D71" i="23"/>
  <c r="D136" i="17"/>
  <c r="D54" i="17"/>
  <c r="D76" i="23"/>
  <c r="D141" i="17"/>
  <c r="D59" i="17"/>
  <c r="D218" i="25"/>
  <c r="F109" i="3"/>
  <c r="D109" i="3"/>
  <c r="E95" i="3"/>
  <c r="E109" i="3" s="1"/>
  <c r="E42" i="17"/>
  <c r="E20" i="38" s="1"/>
  <c r="D12" i="3"/>
  <c r="D15" i="3"/>
  <c r="D124" i="8"/>
  <c r="D17" i="3"/>
  <c r="D16" i="3"/>
  <c r="D9" i="3"/>
  <c r="D20" i="3"/>
  <c r="E67" i="25"/>
  <c r="D52" i="25"/>
  <c r="D159" i="25"/>
  <c r="D144" i="25"/>
  <c r="D172" i="25"/>
  <c r="D112" i="25"/>
  <c r="E112" i="25"/>
  <c r="E52" i="25"/>
  <c r="E127" i="25"/>
  <c r="E202" i="25"/>
  <c r="E157" i="25"/>
  <c r="E172" i="25"/>
  <c r="D97" i="25"/>
  <c r="E142" i="25"/>
  <c r="D67" i="25"/>
  <c r="D22" i="25"/>
  <c r="D39" i="25"/>
  <c r="D204" i="25"/>
  <c r="D84" i="25"/>
  <c r="E82" i="25"/>
  <c r="D129" i="25"/>
  <c r="E22" i="25"/>
  <c r="D187" i="25"/>
  <c r="E187" i="25"/>
  <c r="E37" i="25"/>
  <c r="D144" i="8" l="1"/>
  <c r="D140" i="8"/>
  <c r="D139" i="8"/>
  <c r="D141" i="8"/>
  <c r="D133" i="8"/>
  <c r="U9" i="17"/>
  <c r="D37" i="25"/>
  <c r="D157" i="25"/>
  <c r="D127" i="25"/>
  <c r="D82" i="25"/>
  <c r="D142" i="25"/>
  <c r="D202" i="25"/>
  <c r="F82" i="8" l="1"/>
  <c r="E82" i="8"/>
  <c r="D82" i="8"/>
  <c r="F81" i="8"/>
  <c r="E81" i="8"/>
  <c r="D81" i="8"/>
  <c r="F80" i="8"/>
  <c r="E80" i="8"/>
  <c r="D80" i="8"/>
  <c r="F79" i="8"/>
  <c r="E79" i="8"/>
  <c r="D79" i="8"/>
  <c r="F78" i="8"/>
  <c r="E78" i="8"/>
  <c r="D78" i="8"/>
  <c r="F77" i="8"/>
  <c r="E77" i="8"/>
  <c r="D77" i="8"/>
  <c r="F76" i="8"/>
  <c r="E76" i="8"/>
  <c r="D76" i="8"/>
  <c r="F75" i="8"/>
  <c r="E75" i="8"/>
  <c r="D75" i="8"/>
  <c r="F74" i="8"/>
  <c r="E74" i="8"/>
  <c r="D74" i="8"/>
  <c r="F73" i="8"/>
  <c r="E73" i="8"/>
  <c r="D73" i="8"/>
  <c r="F72" i="8"/>
  <c r="E72" i="8"/>
  <c r="D72" i="8"/>
  <c r="F71" i="8"/>
  <c r="E71" i="8"/>
  <c r="D71" i="8"/>
  <c r="F70" i="8"/>
  <c r="E70" i="8"/>
  <c r="D70" i="8"/>
  <c r="F69" i="8"/>
  <c r="E69" i="8"/>
  <c r="D69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D55" i="8"/>
  <c r="E54" i="8"/>
  <c r="D54" i="8"/>
  <c r="E53" i="8"/>
  <c r="D53" i="8" s="1"/>
  <c r="E52" i="8"/>
  <c r="D52" i="8"/>
  <c r="E51" i="8"/>
  <c r="D51" i="8"/>
  <c r="E50" i="8"/>
  <c r="D50" i="8"/>
  <c r="E83" i="8" l="1"/>
  <c r="F83" i="8"/>
  <c r="D83" i="8"/>
  <c r="F41" i="8" l="1"/>
  <c r="E41" i="8"/>
  <c r="D41" i="8"/>
  <c r="F40" i="8"/>
  <c r="E40" i="8"/>
  <c r="D40" i="8"/>
  <c r="F39" i="8"/>
  <c r="E39" i="8"/>
  <c r="D39" i="8"/>
  <c r="F38" i="8"/>
  <c r="E38" i="8"/>
  <c r="D38" i="8"/>
  <c r="F37" i="8"/>
  <c r="E37" i="8"/>
  <c r="D37" i="8"/>
  <c r="F36" i="8"/>
  <c r="E36" i="8"/>
  <c r="D36" i="8"/>
  <c r="F35" i="8"/>
  <c r="E35" i="8"/>
  <c r="D35" i="8"/>
  <c r="F34" i="8"/>
  <c r="E34" i="8" l="1"/>
  <c r="D34" i="8"/>
  <c r="F33" i="8"/>
  <c r="E33" i="8"/>
  <c r="D33" i="8"/>
  <c r="F32" i="8"/>
  <c r="E32" i="8"/>
  <c r="D32" i="8"/>
  <c r="F31" i="8"/>
  <c r="E31" i="8"/>
  <c r="D31" i="8"/>
  <c r="F30" i="8"/>
  <c r="E30" i="8"/>
  <c r="D30" i="8"/>
  <c r="F29" i="8" l="1"/>
  <c r="E29" i="8"/>
  <c r="D29" i="8"/>
  <c r="F28" i="8"/>
  <c r="E28" i="8"/>
  <c r="D28" i="8"/>
  <c r="E115" i="3" l="1"/>
  <c r="E42" i="8"/>
  <c r="D115" i="3"/>
  <c r="D42" i="8"/>
  <c r="F115" i="3"/>
  <c r="F42" i="8"/>
  <c r="F10" i="22" l="1"/>
  <c r="F8" i="22"/>
  <c r="E8" i="22"/>
  <c r="D8" i="22"/>
  <c r="D233" i="25" l="1"/>
  <c r="D36" i="38"/>
  <c r="F233" i="25"/>
  <c r="F36" i="38"/>
  <c r="E233" i="25"/>
  <c r="E36" i="38"/>
  <c r="F235" i="25"/>
  <c r="F38" i="38"/>
  <c r="E10" i="22"/>
  <c r="D10" i="22"/>
  <c r="F21" i="22"/>
  <c r="F8" i="38" l="1"/>
  <c r="E8" i="38"/>
  <c r="D8" i="38"/>
  <c r="F10" i="38"/>
  <c r="F233" i="26"/>
  <c r="F49" i="38"/>
  <c r="F59" i="38" s="1"/>
  <c r="D235" i="25"/>
  <c r="D38" i="38"/>
  <c r="E235" i="25"/>
  <c r="E38" i="38"/>
  <c r="E21" i="22"/>
  <c r="D21" i="22"/>
  <c r="F20" i="17"/>
  <c r="F20" i="10"/>
  <c r="F7" i="17"/>
  <c r="F8" i="17"/>
  <c r="F8" i="10"/>
  <c r="F9" i="17"/>
  <c r="F9" i="10"/>
  <c r="F10" i="17"/>
  <c r="F10" i="10"/>
  <c r="F11" i="17"/>
  <c r="F11" i="10"/>
  <c r="F12" i="17"/>
  <c r="F12" i="10"/>
  <c r="F13" i="17"/>
  <c r="F13" i="10"/>
  <c r="F14" i="17"/>
  <c r="F14" i="10"/>
  <c r="F15" i="17"/>
  <c r="F15" i="10"/>
  <c r="F16" i="17"/>
  <c r="F16" i="10"/>
  <c r="F17" i="17"/>
  <c r="F17" i="10"/>
  <c r="F18" i="17"/>
  <c r="F18" i="10"/>
  <c r="F19" i="17"/>
  <c r="F19" i="10"/>
  <c r="F90" i="19"/>
  <c r="E7" i="17"/>
  <c r="E90" i="19"/>
  <c r="E104" i="19" s="1"/>
  <c r="D7" i="17"/>
  <c r="D90" i="19"/>
  <c r="D104" i="19" s="1"/>
  <c r="D91" i="17"/>
  <c r="D91" i="8" s="1"/>
  <c r="D132" i="8"/>
  <c r="D8" i="10"/>
  <c r="D92" i="17"/>
  <c r="D92" i="8" s="1"/>
  <c r="D9" i="8" s="1"/>
  <c r="D9" i="10"/>
  <c r="D93" i="17"/>
  <c r="D93" i="8" s="1"/>
  <c r="D134" i="8"/>
  <c r="D10" i="10"/>
  <c r="D94" i="17"/>
  <c r="D94" i="8" s="1"/>
  <c r="D135" i="8"/>
  <c r="D11" i="10"/>
  <c r="D95" i="17"/>
  <c r="D95" i="8" s="1"/>
  <c r="D136" i="8"/>
  <c r="D12" i="10"/>
  <c r="D96" i="17"/>
  <c r="D96" i="8" s="1"/>
  <c r="D137" i="8"/>
  <c r="D13" i="10"/>
  <c r="D97" i="17"/>
  <c r="D97" i="8" s="1"/>
  <c r="D138" i="8"/>
  <c r="D14" i="10"/>
  <c r="D98" i="17"/>
  <c r="D98" i="8" s="1"/>
  <c r="D15" i="10"/>
  <c r="D99" i="17"/>
  <c r="D99" i="8" s="1"/>
  <c r="D16" i="8" s="1"/>
  <c r="D100" i="17"/>
  <c r="D100" i="8" s="1"/>
  <c r="D17" i="8" s="1"/>
  <c r="D17" i="10"/>
  <c r="D101" i="17"/>
  <c r="D101" i="8" s="1"/>
  <c r="D142" i="8"/>
  <c r="D18" i="10"/>
  <c r="D102" i="17"/>
  <c r="D102" i="8" s="1"/>
  <c r="D143" i="8"/>
  <c r="D19" i="10"/>
  <c r="D103" i="17"/>
  <c r="D103" i="8" s="1"/>
  <c r="D20" i="8" s="1"/>
  <c r="D20" i="10"/>
  <c r="F28" i="11"/>
  <c r="F25" i="38" s="1"/>
  <c r="E91" i="17"/>
  <c r="E91" i="8" s="1"/>
  <c r="E132" i="8"/>
  <c r="E8" i="10"/>
  <c r="E92" i="17"/>
  <c r="E92" i="8" s="1"/>
  <c r="E133" i="8"/>
  <c r="E9" i="10"/>
  <c r="E93" i="17"/>
  <c r="E93" i="8" s="1"/>
  <c r="E134" i="8"/>
  <c r="E10" i="10"/>
  <c r="E94" i="17"/>
  <c r="E94" i="8" s="1"/>
  <c r="E135" i="8"/>
  <c r="E11" i="10"/>
  <c r="E95" i="17"/>
  <c r="E95" i="8" s="1"/>
  <c r="E136" i="8"/>
  <c r="E12" i="10"/>
  <c r="E13" i="17"/>
  <c r="E13" i="10"/>
  <c r="E97" i="17"/>
  <c r="E97" i="8" s="1"/>
  <c r="E138" i="8"/>
  <c r="E14" i="10"/>
  <c r="E98" i="17"/>
  <c r="E98" i="8" s="1"/>
  <c r="E139" i="8"/>
  <c r="E15" i="10"/>
  <c r="E99" i="17"/>
  <c r="E99" i="8" s="1"/>
  <c r="E140" i="8"/>
  <c r="E16" i="10"/>
  <c r="E100" i="17"/>
  <c r="E100" i="8" s="1"/>
  <c r="E141" i="8"/>
  <c r="E17" i="10"/>
  <c r="E101" i="17"/>
  <c r="E101" i="8" s="1"/>
  <c r="E142" i="8"/>
  <c r="E18" i="10"/>
  <c r="E102" i="17"/>
  <c r="E102" i="8" s="1"/>
  <c r="E143" i="8"/>
  <c r="E19" i="10"/>
  <c r="E103" i="17"/>
  <c r="E103" i="8" s="1"/>
  <c r="E144" i="8"/>
  <c r="E20" i="10"/>
  <c r="F20" i="22"/>
  <c r="F22" i="22"/>
  <c r="F23" i="22"/>
  <c r="F24" i="22"/>
  <c r="E20" i="22"/>
  <c r="E22" i="22"/>
  <c r="E23" i="22"/>
  <c r="E24" i="22"/>
  <c r="E28" i="11"/>
  <c r="E25" i="38" s="1"/>
  <c r="D20" i="22"/>
  <c r="D22" i="22"/>
  <c r="D23" i="22"/>
  <c r="D24" i="22"/>
  <c r="D25" i="22"/>
  <c r="F12" i="22"/>
  <c r="E12" i="22"/>
  <c r="D12" i="22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U17" i="17"/>
  <c r="U15" i="17"/>
  <c r="U12" i="17"/>
  <c r="U20" i="17"/>
  <c r="U16" i="17"/>
  <c r="V15" i="17"/>
  <c r="V11" i="17"/>
  <c r="U19" i="17"/>
  <c r="V10" i="17"/>
  <c r="V20" i="17"/>
  <c r="V17" i="17"/>
  <c r="U8" i="17"/>
  <c r="V19" i="17"/>
  <c r="U13" i="17"/>
  <c r="U10" i="17"/>
  <c r="V12" i="17"/>
  <c r="V16" i="17"/>
  <c r="V14" i="17"/>
  <c r="V18" i="17"/>
  <c r="U14" i="17"/>
  <c r="U18" i="17"/>
  <c r="V8" i="17"/>
  <c r="V9" i="17"/>
  <c r="U11" i="17"/>
  <c r="W7" i="19"/>
  <c r="W21" i="19" s="1"/>
  <c r="V7" i="19"/>
  <c r="V21" i="19" s="1"/>
  <c r="U7" i="19"/>
  <c r="D100" i="23"/>
  <c r="E100" i="23"/>
  <c r="F100" i="23"/>
  <c r="F206" i="25"/>
  <c r="F131" i="25"/>
  <c r="F146" i="25"/>
  <c r="D161" i="25"/>
  <c r="F26" i="25"/>
  <c r="E41" i="25"/>
  <c r="D191" i="25"/>
  <c r="E86" i="25"/>
  <c r="F116" i="25"/>
  <c r="F56" i="25"/>
  <c r="E56" i="25"/>
  <c r="D176" i="25"/>
  <c r="D116" i="25"/>
  <c r="F191" i="25"/>
  <c r="E146" i="25"/>
  <c r="F86" i="25"/>
  <c r="E101" i="25"/>
  <c r="F176" i="25"/>
  <c r="E176" i="25"/>
  <c r="F41" i="25"/>
  <c r="D71" i="25"/>
  <c r="E116" i="25"/>
  <c r="D86" i="25"/>
  <c r="F222" i="26"/>
  <c r="E131" i="25"/>
  <c r="E161" i="25"/>
  <c r="E222" i="26"/>
  <c r="D41" i="25"/>
  <c r="D206" i="25"/>
  <c r="E26" i="25"/>
  <c r="F101" i="25"/>
  <c r="F71" i="25"/>
  <c r="D101" i="25"/>
  <c r="E71" i="25"/>
  <c r="D26" i="25"/>
  <c r="E206" i="25"/>
  <c r="F161" i="25"/>
  <c r="D56" i="25"/>
  <c r="D131" i="25"/>
  <c r="E191" i="25"/>
  <c r="D237" i="25" l="1"/>
  <c r="D40" i="38"/>
  <c r="D12" i="38" s="1"/>
  <c r="D236" i="26"/>
  <c r="D52" i="38"/>
  <c r="E232" i="26"/>
  <c r="E48" i="38"/>
  <c r="F232" i="26"/>
  <c r="F48" i="38"/>
  <c r="E237" i="25"/>
  <c r="E40" i="38"/>
  <c r="E12" i="38" s="1"/>
  <c r="D235" i="26"/>
  <c r="D51" i="38"/>
  <c r="E236" i="26"/>
  <c r="E52" i="38"/>
  <c r="F236" i="26"/>
  <c r="F52" i="38"/>
  <c r="D233" i="26"/>
  <c r="D49" i="38"/>
  <c r="D59" i="38" s="1"/>
  <c r="D60" i="38"/>
  <c r="D10" i="38"/>
  <c r="F237" i="25"/>
  <c r="F40" i="38"/>
  <c r="F12" i="38" s="1"/>
  <c r="D234" i="26"/>
  <c r="D50" i="38"/>
  <c r="E235" i="26"/>
  <c r="E51" i="38"/>
  <c r="E60" i="38" s="1"/>
  <c r="F235" i="26"/>
  <c r="F51" i="38"/>
  <c r="F60" i="38" s="1"/>
  <c r="E233" i="26"/>
  <c r="E49" i="38"/>
  <c r="E59" i="38" s="1"/>
  <c r="D237" i="26"/>
  <c r="D53" i="38"/>
  <c r="D232" i="26"/>
  <c r="D48" i="38"/>
  <c r="E234" i="26"/>
  <c r="E50" i="38"/>
  <c r="F234" i="26"/>
  <c r="F50" i="38"/>
  <c r="E10" i="38"/>
  <c r="E67" i="38" s="1"/>
  <c r="D67" i="38"/>
  <c r="F67" i="38"/>
  <c r="E179" i="25"/>
  <c r="E119" i="25"/>
  <c r="E74" i="25"/>
  <c r="E194" i="25"/>
  <c r="E134" i="25"/>
  <c r="E89" i="25"/>
  <c r="E221" i="25"/>
  <c r="E29" i="25"/>
  <c r="F221" i="25"/>
  <c r="E209" i="25"/>
  <c r="E149" i="25"/>
  <c r="E44" i="25"/>
  <c r="E164" i="25"/>
  <c r="E59" i="25"/>
  <c r="F104" i="19"/>
  <c r="U21" i="19"/>
  <c r="F141" i="17"/>
  <c r="F59" i="17"/>
  <c r="F76" i="23"/>
  <c r="F137" i="17"/>
  <c r="F55" i="17"/>
  <c r="F72" i="23"/>
  <c r="F133" i="17"/>
  <c r="F51" i="17"/>
  <c r="F68" i="23"/>
  <c r="F79" i="23"/>
  <c r="F144" i="17"/>
  <c r="F62" i="17"/>
  <c r="F142" i="17"/>
  <c r="F60" i="17"/>
  <c r="F77" i="23"/>
  <c r="F138" i="17"/>
  <c r="F56" i="17"/>
  <c r="F73" i="23"/>
  <c r="F134" i="17"/>
  <c r="F52" i="17"/>
  <c r="F69" i="23"/>
  <c r="F49" i="17"/>
  <c r="F66" i="23"/>
  <c r="F131" i="17"/>
  <c r="F61" i="17"/>
  <c r="F78" i="23"/>
  <c r="F143" i="17"/>
  <c r="F139" i="17"/>
  <c r="F74" i="23"/>
  <c r="F57" i="17"/>
  <c r="F70" i="23"/>
  <c r="F53" i="17"/>
  <c r="F135" i="17"/>
  <c r="F75" i="23"/>
  <c r="F140" i="17"/>
  <c r="F58" i="17"/>
  <c r="F71" i="23"/>
  <c r="F136" i="17"/>
  <c r="F54" i="17"/>
  <c r="F67" i="23"/>
  <c r="F132" i="17"/>
  <c r="F50" i="17"/>
  <c r="E137" i="17"/>
  <c r="E55" i="17"/>
  <c r="E72" i="23"/>
  <c r="E96" i="17" s="1"/>
  <c r="E96" i="8" s="1"/>
  <c r="E66" i="23"/>
  <c r="E49" i="17"/>
  <c r="E131" i="17"/>
  <c r="D66" i="23"/>
  <c r="D131" i="17"/>
  <c r="D49" i="17"/>
  <c r="D149" i="25"/>
  <c r="D194" i="25"/>
  <c r="D179" i="25"/>
  <c r="D164" i="25"/>
  <c r="D119" i="25"/>
  <c r="D104" i="25"/>
  <c r="D89" i="25"/>
  <c r="D74" i="25"/>
  <c r="D59" i="25"/>
  <c r="D44" i="25"/>
  <c r="D29" i="25"/>
  <c r="D209" i="25"/>
  <c r="D134" i="25"/>
  <c r="D221" i="25"/>
  <c r="D223" i="25"/>
  <c r="F25" i="22"/>
  <c r="F17" i="3"/>
  <c r="F20" i="3"/>
  <c r="F16" i="3"/>
  <c r="F12" i="3"/>
  <c r="F15" i="3"/>
  <c r="F8" i="3"/>
  <c r="F14" i="3"/>
  <c r="F10" i="3"/>
  <c r="D15" i="8"/>
  <c r="D15" i="16" s="1"/>
  <c r="E20" i="8"/>
  <c r="E20" i="16" s="1"/>
  <c r="E19" i="8"/>
  <c r="E39" i="3" s="1"/>
  <c r="E18" i="8"/>
  <c r="E18" i="16" s="1"/>
  <c r="E10" i="8"/>
  <c r="E10" i="16" s="1"/>
  <c r="E9" i="8"/>
  <c r="E9" i="16" s="1"/>
  <c r="E8" i="8"/>
  <c r="E8" i="16" s="1"/>
  <c r="D19" i="8"/>
  <c r="D19" i="16" s="1"/>
  <c r="D12" i="8"/>
  <c r="D12" i="16" s="1"/>
  <c r="E16" i="8"/>
  <c r="E36" i="3" s="1"/>
  <c r="E15" i="8"/>
  <c r="E35" i="3" s="1"/>
  <c r="F11" i="3"/>
  <c r="F129" i="3"/>
  <c r="F18" i="3"/>
  <c r="E21" i="12"/>
  <c r="E17" i="8"/>
  <c r="E37" i="3" s="1"/>
  <c r="E21" i="17"/>
  <c r="E11" i="8"/>
  <c r="E31" i="3" s="1"/>
  <c r="E129" i="3"/>
  <c r="E14" i="8"/>
  <c r="E14" i="16" s="1"/>
  <c r="E13" i="3"/>
  <c r="E12" i="8"/>
  <c r="E12" i="16" s="1"/>
  <c r="D14" i="8"/>
  <c r="D14" i="16" s="1"/>
  <c r="D13" i="8"/>
  <c r="D13" i="16" s="1"/>
  <c r="D8" i="8"/>
  <c r="D28" i="3" s="1"/>
  <c r="D18" i="8"/>
  <c r="D38" i="3" s="1"/>
  <c r="D21" i="12"/>
  <c r="D129" i="3"/>
  <c r="D11" i="8"/>
  <c r="D11" i="16" s="1"/>
  <c r="D10" i="8"/>
  <c r="D30" i="3" s="1"/>
  <c r="E21" i="10"/>
  <c r="D21" i="10"/>
  <c r="F21" i="12"/>
  <c r="F21" i="10"/>
  <c r="F19" i="3"/>
  <c r="F13" i="3"/>
  <c r="F9" i="3"/>
  <c r="F7" i="3"/>
  <c r="F21" i="17"/>
  <c r="E7" i="3"/>
  <c r="E25" i="22"/>
  <c r="D17" i="16"/>
  <c r="D37" i="3"/>
  <c r="D9" i="16"/>
  <c r="D29" i="3"/>
  <c r="D40" i="3"/>
  <c r="D20" i="16"/>
  <c r="D16" i="16"/>
  <c r="D36" i="3"/>
  <c r="D7" i="3"/>
  <c r="D21" i="3" s="1"/>
  <c r="D21" i="17"/>
  <c r="F99" i="25"/>
  <c r="F114" i="25"/>
  <c r="F84" i="25"/>
  <c r="F144" i="25"/>
  <c r="F54" i="25"/>
  <c r="F174" i="25"/>
  <c r="F189" i="25"/>
  <c r="E99" i="25"/>
  <c r="F39" i="25"/>
  <c r="F69" i="25"/>
  <c r="F204" i="25"/>
  <c r="E9" i="25"/>
  <c r="F129" i="25"/>
  <c r="F159" i="25"/>
  <c r="D9" i="25"/>
  <c r="F9" i="25"/>
  <c r="F24" i="25"/>
  <c r="E237" i="26" l="1"/>
  <c r="E53" i="38"/>
  <c r="F237" i="26"/>
  <c r="F53" i="38"/>
  <c r="D61" i="38"/>
  <c r="E61" i="38"/>
  <c r="F61" i="38"/>
  <c r="E219" i="25"/>
  <c r="F219" i="25"/>
  <c r="E11" i="22"/>
  <c r="E13" i="22"/>
  <c r="F11" i="22"/>
  <c r="F13" i="22"/>
  <c r="D11" i="22"/>
  <c r="D13" i="22"/>
  <c r="D219" i="25"/>
  <c r="D35" i="3"/>
  <c r="E19" i="16"/>
  <c r="E38" i="3"/>
  <c r="E34" i="3"/>
  <c r="E137" i="8"/>
  <c r="E40" i="3"/>
  <c r="E28" i="3"/>
  <c r="E30" i="3"/>
  <c r="E17" i="16"/>
  <c r="E29" i="3"/>
  <c r="D39" i="3"/>
  <c r="D33" i="3"/>
  <c r="E32" i="3"/>
  <c r="E11" i="16"/>
  <c r="D32" i="3"/>
  <c r="E15" i="16"/>
  <c r="E16" i="16"/>
  <c r="D34" i="3"/>
  <c r="E21" i="3"/>
  <c r="D8" i="16"/>
  <c r="D31" i="3"/>
  <c r="D10" i="16"/>
  <c r="D18" i="16"/>
  <c r="W10" i="17"/>
  <c r="F52" i="8"/>
  <c r="W13" i="17"/>
  <c r="F55" i="8"/>
  <c r="F49" i="8"/>
  <c r="W7" i="17"/>
  <c r="F63" i="17"/>
  <c r="F94" i="17"/>
  <c r="W15" i="17"/>
  <c r="F57" i="8"/>
  <c r="F91" i="17"/>
  <c r="F138" i="8"/>
  <c r="F140" i="8"/>
  <c r="F92" i="17"/>
  <c r="F136" i="8"/>
  <c r="F90" i="17"/>
  <c r="F80" i="23"/>
  <c r="F144" i="8"/>
  <c r="F98" i="17"/>
  <c r="F141" i="8"/>
  <c r="F143" i="8"/>
  <c r="F97" i="17"/>
  <c r="F100" i="17"/>
  <c r="F132" i="8"/>
  <c r="F134" i="8"/>
  <c r="W16" i="17"/>
  <c r="F58" i="8"/>
  <c r="F133" i="8"/>
  <c r="F96" i="17"/>
  <c r="F54" i="8"/>
  <c r="W12" i="17"/>
  <c r="F142" i="8"/>
  <c r="F62" i="8"/>
  <c r="W20" i="17"/>
  <c r="F135" i="8"/>
  <c r="W17" i="17"/>
  <c r="F59" i="8"/>
  <c r="W19" i="17"/>
  <c r="F61" i="8"/>
  <c r="F99" i="17"/>
  <c r="F60" i="8"/>
  <c r="W18" i="17"/>
  <c r="F50" i="8"/>
  <c r="W8" i="17"/>
  <c r="F93" i="17"/>
  <c r="F56" i="8"/>
  <c r="W14" i="17"/>
  <c r="W9" i="17"/>
  <c r="F51" i="8"/>
  <c r="F137" i="8"/>
  <c r="F95" i="17"/>
  <c r="F101" i="17"/>
  <c r="F131" i="8"/>
  <c r="F145" i="17"/>
  <c r="F103" i="17"/>
  <c r="W11" i="17"/>
  <c r="F53" i="8"/>
  <c r="F139" i="8"/>
  <c r="F102" i="17"/>
  <c r="F21" i="3"/>
  <c r="E90" i="17"/>
  <c r="E80" i="23"/>
  <c r="E49" i="8"/>
  <c r="V7" i="17"/>
  <c r="E63" i="17"/>
  <c r="E55" i="8"/>
  <c r="V13" i="17"/>
  <c r="E131" i="8"/>
  <c r="E145" i="17"/>
  <c r="D63" i="17"/>
  <c r="D49" i="8"/>
  <c r="U7" i="17"/>
  <c r="D131" i="8"/>
  <c r="D145" i="8" s="1"/>
  <c r="D145" i="17"/>
  <c r="D90" i="17"/>
  <c r="D80" i="23"/>
  <c r="F127" i="25"/>
  <c r="E97" i="25"/>
  <c r="E7" i="25"/>
  <c r="F22" i="25"/>
  <c r="F37" i="25"/>
  <c r="F67" i="25"/>
  <c r="F187" i="25"/>
  <c r="F157" i="25"/>
  <c r="F7" i="25"/>
  <c r="F112" i="25"/>
  <c r="F202" i="25"/>
  <c r="F97" i="25"/>
  <c r="F82" i="25"/>
  <c r="D7" i="25"/>
  <c r="F172" i="25"/>
  <c r="F142" i="25"/>
  <c r="F52" i="25"/>
  <c r="D236" i="25" l="1"/>
  <c r="D39" i="38"/>
  <c r="D11" i="38" s="1"/>
  <c r="E236" i="25"/>
  <c r="E39" i="38"/>
  <c r="E11" i="38" s="1"/>
  <c r="F238" i="25"/>
  <c r="F41" i="38"/>
  <c r="F13" i="38" s="1"/>
  <c r="F236" i="25"/>
  <c r="F39" i="38"/>
  <c r="F11" i="38" s="1"/>
  <c r="D238" i="25"/>
  <c r="D41" i="38"/>
  <c r="D13" i="38" s="1"/>
  <c r="E238" i="25"/>
  <c r="E41" i="38"/>
  <c r="E13" i="38" s="1"/>
  <c r="F164" i="25"/>
  <c r="F134" i="25"/>
  <c r="F104" i="25"/>
  <c r="F179" i="25"/>
  <c r="F89" i="25"/>
  <c r="E104" i="25"/>
  <c r="F44" i="25"/>
  <c r="F74" i="25"/>
  <c r="E14" i="25"/>
  <c r="E217" i="25"/>
  <c r="E224" i="25" s="1"/>
  <c r="F194" i="25"/>
  <c r="F14" i="25"/>
  <c r="F217" i="25"/>
  <c r="F224" i="25" s="1"/>
  <c r="F59" i="25"/>
  <c r="F209" i="25"/>
  <c r="F149" i="25"/>
  <c r="F29" i="25"/>
  <c r="F119" i="25"/>
  <c r="F95" i="8"/>
  <c r="F12" i="8" s="1"/>
  <c r="F100" i="8"/>
  <c r="F98" i="8"/>
  <c r="F91" i="8"/>
  <c r="F8" i="8" s="1"/>
  <c r="F8" i="16" s="1"/>
  <c r="F97" i="8"/>
  <c r="F14" i="8" s="1"/>
  <c r="F34" i="3" s="1"/>
  <c r="F92" i="8"/>
  <c r="F9" i="8" s="1"/>
  <c r="F9" i="16" s="1"/>
  <c r="F103" i="8"/>
  <c r="F93" i="8"/>
  <c r="F10" i="8" s="1"/>
  <c r="F96" i="8"/>
  <c r="F13" i="8" s="1"/>
  <c r="F102" i="8"/>
  <c r="F19" i="8" s="1"/>
  <c r="F39" i="3" s="1"/>
  <c r="F101" i="8"/>
  <c r="F18" i="8" s="1"/>
  <c r="F99" i="8"/>
  <c r="F94" i="8"/>
  <c r="F11" i="8" s="1"/>
  <c r="F31" i="3" s="1"/>
  <c r="U21" i="17"/>
  <c r="D9" i="22"/>
  <c r="F9" i="22"/>
  <c r="D14" i="25"/>
  <c r="D217" i="25"/>
  <c r="E13" i="8"/>
  <c r="E33" i="3" s="1"/>
  <c r="E145" i="8"/>
  <c r="D7" i="22"/>
  <c r="V21" i="17"/>
  <c r="F90" i="8"/>
  <c r="F104" i="17"/>
  <c r="F63" i="8"/>
  <c r="F145" i="8"/>
  <c r="F7" i="22"/>
  <c r="W21" i="17"/>
  <c r="E9" i="22"/>
  <c r="E7" i="22"/>
  <c r="E35" i="38" s="1"/>
  <c r="E104" i="17"/>
  <c r="E90" i="8"/>
  <c r="E104" i="8" s="1"/>
  <c r="E63" i="8"/>
  <c r="D90" i="8"/>
  <c r="D104" i="8" s="1"/>
  <c r="D104" i="17"/>
  <c r="D63" i="8"/>
  <c r="D35" i="38" l="1"/>
  <c r="D7" i="38"/>
  <c r="E234" i="25"/>
  <c r="E37" i="38"/>
  <c r="E9" i="38" s="1"/>
  <c r="D42" i="38"/>
  <c r="F234" i="25"/>
  <c r="F37" i="38"/>
  <c r="F9" i="38" s="1"/>
  <c r="F232" i="25"/>
  <c r="F35" i="38"/>
  <c r="D234" i="25"/>
  <c r="D37" i="38"/>
  <c r="D9" i="38" s="1"/>
  <c r="E7" i="38"/>
  <c r="E42" i="38"/>
  <c r="E232" i="25"/>
  <c r="F15" i="8"/>
  <c r="F35" i="3" s="1"/>
  <c r="F104" i="8"/>
  <c r="F21" i="8" s="1"/>
  <c r="F20" i="8"/>
  <c r="F40" i="3" s="1"/>
  <c r="F17" i="8"/>
  <c r="F37" i="3" s="1"/>
  <c r="F16" i="8"/>
  <c r="F16" i="16" s="1"/>
  <c r="F14" i="22"/>
  <c r="D14" i="22"/>
  <c r="D232" i="25"/>
  <c r="D224" i="25"/>
  <c r="E13" i="16"/>
  <c r="F29" i="3"/>
  <c r="F28" i="3"/>
  <c r="F11" i="16"/>
  <c r="F14" i="16"/>
  <c r="F19" i="16"/>
  <c r="F7" i="8"/>
  <c r="E14" i="22"/>
  <c r="E7" i="8"/>
  <c r="E27" i="3" s="1"/>
  <c r="E41" i="3" s="1"/>
  <c r="D7" i="8"/>
  <c r="D7" i="16" s="1"/>
  <c r="D21" i="16" s="1"/>
  <c r="F12" i="16"/>
  <c r="F32" i="3"/>
  <c r="F13" i="16"/>
  <c r="F33" i="3"/>
  <c r="F10" i="16"/>
  <c r="F30" i="3"/>
  <c r="F18" i="16"/>
  <c r="F38" i="3"/>
  <c r="F17" i="16"/>
  <c r="F32" i="13"/>
  <c r="E32" i="13"/>
  <c r="D32" i="13"/>
  <c r="D239" i="25" l="1"/>
  <c r="F15" i="16"/>
  <c r="E239" i="25"/>
  <c r="F239" i="25"/>
  <c r="F7" i="38"/>
  <c r="F42" i="38"/>
  <c r="E14" i="38"/>
  <c r="D14" i="38"/>
  <c r="F36" i="3"/>
  <c r="F20" i="16"/>
  <c r="F40" i="12"/>
  <c r="F36" i="12"/>
  <c r="F32" i="12"/>
  <c r="F28" i="12"/>
  <c r="F33" i="12"/>
  <c r="F39" i="12"/>
  <c r="F35" i="12"/>
  <c r="F31" i="12"/>
  <c r="F41" i="12"/>
  <c r="F38" i="12"/>
  <c r="F34" i="12"/>
  <c r="F30" i="12"/>
  <c r="F37" i="12"/>
  <c r="F29" i="12"/>
  <c r="E40" i="12"/>
  <c r="E36" i="12"/>
  <c r="E32" i="12"/>
  <c r="E28" i="12"/>
  <c r="E33" i="12"/>
  <c r="E39" i="12"/>
  <c r="E35" i="12"/>
  <c r="E31" i="12"/>
  <c r="E34" i="12"/>
  <c r="E41" i="12"/>
  <c r="E29" i="12"/>
  <c r="E38" i="12"/>
  <c r="E30" i="12"/>
  <c r="E37" i="12"/>
  <c r="D38" i="12"/>
  <c r="D34" i="12"/>
  <c r="D30" i="12"/>
  <c r="D36" i="12"/>
  <c r="D28" i="12"/>
  <c r="D39" i="12"/>
  <c r="D31" i="12"/>
  <c r="D41" i="12"/>
  <c r="D37" i="12"/>
  <c r="D33" i="12"/>
  <c r="D29" i="12"/>
  <c r="D40" i="12"/>
  <c r="D32" i="12"/>
  <c r="D35" i="12"/>
  <c r="F27" i="3"/>
  <c r="F7" i="16"/>
  <c r="D21" i="8"/>
  <c r="E21" i="8"/>
  <c r="E7" i="16"/>
  <c r="E21" i="16" s="1"/>
  <c r="D27" i="3"/>
  <c r="D41" i="3" s="1"/>
  <c r="D103" i="26"/>
  <c r="D28" i="26"/>
  <c r="D43" i="26"/>
  <c r="E43" i="26"/>
  <c r="E28" i="26"/>
  <c r="E118" i="26"/>
  <c r="D148" i="26"/>
  <c r="E208" i="26"/>
  <c r="E73" i="26"/>
  <c r="D133" i="26"/>
  <c r="F103" i="26"/>
  <c r="F58" i="26"/>
  <c r="E133" i="26"/>
  <c r="D208" i="26"/>
  <c r="E148" i="26"/>
  <c r="F208" i="26"/>
  <c r="F148" i="26"/>
  <c r="D178" i="26"/>
  <c r="E58" i="26"/>
  <c r="D58" i="26"/>
  <c r="F73" i="26"/>
  <c r="F28" i="26"/>
  <c r="F88" i="26"/>
  <c r="F13" i="26"/>
  <c r="F118" i="26"/>
  <c r="E178" i="26"/>
  <c r="D118" i="26"/>
  <c r="D193" i="26"/>
  <c r="E163" i="26"/>
  <c r="E88" i="26"/>
  <c r="D163" i="26"/>
  <c r="F43" i="26"/>
  <c r="F133" i="26"/>
  <c r="D88" i="26"/>
  <c r="F163" i="26"/>
  <c r="F178" i="26"/>
  <c r="E193" i="26"/>
  <c r="E103" i="26"/>
  <c r="D13" i="26"/>
  <c r="E13" i="26"/>
  <c r="D73" i="26"/>
  <c r="F193" i="26"/>
  <c r="F41" i="3" l="1"/>
  <c r="F14" i="38"/>
  <c r="E164" i="26"/>
  <c r="E59" i="26"/>
  <c r="E223" i="26"/>
  <c r="E224" i="26" s="1"/>
  <c r="E14" i="26"/>
  <c r="F29" i="26"/>
  <c r="F164" i="26"/>
  <c r="F179" i="26"/>
  <c r="F134" i="26"/>
  <c r="E29" i="26"/>
  <c r="E119" i="26"/>
  <c r="E74" i="26"/>
  <c r="F149" i="26"/>
  <c r="F209" i="26"/>
  <c r="F89" i="26"/>
  <c r="F194" i="26"/>
  <c r="E149" i="26"/>
  <c r="E209" i="26"/>
  <c r="E179" i="26"/>
  <c r="E134" i="26"/>
  <c r="F44" i="26"/>
  <c r="F59" i="26"/>
  <c r="F223" i="26"/>
  <c r="F224" i="26" s="1"/>
  <c r="F14" i="26"/>
  <c r="E44" i="26"/>
  <c r="E104" i="26"/>
  <c r="E89" i="26"/>
  <c r="E194" i="26"/>
  <c r="F104" i="26"/>
  <c r="F119" i="26"/>
  <c r="F74" i="26"/>
  <c r="F21" i="16"/>
  <c r="D29" i="26"/>
  <c r="D89" i="26"/>
  <c r="D74" i="26"/>
  <c r="D119" i="26"/>
  <c r="D14" i="26"/>
  <c r="D104" i="26"/>
  <c r="D59" i="26"/>
  <c r="D134" i="26"/>
  <c r="D179" i="26"/>
  <c r="D44" i="26"/>
  <c r="D164" i="26"/>
  <c r="D149" i="26"/>
  <c r="D194" i="26"/>
  <c r="D209" i="26"/>
  <c r="D223" i="26"/>
  <c r="F42" i="12"/>
  <c r="F26" i="38" s="1"/>
  <c r="F27" i="38" s="1"/>
  <c r="E42" i="12"/>
  <c r="E26" i="38" s="1"/>
  <c r="E27" i="38" s="1"/>
  <c r="D42" i="12"/>
  <c r="D26" i="38" s="1"/>
  <c r="D27" i="38" s="1"/>
  <c r="D224" i="26" l="1"/>
  <c r="F26" i="22"/>
  <c r="F27" i="16"/>
  <c r="E26" i="22"/>
  <c r="E54" i="38" s="1"/>
  <c r="E55" i="38" s="1"/>
  <c r="E27" i="16"/>
  <c r="D27" i="16"/>
  <c r="D26" i="22"/>
  <c r="D27" i="22" l="1"/>
  <c r="D54" i="38"/>
  <c r="D55" i="38" s="1"/>
  <c r="F238" i="26"/>
  <c r="F239" i="26" s="1"/>
  <c r="F54" i="38"/>
  <c r="F55" i="38" s="1"/>
  <c r="E27" i="22"/>
  <c r="E238" i="26"/>
  <c r="E239" i="26" s="1"/>
  <c r="F27" i="22"/>
  <c r="D238" i="26"/>
  <c r="D239" i="26" s="1"/>
  <c r="N34" i="23" l="1"/>
  <c r="M32" i="23"/>
  <c r="M74" i="19" l="1"/>
  <c r="M74" i="17"/>
  <c r="N76" i="19"/>
  <c r="N76" i="17"/>
  <c r="N30" i="23"/>
  <c r="N36" i="23"/>
  <c r="N32" i="23"/>
  <c r="N39" i="23"/>
  <c r="N38" i="23"/>
  <c r="N37" i="23"/>
  <c r="N40" i="23"/>
  <c r="N28" i="23"/>
  <c r="M34" i="23"/>
  <c r="M30" i="23"/>
  <c r="M40" i="23"/>
  <c r="M36" i="23"/>
  <c r="M38" i="23"/>
  <c r="M28" i="23"/>
  <c r="L28" i="23"/>
  <c r="L32" i="23"/>
  <c r="L34" i="23"/>
  <c r="K37" i="23"/>
  <c r="K39" i="23"/>
  <c r="L36" i="23"/>
  <c r="K27" i="23"/>
  <c r="L30" i="23"/>
  <c r="L37" i="23"/>
  <c r="L39" i="23"/>
  <c r="O30" i="23"/>
  <c r="O34" i="23"/>
  <c r="O39" i="23"/>
  <c r="O32" i="23"/>
  <c r="O31" i="23"/>
  <c r="O33" i="23"/>
  <c r="O40" i="23"/>
  <c r="O29" i="23"/>
  <c r="O38" i="23"/>
  <c r="O28" i="23"/>
  <c r="O35" i="23"/>
  <c r="O36" i="23"/>
  <c r="O37" i="23"/>
  <c r="O71" i="19" l="1"/>
  <c r="O71" i="17"/>
  <c r="O74" i="17"/>
  <c r="O74" i="19"/>
  <c r="L81" i="19"/>
  <c r="L81" i="17"/>
  <c r="L78" i="19"/>
  <c r="L78" i="17"/>
  <c r="L74" i="17"/>
  <c r="L74" i="19"/>
  <c r="M78" i="19"/>
  <c r="M78" i="17"/>
  <c r="N70" i="17"/>
  <c r="N70" i="19"/>
  <c r="N81" i="19"/>
  <c r="N81" i="17"/>
  <c r="O77" i="19"/>
  <c r="O77" i="17"/>
  <c r="O82" i="19"/>
  <c r="O82" i="17"/>
  <c r="O81" i="19"/>
  <c r="O81" i="17"/>
  <c r="L79" i="19"/>
  <c r="L79" i="17"/>
  <c r="K81" i="19"/>
  <c r="K81" i="17"/>
  <c r="L70" i="17"/>
  <c r="L70" i="19"/>
  <c r="M82" i="19"/>
  <c r="M82" i="17"/>
  <c r="N82" i="19"/>
  <c r="N82" i="17"/>
  <c r="N74" i="17"/>
  <c r="N74" i="19"/>
  <c r="O78" i="17"/>
  <c r="O78" i="19"/>
  <c r="O70" i="19"/>
  <c r="O70" i="17"/>
  <c r="O75" i="17"/>
  <c r="O75" i="19"/>
  <c r="O76" i="17"/>
  <c r="O76" i="19"/>
  <c r="L72" i="17"/>
  <c r="L72" i="19"/>
  <c r="K79" i="19"/>
  <c r="K79" i="17"/>
  <c r="M70" i="19"/>
  <c r="M70" i="17"/>
  <c r="M72" i="19"/>
  <c r="M72" i="17"/>
  <c r="N79" i="17"/>
  <c r="N79" i="19"/>
  <c r="N78" i="17"/>
  <c r="N78" i="19"/>
  <c r="O79" i="17"/>
  <c r="O79" i="19"/>
  <c r="O80" i="19"/>
  <c r="O80" i="17"/>
  <c r="O73" i="17"/>
  <c r="O73" i="19"/>
  <c r="O72" i="17"/>
  <c r="O72" i="19"/>
  <c r="K69" i="19"/>
  <c r="K69" i="17"/>
  <c r="L76" i="17"/>
  <c r="L76" i="19"/>
  <c r="M80" i="19"/>
  <c r="M80" i="17"/>
  <c r="M76" i="19"/>
  <c r="M76" i="17"/>
  <c r="N80" i="19"/>
  <c r="N80" i="17"/>
  <c r="N72" i="17"/>
  <c r="N72" i="19"/>
  <c r="G15" i="23"/>
  <c r="G36" i="23" s="1"/>
  <c r="H15" i="23"/>
  <c r="H36" i="23" s="1"/>
  <c r="H19" i="23"/>
  <c r="H40" i="23" s="1"/>
  <c r="G19" i="23"/>
  <c r="G40" i="23" s="1"/>
  <c r="H17" i="23"/>
  <c r="H38" i="23" s="1"/>
  <c r="G17" i="23"/>
  <c r="G38" i="23" s="1"/>
  <c r="H9" i="23"/>
  <c r="H30" i="23" s="1"/>
  <c r="G9" i="23"/>
  <c r="G30" i="23" s="1"/>
  <c r="G13" i="23"/>
  <c r="G34" i="23" s="1"/>
  <c r="H13" i="23"/>
  <c r="H34" i="23" s="1"/>
  <c r="G7" i="23"/>
  <c r="G28" i="23" s="1"/>
  <c r="H7" i="23"/>
  <c r="H28" i="23" s="1"/>
  <c r="G16" i="23"/>
  <c r="G37" i="23" s="1"/>
  <c r="H16" i="23"/>
  <c r="H37" i="23" s="1"/>
  <c r="H11" i="23"/>
  <c r="H32" i="23" s="1"/>
  <c r="G11" i="23"/>
  <c r="G32" i="23" s="1"/>
  <c r="H6" i="23"/>
  <c r="H27" i="23" s="1"/>
  <c r="G6" i="23"/>
  <c r="G27" i="23" s="1"/>
  <c r="G18" i="23"/>
  <c r="G39" i="23" s="1"/>
  <c r="H18" i="23"/>
  <c r="H39" i="23" s="1"/>
  <c r="N29" i="23"/>
  <c r="N31" i="23"/>
  <c r="N33" i="23"/>
  <c r="N27" i="23"/>
  <c r="N35" i="23"/>
  <c r="M37" i="23"/>
  <c r="M39" i="23"/>
  <c r="M27" i="23"/>
  <c r="K34" i="23"/>
  <c r="L27" i="23"/>
  <c r="L38" i="23"/>
  <c r="L40" i="23"/>
  <c r="K30" i="23"/>
  <c r="K36" i="23"/>
  <c r="K32" i="23"/>
  <c r="E11" i="23"/>
  <c r="E32" i="23" s="1"/>
  <c r="F11" i="23"/>
  <c r="F32" i="23" s="1"/>
  <c r="F9" i="23"/>
  <c r="F30" i="23" s="1"/>
  <c r="E9" i="23"/>
  <c r="E30" i="23" s="1"/>
  <c r="F6" i="23"/>
  <c r="E6" i="23"/>
  <c r="F13" i="23"/>
  <c r="F34" i="23" s="1"/>
  <c r="E13" i="23"/>
  <c r="E34" i="23" s="1"/>
  <c r="F18" i="23"/>
  <c r="F39" i="23" s="1"/>
  <c r="E18" i="23"/>
  <c r="E39" i="23" s="1"/>
  <c r="F15" i="23"/>
  <c r="F36" i="23" s="1"/>
  <c r="E15" i="23"/>
  <c r="E36" i="23" s="1"/>
  <c r="E7" i="23"/>
  <c r="E28" i="23" s="1"/>
  <c r="F7" i="23"/>
  <c r="F28" i="23" s="1"/>
  <c r="E19" i="23"/>
  <c r="E40" i="23" s="1"/>
  <c r="F19" i="23"/>
  <c r="F40" i="23" s="1"/>
  <c r="F16" i="23"/>
  <c r="F37" i="23" s="1"/>
  <c r="E16" i="23"/>
  <c r="E37" i="23" s="1"/>
  <c r="F17" i="23"/>
  <c r="F38" i="23" s="1"/>
  <c r="E17" i="23"/>
  <c r="E38" i="23" s="1"/>
  <c r="O20" i="23"/>
  <c r="O27" i="23"/>
  <c r="K78" i="19" l="1"/>
  <c r="K78" i="17"/>
  <c r="L69" i="19"/>
  <c r="L69" i="17"/>
  <c r="M79" i="19"/>
  <c r="M79" i="17"/>
  <c r="N73" i="19"/>
  <c r="N73" i="17"/>
  <c r="O69" i="17"/>
  <c r="O69" i="19"/>
  <c r="K72" i="19"/>
  <c r="K72" i="17"/>
  <c r="K76" i="19"/>
  <c r="K76" i="17"/>
  <c r="N77" i="19"/>
  <c r="N77" i="17"/>
  <c r="N71" i="17"/>
  <c r="N71" i="19"/>
  <c r="L82" i="17"/>
  <c r="L82" i="19"/>
  <c r="M69" i="19"/>
  <c r="M69" i="17"/>
  <c r="N69" i="19"/>
  <c r="N69" i="17"/>
  <c r="K74" i="19"/>
  <c r="K74" i="17"/>
  <c r="L80" i="19"/>
  <c r="L80" i="17"/>
  <c r="M81" i="19"/>
  <c r="M81" i="17"/>
  <c r="N75" i="17"/>
  <c r="N75" i="19"/>
  <c r="N20" i="23"/>
  <c r="N41" i="23"/>
  <c r="M35" i="23"/>
  <c r="M33" i="23"/>
  <c r="M31" i="23"/>
  <c r="K28" i="23"/>
  <c r="K40" i="23"/>
  <c r="K38" i="23"/>
  <c r="F27" i="23"/>
  <c r="E27" i="23"/>
  <c r="O41" i="23"/>
  <c r="K80" i="17" l="1"/>
  <c r="K80" i="19"/>
  <c r="M75" i="19"/>
  <c r="M75" i="17"/>
  <c r="K70" i="17"/>
  <c r="K70" i="19"/>
  <c r="K82" i="19"/>
  <c r="K82" i="17"/>
  <c r="M77" i="19"/>
  <c r="M77" i="17"/>
  <c r="M73" i="17"/>
  <c r="M73" i="19"/>
  <c r="O79" i="8"/>
  <c r="K72" i="8"/>
  <c r="O74" i="8"/>
  <c r="O81" i="8"/>
  <c r="L76" i="8"/>
  <c r="O78" i="8"/>
  <c r="L72" i="8"/>
  <c r="O80" i="8"/>
  <c r="O72" i="8"/>
  <c r="O82" i="8"/>
  <c r="O70" i="8"/>
  <c r="O76" i="8"/>
  <c r="I69" i="8"/>
  <c r="L74" i="8"/>
  <c r="L82" i="8"/>
  <c r="M79" i="8"/>
  <c r="M80" i="8"/>
  <c r="N79" i="8"/>
  <c r="I76" i="8"/>
  <c r="L78" i="8"/>
  <c r="L70" i="8"/>
  <c r="I74" i="8"/>
  <c r="M81" i="8"/>
  <c r="I70" i="8"/>
  <c r="N76" i="8"/>
  <c r="N70" i="8"/>
  <c r="M70" i="8" s="1"/>
  <c r="M82" i="8"/>
  <c r="M76" i="8"/>
  <c r="L81" i="8"/>
  <c r="L79" i="8"/>
  <c r="K74" i="8"/>
  <c r="K78" i="8"/>
  <c r="I79" i="8"/>
  <c r="M29" i="23"/>
  <c r="M20" i="23"/>
  <c r="M72" i="8"/>
  <c r="L33" i="23"/>
  <c r="L35" i="23"/>
  <c r="L31" i="23"/>
  <c r="K76" i="8"/>
  <c r="N74" i="8"/>
  <c r="M74" i="8" s="1"/>
  <c r="M78" i="8"/>
  <c r="I81" i="8"/>
  <c r="N78" i="8"/>
  <c r="I72" i="8"/>
  <c r="N81" i="8"/>
  <c r="L80" i="8"/>
  <c r="N72" i="8"/>
  <c r="N82" i="8"/>
  <c r="K81" i="8"/>
  <c r="N80" i="8"/>
  <c r="I80" i="8"/>
  <c r="I78" i="8"/>
  <c r="K79" i="8"/>
  <c r="L75" i="19" l="1"/>
  <c r="L75" i="17"/>
  <c r="L73" i="19"/>
  <c r="L73" i="17"/>
  <c r="L77" i="19"/>
  <c r="L77" i="17"/>
  <c r="M71" i="17"/>
  <c r="M71" i="19"/>
  <c r="K82" i="8"/>
  <c r="I82" i="8" s="1"/>
  <c r="K80" i="8"/>
  <c r="K70" i="8"/>
  <c r="M41" i="23"/>
  <c r="O69" i="8"/>
  <c r="L29" i="23"/>
  <c r="L20" i="23"/>
  <c r="K31" i="23"/>
  <c r="K35" i="23"/>
  <c r="K33" i="23"/>
  <c r="L69" i="8"/>
  <c r="K69" i="8"/>
  <c r="M69" i="8"/>
  <c r="N69" i="8"/>
  <c r="K75" i="17" l="1"/>
  <c r="K75" i="19"/>
  <c r="L71" i="19"/>
  <c r="L71" i="17"/>
  <c r="K73" i="19"/>
  <c r="K73" i="17"/>
  <c r="K77" i="19"/>
  <c r="K77" i="17"/>
  <c r="L41" i="23"/>
  <c r="K29" i="23"/>
  <c r="K20" i="23"/>
  <c r="K71" i="19" l="1"/>
  <c r="K71" i="17"/>
  <c r="K41" i="23"/>
  <c r="H12" i="23"/>
  <c r="H33" i="23" s="1"/>
  <c r="G12" i="23"/>
  <c r="G33" i="23" s="1"/>
  <c r="H14" i="23"/>
  <c r="H35" i="23" s="1"/>
  <c r="G14" i="23"/>
  <c r="G35" i="23" s="1"/>
  <c r="G8" i="23"/>
  <c r="G29" i="23" s="1"/>
  <c r="H8" i="23"/>
  <c r="H29" i="23" s="1"/>
  <c r="G10" i="23"/>
  <c r="G31" i="23" s="1"/>
  <c r="H10" i="23"/>
  <c r="H31" i="23" s="1"/>
  <c r="F10" i="23"/>
  <c r="F31" i="23" s="1"/>
  <c r="E10" i="23"/>
  <c r="E31" i="23" s="1"/>
  <c r="E12" i="23"/>
  <c r="E33" i="23" s="1"/>
  <c r="F12" i="23"/>
  <c r="F33" i="23" s="1"/>
  <c r="F8" i="23"/>
  <c r="E8" i="23"/>
  <c r="I20" i="23"/>
  <c r="F14" i="23"/>
  <c r="F35" i="23" s="1"/>
  <c r="E14" i="23"/>
  <c r="E35" i="23" s="1"/>
  <c r="G41" i="23" l="1"/>
  <c r="H41" i="23"/>
  <c r="H20" i="23"/>
  <c r="G20" i="23"/>
  <c r="E29" i="23"/>
  <c r="E41" i="23" s="1"/>
  <c r="E20" i="23"/>
  <c r="F29" i="23"/>
  <c r="F20" i="23"/>
  <c r="I41" i="23"/>
  <c r="K73" i="8" l="1"/>
  <c r="I75" i="8"/>
  <c r="O77" i="8"/>
  <c r="O75" i="8"/>
  <c r="L75" i="8"/>
  <c r="I77" i="8"/>
  <c r="N73" i="8"/>
  <c r="N75" i="8"/>
  <c r="M77" i="8"/>
  <c r="L73" i="8"/>
  <c r="L77" i="8"/>
  <c r="K75" i="8"/>
  <c r="O73" i="8"/>
  <c r="M73" i="8"/>
  <c r="K77" i="8"/>
  <c r="I83" i="17"/>
  <c r="N83" i="19"/>
  <c r="K83" i="19"/>
  <c r="L83" i="19"/>
  <c r="M83" i="19"/>
  <c r="M83" i="17"/>
  <c r="O83" i="19"/>
  <c r="F41" i="23"/>
  <c r="I73" i="8"/>
  <c r="I83" i="19"/>
  <c r="N77" i="8"/>
  <c r="M75" i="8"/>
  <c r="K71" i="8" l="1"/>
  <c r="K83" i="17"/>
  <c r="L71" i="8"/>
  <c r="L83" i="8" s="1"/>
  <c r="L83" i="17"/>
  <c r="O71" i="8"/>
  <c r="O83" i="8" s="1"/>
  <c r="O83" i="17"/>
  <c r="N71" i="8"/>
  <c r="N83" i="17"/>
  <c r="I92" i="8"/>
  <c r="I80" i="23"/>
  <c r="M71" i="8" l="1"/>
  <c r="M83" i="8" s="1"/>
  <c r="N83" i="8"/>
  <c r="I71" i="8"/>
  <c r="I83" i="8" s="1"/>
  <c r="K83" i="8"/>
  <c r="I104" i="17"/>
  <c r="I93" i="8"/>
  <c r="I96" i="8"/>
  <c r="I101" i="8"/>
  <c r="I97" i="8"/>
  <c r="I99" i="8"/>
  <c r="I102" i="8"/>
  <c r="I172" i="18"/>
  <c r="I100" i="8"/>
  <c r="I112" i="8"/>
  <c r="I91" i="8"/>
  <c r="I95" i="8"/>
  <c r="I193" i="18"/>
  <c r="I103" i="8"/>
  <c r="I98" i="8"/>
  <c r="I94" i="8"/>
  <c r="I118" i="8" l="1"/>
  <c r="I123" i="8"/>
  <c r="I111" i="8"/>
  <c r="I122" i="8"/>
  <c r="I116" i="8"/>
  <c r="I121" i="8"/>
  <c r="I124" i="17"/>
  <c r="I114" i="8"/>
  <c r="I115" i="8"/>
  <c r="I119" i="8"/>
  <c r="I113" i="8"/>
  <c r="I120" i="8"/>
  <c r="I117" i="8"/>
  <c r="H129" i="3" l="1"/>
  <c r="G129" i="3" l="1"/>
  <c r="I24" i="22" l="1"/>
  <c r="I21" i="10"/>
  <c r="I11" i="22" s="1"/>
  <c r="I236" i="25" l="1"/>
  <c r="I39" i="38"/>
  <c r="I11" i="38" s="1"/>
  <c r="I236" i="26"/>
  <c r="I52" i="38"/>
  <c r="I53" i="8"/>
  <c r="I42" i="12"/>
  <c r="Z20" i="17"/>
  <c r="Z12" i="17"/>
  <c r="Z18" i="17"/>
  <c r="I21" i="12"/>
  <c r="I13" i="22" s="1"/>
  <c r="Z17" i="17"/>
  <c r="Z9" i="17"/>
  <c r="Z7" i="17"/>
  <c r="Z19" i="17"/>
  <c r="I56" i="8"/>
  <c r="Z10" i="17"/>
  <c r="I55" i="8"/>
  <c r="I26" i="22" l="1"/>
  <c r="I26" i="38"/>
  <c r="I238" i="25"/>
  <c r="I41" i="38"/>
  <c r="I13" i="38" s="1"/>
  <c r="I52" i="8"/>
  <c r="I61" i="8"/>
  <c r="I58" i="8"/>
  <c r="I62" i="8"/>
  <c r="I60" i="8"/>
  <c r="I54" i="8"/>
  <c r="I49" i="8"/>
  <c r="I59" i="8"/>
  <c r="I51" i="8"/>
  <c r="I238" i="26" l="1"/>
  <c r="I54" i="38"/>
  <c r="I141" i="8"/>
  <c r="I17" i="8" s="1"/>
  <c r="I17" i="16" s="1"/>
  <c r="I19" i="3"/>
  <c r="I37" i="19"/>
  <c r="I143" i="8"/>
  <c r="I19" i="8" s="1"/>
  <c r="I19" i="16" s="1"/>
  <c r="I144" i="8"/>
  <c r="I20" i="8" s="1"/>
  <c r="I20" i="16" s="1"/>
  <c r="I40" i="17"/>
  <c r="I35" i="17"/>
  <c r="I138" i="8"/>
  <c r="I14" i="8" s="1"/>
  <c r="I136" i="8"/>
  <c r="I12" i="8" s="1"/>
  <c r="I135" i="8"/>
  <c r="I11" i="8" s="1"/>
  <c r="I11" i="16" s="1"/>
  <c r="I134" i="8"/>
  <c r="I10" i="8" s="1"/>
  <c r="I10" i="16" s="1"/>
  <c r="I164" i="8"/>
  <c r="I41" i="8" s="1"/>
  <c r="I41" i="17"/>
  <c r="I38" i="17"/>
  <c r="I32" i="19"/>
  <c r="I140" i="8"/>
  <c r="I16" i="8" s="1"/>
  <c r="I41" i="19"/>
  <c r="I40" i="19"/>
  <c r="I137" i="8"/>
  <c r="I13" i="8" s="1"/>
  <c r="I13" i="16" s="1"/>
  <c r="I131" i="8"/>
  <c r="I133" i="8"/>
  <c r="I9" i="8" s="1"/>
  <c r="I142" i="8"/>
  <c r="I18" i="8" s="1"/>
  <c r="I18" i="16" s="1"/>
  <c r="I35" i="19"/>
  <c r="I143" i="26"/>
  <c r="I187" i="26"/>
  <c r="I113" i="26"/>
  <c r="I157" i="26"/>
  <c r="I112" i="26"/>
  <c r="I188" i="26"/>
  <c r="I203" i="26"/>
  <c r="I68" i="26"/>
  <c r="I202" i="26"/>
  <c r="I119" i="26" l="1"/>
  <c r="I194" i="26"/>
  <c r="I209" i="26"/>
  <c r="I20" i="3"/>
  <c r="I40" i="3" s="1"/>
  <c r="I14" i="3"/>
  <c r="I34" i="3" s="1"/>
  <c r="I163" i="8"/>
  <c r="I40" i="8" s="1"/>
  <c r="I158" i="8"/>
  <c r="I35" i="8" s="1"/>
  <c r="I151" i="8"/>
  <c r="I39" i="3"/>
  <c r="I14" i="16"/>
  <c r="I18" i="3"/>
  <c r="I38" i="3" s="1"/>
  <c r="I9" i="16"/>
  <c r="I34" i="19"/>
  <c r="I157" i="8"/>
  <c r="I34" i="8" s="1"/>
  <c r="I34" i="17"/>
  <c r="I30" i="17"/>
  <c r="I153" i="8"/>
  <c r="I30" i="8" s="1"/>
  <c r="I16" i="3"/>
  <c r="I36" i="3" s="1"/>
  <c r="I10" i="3"/>
  <c r="I30" i="3" s="1"/>
  <c r="I12" i="3"/>
  <c r="I32" i="3" s="1"/>
  <c r="I102" i="3"/>
  <c r="I162" i="8"/>
  <c r="I39" i="8" s="1"/>
  <c r="I39" i="17"/>
  <c r="I28" i="17"/>
  <c r="I38" i="19"/>
  <c r="I13" i="3"/>
  <c r="I33" i="3" s="1"/>
  <c r="I16" i="16"/>
  <c r="I108" i="3"/>
  <c r="I128" i="3" s="1"/>
  <c r="I154" i="8"/>
  <c r="I31" i="8" s="1"/>
  <c r="I31" i="17"/>
  <c r="I11" i="3"/>
  <c r="I31" i="3" s="1"/>
  <c r="I12" i="16"/>
  <c r="I31" i="19"/>
  <c r="I39" i="19"/>
  <c r="I9" i="3"/>
  <c r="I29" i="3" s="1"/>
  <c r="I107" i="3"/>
  <c r="I30" i="19"/>
  <c r="I37" i="17"/>
  <c r="I160" i="8"/>
  <c r="I37" i="8" s="1"/>
  <c r="I161" i="8"/>
  <c r="I38" i="8" s="1"/>
  <c r="I32" i="17"/>
  <c r="I155" i="8"/>
  <c r="I32" i="8" s="1"/>
  <c r="I33" i="17"/>
  <c r="I156" i="8"/>
  <c r="I33" i="8" s="1"/>
  <c r="I17" i="3"/>
  <c r="I37" i="3" s="1"/>
  <c r="I33" i="19"/>
  <c r="I97" i="26"/>
  <c r="I142" i="26"/>
  <c r="I37" i="26"/>
  <c r="I173" i="26"/>
  <c r="I53" i="26"/>
  <c r="I172" i="26"/>
  <c r="I82" i="26"/>
  <c r="I98" i="26"/>
  <c r="I67" i="26"/>
  <c r="I52" i="26"/>
  <c r="I38" i="26"/>
  <c r="I158" i="26"/>
  <c r="I7" i="26"/>
  <c r="I83" i="26"/>
  <c r="I104" i="26" l="1"/>
  <c r="I74" i="26"/>
  <c r="I164" i="26"/>
  <c r="I89" i="26"/>
  <c r="I179" i="26"/>
  <c r="I149" i="26"/>
  <c r="I59" i="26"/>
  <c r="I44" i="26"/>
  <c r="I127" i="3"/>
  <c r="I122" i="3"/>
  <c r="I101" i="3"/>
  <c r="I121" i="3" s="1"/>
  <c r="I104" i="3"/>
  <c r="I124" i="3" s="1"/>
  <c r="I98" i="3"/>
  <c r="I118" i="3" s="1"/>
  <c r="I105" i="3"/>
  <c r="I125" i="3" s="1"/>
  <c r="I106" i="3"/>
  <c r="I126" i="3" s="1"/>
  <c r="I97" i="3"/>
  <c r="I117" i="3" s="1"/>
  <c r="I99" i="3"/>
  <c r="I119" i="3" s="1"/>
  <c r="I100" i="3"/>
  <c r="I120" i="3" s="1"/>
  <c r="Z15" i="17" l="1"/>
  <c r="I57" i="8" l="1"/>
  <c r="I139" i="8" l="1"/>
  <c r="I15" i="8" s="1"/>
  <c r="I36" i="17" l="1"/>
  <c r="I159" i="8"/>
  <c r="I36" i="8" s="1"/>
  <c r="I15" i="3"/>
  <c r="I35" i="3" s="1"/>
  <c r="I36" i="19"/>
  <c r="I15" i="16"/>
  <c r="I128" i="26"/>
  <c r="I127" i="26"/>
  <c r="I134" i="26" l="1"/>
  <c r="I103" i="3"/>
  <c r="I123" i="3" s="1"/>
  <c r="Z8" i="17" l="1"/>
  <c r="I50" i="8" l="1"/>
  <c r="I63" i="8" s="1"/>
  <c r="I63" i="17"/>
  <c r="I67" i="18"/>
  <c r="I63" i="19"/>
  <c r="I109" i="18" l="1"/>
  <c r="I21" i="11" l="1"/>
  <c r="I12" i="22" s="1"/>
  <c r="I237" i="25" l="1"/>
  <c r="I40" i="38"/>
  <c r="I12" i="38" s="1"/>
  <c r="I25" i="22"/>
  <c r="I237" i="26" l="1"/>
  <c r="I53" i="38"/>
  <c r="I145" i="19"/>
  <c r="I10" i="22" s="1"/>
  <c r="I235" i="25" l="1"/>
  <c r="I38" i="38"/>
  <c r="I132" i="8"/>
  <c r="I8" i="8" s="1"/>
  <c r="I145" i="17"/>
  <c r="I9" i="22" s="1"/>
  <c r="I152" i="8"/>
  <c r="I29" i="19"/>
  <c r="I165" i="19"/>
  <c r="I29" i="17"/>
  <c r="I165" i="17"/>
  <c r="I21" i="17"/>
  <c r="I8" i="3"/>
  <c r="I23" i="26"/>
  <c r="I22" i="26"/>
  <c r="I10" i="38" l="1"/>
  <c r="I23" i="22"/>
  <c r="I23" i="38"/>
  <c r="I234" i="25"/>
  <c r="I37" i="38"/>
  <c r="I9" i="38" s="1"/>
  <c r="I22" i="22"/>
  <c r="I22" i="38"/>
  <c r="I29" i="26"/>
  <c r="I217" i="26"/>
  <c r="I7" i="22"/>
  <c r="I145" i="8"/>
  <c r="I29" i="8"/>
  <c r="I165" i="8"/>
  <c r="I96" i="3"/>
  <c r="I42" i="17"/>
  <c r="I28" i="3"/>
  <c r="I8" i="16"/>
  <c r="I232" i="25" l="1"/>
  <c r="I35" i="38"/>
  <c r="I235" i="26"/>
  <c r="I51" i="38"/>
  <c r="I60" i="38" s="1"/>
  <c r="J64" i="38" s="1"/>
  <c r="I20" i="22"/>
  <c r="I48" i="38" s="1"/>
  <c r="I20" i="38"/>
  <c r="I234" i="26"/>
  <c r="I50" i="38"/>
  <c r="I116" i="3"/>
  <c r="I7" i="38" l="1"/>
  <c r="I232" i="26"/>
  <c r="I21" i="19"/>
  <c r="I8" i="22" s="1"/>
  <c r="I36" i="38" s="1"/>
  <c r="I7" i="3"/>
  <c r="I21" i="3" s="1"/>
  <c r="I8" i="38" l="1"/>
  <c r="I42" i="38"/>
  <c r="I14" i="22"/>
  <c r="I233" i="25"/>
  <c r="I239" i="25" s="1"/>
  <c r="I100" i="23"/>
  <c r="I14" i="38" l="1"/>
  <c r="I104" i="19"/>
  <c r="I124" i="19" l="1"/>
  <c r="I90" i="8"/>
  <c r="I7" i="8" s="1"/>
  <c r="I110" i="8" l="1"/>
  <c r="I28" i="8" s="1"/>
  <c r="I28" i="19"/>
  <c r="I104" i="8"/>
  <c r="I21" i="8"/>
  <c r="I27" i="3"/>
  <c r="I41" i="3" s="1"/>
  <c r="I7" i="16"/>
  <c r="I21" i="16" s="1"/>
  <c r="I8" i="26"/>
  <c r="I218" i="26" l="1"/>
  <c r="I14" i="26"/>
  <c r="I42" i="19"/>
  <c r="I124" i="8"/>
  <c r="I95" i="3"/>
  <c r="I109" i="3" s="1"/>
  <c r="I42" i="8"/>
  <c r="I27" i="16" s="1"/>
  <c r="I21" i="22" l="1"/>
  <c r="I21" i="38"/>
  <c r="I115" i="3"/>
  <c r="I129" i="3" s="1"/>
  <c r="I233" i="26"/>
  <c r="I239" i="26" s="1"/>
  <c r="I224" i="26"/>
  <c r="Z13" i="17"/>
  <c r="Z16" i="17"/>
  <c r="Z14" i="17"/>
  <c r="I27" i="38" l="1"/>
  <c r="I67" i="38"/>
  <c r="I27" i="22"/>
  <c r="I49" i="38"/>
  <c r="I46" i="7"/>
  <c r="J46" i="7" s="1"/>
  <c r="I55" i="38" l="1"/>
  <c r="I59" i="38"/>
  <c r="J63" i="38" s="1"/>
  <c r="I61" i="38"/>
  <c r="I42" i="7"/>
  <c r="J42" i="7" s="1"/>
  <c r="I48" i="7"/>
  <c r="J48" i="7" s="1"/>
  <c r="I44" i="7"/>
  <c r="J44" i="7" s="1"/>
  <c r="I38" i="7"/>
  <c r="J38" i="7" s="1"/>
  <c r="I39" i="7"/>
  <c r="J39" i="7" s="1"/>
  <c r="I41" i="7"/>
  <c r="J41" i="7" s="1"/>
  <c r="I47" i="7"/>
  <c r="J47" i="7" s="1"/>
  <c r="I40" i="7"/>
  <c r="J40" i="7" s="1"/>
  <c r="I37" i="7"/>
  <c r="J37" i="7" s="1"/>
  <c r="I45" i="7"/>
  <c r="J45" i="7" s="1"/>
  <c r="I35" i="7"/>
  <c r="J35" i="7" s="1"/>
  <c r="D87" i="18" l="1"/>
  <c r="D86" i="18"/>
  <c r="D81" i="18"/>
  <c r="D77" i="18"/>
  <c r="D83" i="18"/>
  <c r="D76" i="18"/>
  <c r="D82" i="18"/>
  <c r="D80" i="18"/>
  <c r="D79" i="18"/>
  <c r="D85" i="18"/>
  <c r="D74" i="18"/>
  <c r="D84" i="18"/>
  <c r="D75" i="18"/>
  <c r="D21" i="13"/>
  <c r="D78" i="18" l="1"/>
  <c r="D88" i="18" s="1"/>
  <c r="D46" i="18"/>
  <c r="D22" i="24" l="1"/>
  <c r="D16" i="24"/>
  <c r="D19" i="24"/>
  <c r="Q21" i="13"/>
  <c r="D13" i="24"/>
  <c r="D17" i="24"/>
  <c r="D10" i="24"/>
  <c r="D21" i="24"/>
  <c r="D12" i="24"/>
  <c r="D15" i="24"/>
  <c r="D23" i="24"/>
  <c r="D20" i="24"/>
  <c r="D41" i="24" l="1"/>
  <c r="D61" i="24"/>
  <c r="D99" i="24"/>
  <c r="D91" i="24"/>
  <c r="D53" i="24"/>
  <c r="D33" i="24"/>
  <c r="D40" i="24"/>
  <c r="D60" i="24"/>
  <c r="D98" i="24"/>
  <c r="D14" i="24"/>
  <c r="D42" i="24"/>
  <c r="D100" i="24"/>
  <c r="D62" i="24"/>
  <c r="D51" i="24"/>
  <c r="D89" i="24"/>
  <c r="D31" i="24"/>
  <c r="D37" i="24"/>
  <c r="D95" i="24"/>
  <c r="D57" i="24"/>
  <c r="D102" i="24"/>
  <c r="D44" i="24"/>
  <c r="D64" i="24"/>
  <c r="D96" i="24"/>
  <c r="D38" i="24"/>
  <c r="D58" i="24"/>
  <c r="D36" i="24"/>
  <c r="D56" i="24"/>
  <c r="D94" i="24"/>
  <c r="D34" i="24"/>
  <c r="D92" i="24"/>
  <c r="D54" i="24"/>
  <c r="D101" i="24"/>
  <c r="D43" i="24"/>
  <c r="D63" i="24"/>
  <c r="Q12" i="24" l="1"/>
  <c r="Q91" i="24" s="1"/>
  <c r="Q55" i="18"/>
  <c r="D55" i="24"/>
  <c r="D93" i="24"/>
  <c r="D35" i="24"/>
  <c r="Q20" i="24"/>
  <c r="Q99" i="24" s="1"/>
  <c r="Q63" i="18"/>
  <c r="Q22" i="24" l="1"/>
  <c r="Q101" i="24" s="1"/>
  <c r="Q60" i="18"/>
  <c r="Q76" i="18"/>
  <c r="Q62" i="18"/>
  <c r="Q84" i="18"/>
  <c r="Q23" i="24"/>
  <c r="Q102" i="24" s="1"/>
  <c r="Q10" i="24"/>
  <c r="Q89" i="24" s="1"/>
  <c r="Q53" i="18"/>
  <c r="Q64" i="18"/>
  <c r="Q21" i="24"/>
  <c r="Q100" i="24" s="1"/>
  <c r="Q58" i="18"/>
  <c r="Q15" i="24"/>
  <c r="Q94" i="24" s="1"/>
  <c r="Q13" i="24"/>
  <c r="Q92" i="24" s="1"/>
  <c r="Q56" i="18"/>
  <c r="Q17" i="24"/>
  <c r="Q96" i="24" s="1"/>
  <c r="Q59" i="18"/>
  <c r="Q16" i="24"/>
  <c r="Q95" i="24" s="1"/>
  <c r="Q65" i="18" l="1"/>
  <c r="Q86" i="18" s="1"/>
  <c r="Q19" i="24"/>
  <c r="Q98" i="24" s="1"/>
  <c r="Q66" i="18"/>
  <c r="Q87" i="18" s="1"/>
  <c r="Q80" i="18"/>
  <c r="Q14" i="24"/>
  <c r="Q93" i="24" s="1"/>
  <c r="Q81" i="18"/>
  <c r="Q83" i="18"/>
  <c r="Q85" i="18"/>
  <c r="Q77" i="18"/>
  <c r="Q79" i="18"/>
  <c r="Q57" i="18"/>
  <c r="Q74" i="18"/>
  <c r="Q78" i="18" l="1"/>
  <c r="P28" i="23" l="1"/>
  <c r="R28" i="23"/>
  <c r="Q28" i="23"/>
  <c r="Q30" i="23"/>
  <c r="R30" i="23"/>
  <c r="P30" i="23"/>
  <c r="R36" i="23"/>
  <c r="Q36" i="23"/>
  <c r="P36" i="23"/>
  <c r="Q40" i="23"/>
  <c r="P40" i="23"/>
  <c r="R40" i="23"/>
  <c r="Q37" i="23"/>
  <c r="P37" i="23"/>
  <c r="R37" i="23"/>
  <c r="R38" i="23"/>
  <c r="Q38" i="23"/>
  <c r="P38" i="23"/>
  <c r="Q31" i="23"/>
  <c r="R31" i="23"/>
  <c r="P31" i="23"/>
  <c r="Q33" i="23"/>
  <c r="P33" i="23"/>
  <c r="R33" i="23"/>
  <c r="Q35" i="23"/>
  <c r="R35" i="23"/>
  <c r="P35" i="23"/>
  <c r="R32" i="23"/>
  <c r="P32" i="23"/>
  <c r="Q32" i="23"/>
  <c r="R29" i="23"/>
  <c r="P29" i="23"/>
  <c r="Q29" i="23"/>
  <c r="R34" i="23"/>
  <c r="P34" i="23"/>
  <c r="Q34" i="23"/>
  <c r="P39" i="23"/>
  <c r="Q39" i="23"/>
  <c r="R39" i="23"/>
  <c r="R81" i="17" l="1"/>
  <c r="R81" i="19"/>
  <c r="Q76" i="19"/>
  <c r="Q76" i="17"/>
  <c r="P71" i="19"/>
  <c r="P71" i="17"/>
  <c r="R74" i="19"/>
  <c r="R74" i="17"/>
  <c r="R75" i="19"/>
  <c r="R75" i="17"/>
  <c r="R73" i="19"/>
  <c r="R73" i="17"/>
  <c r="R80" i="19"/>
  <c r="R80" i="17"/>
  <c r="R82" i="17"/>
  <c r="R82" i="19"/>
  <c r="Q78" i="17"/>
  <c r="Q78" i="19"/>
  <c r="Q72" i="19"/>
  <c r="Q72" i="17"/>
  <c r="P76" i="19"/>
  <c r="P76" i="17"/>
  <c r="R71" i="17"/>
  <c r="R71" i="19"/>
  <c r="P77" i="17"/>
  <c r="P77" i="19"/>
  <c r="P75" i="19"/>
  <c r="P75" i="17"/>
  <c r="Q73" i="19"/>
  <c r="Q73" i="17"/>
  <c r="R79" i="19"/>
  <c r="R79" i="17"/>
  <c r="P82" i="17"/>
  <c r="P82" i="19"/>
  <c r="R78" i="19"/>
  <c r="R78" i="17"/>
  <c r="Q70" i="19"/>
  <c r="Q70" i="17"/>
  <c r="Q81" i="17"/>
  <c r="Q81" i="19"/>
  <c r="R76" i="19"/>
  <c r="R76" i="17"/>
  <c r="Q74" i="19"/>
  <c r="Q74" i="17"/>
  <c r="R77" i="19"/>
  <c r="R77" i="17"/>
  <c r="Q75" i="19"/>
  <c r="Q75" i="17"/>
  <c r="P80" i="17"/>
  <c r="P80" i="19"/>
  <c r="P79" i="17"/>
  <c r="P79" i="19"/>
  <c r="Q82" i="19"/>
  <c r="Q82" i="17"/>
  <c r="P72" i="19"/>
  <c r="P72" i="17"/>
  <c r="R70" i="19"/>
  <c r="R70" i="17"/>
  <c r="P81" i="17"/>
  <c r="P81" i="19"/>
  <c r="Q71" i="19"/>
  <c r="Q71" i="17"/>
  <c r="P74" i="19"/>
  <c r="P74" i="17"/>
  <c r="Q77" i="17"/>
  <c r="Q77" i="19"/>
  <c r="P73" i="19"/>
  <c r="P73" i="17"/>
  <c r="Q80" i="17"/>
  <c r="Q80" i="19"/>
  <c r="Q79" i="17"/>
  <c r="Q79" i="19"/>
  <c r="P78" i="19"/>
  <c r="P78" i="17"/>
  <c r="R72" i="17"/>
  <c r="R72" i="19"/>
  <c r="P70" i="19"/>
  <c r="P70" i="17"/>
  <c r="AG20" i="23"/>
  <c r="AH20" i="23"/>
  <c r="AI20" i="23"/>
  <c r="E9" i="7" l="1"/>
  <c r="H9" i="7"/>
  <c r="G9" i="7"/>
  <c r="F9" i="7"/>
  <c r="Q27" i="23"/>
  <c r="Q20" i="23"/>
  <c r="G13" i="7"/>
  <c r="H13" i="7"/>
  <c r="F13" i="7"/>
  <c r="E13" i="7"/>
  <c r="H10" i="7"/>
  <c r="E10" i="7"/>
  <c r="G10" i="7"/>
  <c r="F10" i="7"/>
  <c r="G20" i="7"/>
  <c r="E20" i="7"/>
  <c r="H20" i="7"/>
  <c r="F20" i="7"/>
  <c r="P70" i="8"/>
  <c r="P72" i="8"/>
  <c r="P79" i="8"/>
  <c r="Q75" i="8"/>
  <c r="Q74" i="8"/>
  <c r="Q81" i="8"/>
  <c r="P82" i="8"/>
  <c r="Q73" i="8"/>
  <c r="P77" i="8"/>
  <c r="P76" i="8"/>
  <c r="Q70" i="8"/>
  <c r="Q78" i="8"/>
  <c r="R80" i="8"/>
  <c r="R75" i="8"/>
  <c r="P71" i="8"/>
  <c r="P20" i="23"/>
  <c r="P27" i="23"/>
  <c r="P78" i="8"/>
  <c r="Q80" i="8"/>
  <c r="Q77" i="8"/>
  <c r="Q71" i="8"/>
  <c r="F12" i="7"/>
  <c r="G12" i="7"/>
  <c r="H12" i="7"/>
  <c r="E12" i="7"/>
  <c r="O21" i="13"/>
  <c r="E14" i="7"/>
  <c r="G14" i="7"/>
  <c r="F14" i="7"/>
  <c r="H14" i="7"/>
  <c r="F17" i="7"/>
  <c r="H17" i="7"/>
  <c r="E17" i="7"/>
  <c r="G17" i="7"/>
  <c r="F16" i="7"/>
  <c r="E16" i="7"/>
  <c r="H16" i="7"/>
  <c r="G16" i="7"/>
  <c r="P80" i="8"/>
  <c r="R71" i="8"/>
  <c r="F7" i="7"/>
  <c r="G7" i="7"/>
  <c r="E7" i="7"/>
  <c r="H7" i="7"/>
  <c r="E11" i="7"/>
  <c r="G11" i="7"/>
  <c r="H11" i="7"/>
  <c r="F11" i="7"/>
  <c r="H19" i="7"/>
  <c r="G19" i="7"/>
  <c r="F19" i="7"/>
  <c r="E19" i="7"/>
  <c r="R27" i="23"/>
  <c r="R20" i="23"/>
  <c r="Q82" i="8"/>
  <c r="R77" i="8"/>
  <c r="R76" i="8"/>
  <c r="R70" i="8"/>
  <c r="R78" i="8"/>
  <c r="R79" i="8"/>
  <c r="P75" i="8"/>
  <c r="R81" i="8"/>
  <c r="Q72" i="8"/>
  <c r="R82" i="8"/>
  <c r="R73" i="8"/>
  <c r="R74" i="8"/>
  <c r="Q76" i="8"/>
  <c r="R72" i="8"/>
  <c r="Q79" i="8"/>
  <c r="P73" i="8"/>
  <c r="P74" i="8"/>
  <c r="P81" i="8"/>
  <c r="R69" i="19" l="1"/>
  <c r="R69" i="17"/>
  <c r="P69" i="17"/>
  <c r="P69" i="19"/>
  <c r="Q69" i="17"/>
  <c r="Q69" i="19"/>
  <c r="O10" i="24"/>
  <c r="O89" i="24" s="1"/>
  <c r="O59" i="18"/>
  <c r="O62" i="18"/>
  <c r="O13" i="24"/>
  <c r="O92" i="24" s="1"/>
  <c r="O63" i="18"/>
  <c r="O56" i="18"/>
  <c r="O15" i="24"/>
  <c r="O94" i="24" s="1"/>
  <c r="O58" i="18"/>
  <c r="R41" i="23"/>
  <c r="O20" i="24"/>
  <c r="O99" i="24" s="1"/>
  <c r="O12" i="24"/>
  <c r="O91" i="24" s="1"/>
  <c r="O55" i="18"/>
  <c r="O66" i="18"/>
  <c r="O23" i="24"/>
  <c r="O102" i="24" s="1"/>
  <c r="P41" i="23"/>
  <c r="Q41" i="23"/>
  <c r="O60" i="18"/>
  <c r="O17" i="24"/>
  <c r="O96" i="24" s="1"/>
  <c r="O16" i="24"/>
  <c r="O95" i="24" s="1"/>
  <c r="O22" i="24"/>
  <c r="O101" i="24" s="1"/>
  <c r="O65" i="18"/>
  <c r="O19" i="24"/>
  <c r="O98" i="24" s="1"/>
  <c r="O53" i="18" l="1"/>
  <c r="O74" i="18" s="1"/>
  <c r="O87" i="18"/>
  <c r="O84" i="18"/>
  <c r="O57" i="18"/>
  <c r="O77" i="18"/>
  <c r="O79" i="18"/>
  <c r="O86" i="18"/>
  <c r="O83" i="18"/>
  <c r="O80" i="18"/>
  <c r="P17" i="24"/>
  <c r="P96" i="24" s="1"/>
  <c r="P60" i="18"/>
  <c r="P62" i="18"/>
  <c r="P19" i="24"/>
  <c r="P98" i="24" s="1"/>
  <c r="P56" i="18"/>
  <c r="P13" i="24"/>
  <c r="P92" i="24" s="1"/>
  <c r="O81" i="18"/>
  <c r="P63" i="18"/>
  <c r="P20" i="24"/>
  <c r="P99" i="24" s="1"/>
  <c r="Q69" i="8"/>
  <c r="Q83" i="17"/>
  <c r="P69" i="8"/>
  <c r="P83" i="17"/>
  <c r="O14" i="24"/>
  <c r="O93" i="24" s="1"/>
  <c r="R83" i="19"/>
  <c r="P21" i="13"/>
  <c r="P16" i="24"/>
  <c r="P95" i="24" s="1"/>
  <c r="P59" i="18"/>
  <c r="P83" i="19"/>
  <c r="O21" i="24"/>
  <c r="O100" i="24" s="1"/>
  <c r="O64" i="18"/>
  <c r="P58" i="18"/>
  <c r="P15" i="24"/>
  <c r="P94" i="24" s="1"/>
  <c r="R83" i="17"/>
  <c r="R69" i="8"/>
  <c r="O76" i="18"/>
  <c r="P65" i="18"/>
  <c r="P22" i="24"/>
  <c r="P101" i="24" s="1"/>
  <c r="P12" i="24"/>
  <c r="P91" i="24" s="1"/>
  <c r="P55" i="18"/>
  <c r="Q83" i="19"/>
  <c r="P79" i="18" l="1"/>
  <c r="O85" i="18"/>
  <c r="O78" i="18"/>
  <c r="P14" i="24"/>
  <c r="P93" i="24" s="1"/>
  <c r="P21" i="24"/>
  <c r="P100" i="24" s="1"/>
  <c r="P84" i="18"/>
  <c r="P77" i="18"/>
  <c r="P80" i="18"/>
  <c r="P81" i="18"/>
  <c r="P76" i="18"/>
  <c r="P83" i="18"/>
  <c r="P86" i="18"/>
  <c r="P23" i="24"/>
  <c r="P102" i="24" s="1"/>
  <c r="P66" i="18"/>
  <c r="P10" i="24"/>
  <c r="P89" i="24" s="1"/>
  <c r="P53" i="18"/>
  <c r="P57" i="18"/>
  <c r="R83" i="8"/>
  <c r="Q83" i="8"/>
  <c r="P83" i="8"/>
  <c r="P87" i="18" l="1"/>
  <c r="P74" i="18"/>
  <c r="P78" i="18"/>
  <c r="P64" i="18"/>
  <c r="P85" i="18" s="1"/>
  <c r="N21" i="13" l="1"/>
  <c r="M21" i="13" l="1"/>
  <c r="N55" i="18"/>
  <c r="N12" i="24"/>
  <c r="N91" i="24" s="1"/>
  <c r="N15" i="24"/>
  <c r="N94" i="24" s="1"/>
  <c r="N58" i="18"/>
  <c r="N65" i="18"/>
  <c r="N22" i="24"/>
  <c r="N101" i="24" s="1"/>
  <c r="N62" i="18"/>
  <c r="N19" i="24"/>
  <c r="N98" i="24" s="1"/>
  <c r="N56" i="18"/>
  <c r="N13" i="24"/>
  <c r="N92" i="24" s="1"/>
  <c r="N10" i="24"/>
  <c r="N89" i="24" s="1"/>
  <c r="N53" i="18"/>
  <c r="N66" i="18"/>
  <c r="N23" i="24"/>
  <c r="N102" i="24" s="1"/>
  <c r="N20" i="24"/>
  <c r="N99" i="24" s="1"/>
  <c r="N63" i="18"/>
  <c r="N60" i="18"/>
  <c r="N17" i="24"/>
  <c r="N96" i="24" s="1"/>
  <c r="N16" i="24"/>
  <c r="N95" i="24" s="1"/>
  <c r="N59" i="18"/>
  <c r="N14" i="24" l="1"/>
  <c r="N93" i="24" s="1"/>
  <c r="N79" i="18"/>
  <c r="N87" i="18"/>
  <c r="N81" i="18"/>
  <c r="N77" i="18"/>
  <c r="M63" i="18"/>
  <c r="M60" i="18"/>
  <c r="N83" i="18"/>
  <c r="N80" i="18"/>
  <c r="N76" i="18"/>
  <c r="N86" i="18"/>
  <c r="N84" i="18"/>
  <c r="K21" i="13"/>
  <c r="M20" i="24"/>
  <c r="M99" i="24" s="1"/>
  <c r="M17" i="24"/>
  <c r="M96" i="24" s="1"/>
  <c r="M58" i="18"/>
  <c r="M15" i="24"/>
  <c r="M94" i="24" s="1"/>
  <c r="M59" i="18"/>
  <c r="M16" i="24"/>
  <c r="M95" i="24" s="1"/>
  <c r="M53" i="18"/>
  <c r="M10" i="24"/>
  <c r="M89" i="24" s="1"/>
  <c r="N57" i="18"/>
  <c r="M12" i="24"/>
  <c r="M91" i="24" s="1"/>
  <c r="M55" i="18"/>
  <c r="M62" i="18"/>
  <c r="M19" i="24"/>
  <c r="M98" i="24" s="1"/>
  <c r="M23" i="24"/>
  <c r="M102" i="24" s="1"/>
  <c r="M66" i="18"/>
  <c r="N21" i="24"/>
  <c r="N100" i="24" s="1"/>
  <c r="N64" i="18"/>
  <c r="L21" i="13"/>
  <c r="M22" i="24"/>
  <c r="M101" i="24" s="1"/>
  <c r="M65" i="18"/>
  <c r="M13" i="24"/>
  <c r="M92" i="24" s="1"/>
  <c r="M56" i="18"/>
  <c r="N74" i="18"/>
  <c r="M57" i="18" l="1"/>
  <c r="M87" i="18"/>
  <c r="N85" i="18"/>
  <c r="M83" i="18"/>
  <c r="M76" i="18"/>
  <c r="M79" i="18"/>
  <c r="M81" i="18"/>
  <c r="M86" i="18"/>
  <c r="M84" i="18"/>
  <c r="N78" i="18"/>
  <c r="M80" i="18"/>
  <c r="M77" i="18"/>
  <c r="G19" i="13"/>
  <c r="E19" i="13"/>
  <c r="F19" i="13"/>
  <c r="H19" i="13"/>
  <c r="I21" i="13"/>
  <c r="F7" i="13"/>
  <c r="G7" i="13"/>
  <c r="H7" i="13"/>
  <c r="E7" i="13"/>
  <c r="F20" i="13"/>
  <c r="E20" i="13"/>
  <c r="H20" i="13"/>
  <c r="G20" i="13"/>
  <c r="L63" i="18"/>
  <c r="L20" i="24"/>
  <c r="L99" i="24" s="1"/>
  <c r="K17" i="24"/>
  <c r="K96" i="24" s="1"/>
  <c r="K60" i="18"/>
  <c r="J60" i="18" s="1"/>
  <c r="J81" i="18" s="1"/>
  <c r="L22" i="24"/>
  <c r="L101" i="24" s="1"/>
  <c r="L65" i="18"/>
  <c r="K10" i="24"/>
  <c r="K89" i="24" s="1"/>
  <c r="K53" i="18"/>
  <c r="J53" i="18" s="1"/>
  <c r="J74" i="18" s="1"/>
  <c r="L13" i="24"/>
  <c r="L92" i="24" s="1"/>
  <c r="L56" i="18"/>
  <c r="K13" i="24"/>
  <c r="K92" i="24" s="1"/>
  <c r="K56" i="18"/>
  <c r="J56" i="18" s="1"/>
  <c r="J77" i="18" s="1"/>
  <c r="M21" i="24"/>
  <c r="M100" i="24" s="1"/>
  <c r="M64" i="18"/>
  <c r="M14" i="24"/>
  <c r="M93" i="24" s="1"/>
  <c r="E10" i="13"/>
  <c r="G10" i="13"/>
  <c r="F10" i="13"/>
  <c r="H10" i="13"/>
  <c r="G16" i="13"/>
  <c r="F16" i="13"/>
  <c r="E16" i="13"/>
  <c r="H16" i="13"/>
  <c r="G8" i="13"/>
  <c r="E8" i="13"/>
  <c r="F8" i="13"/>
  <c r="H8" i="13"/>
  <c r="L60" i="18"/>
  <c r="L17" i="24"/>
  <c r="L96" i="24" s="1"/>
  <c r="K59" i="18"/>
  <c r="J59" i="18" s="1"/>
  <c r="J80" i="18" s="1"/>
  <c r="K16" i="24"/>
  <c r="K95" i="24" s="1"/>
  <c r="L58" i="18"/>
  <c r="L15" i="24"/>
  <c r="L94" i="24" s="1"/>
  <c r="K12" i="24"/>
  <c r="K91" i="24" s="1"/>
  <c r="K55" i="18"/>
  <c r="J55" i="18" s="1"/>
  <c r="K15" i="24"/>
  <c r="K94" i="24" s="1"/>
  <c r="K58" i="18"/>
  <c r="J58" i="18" s="1"/>
  <c r="J79" i="18" s="1"/>
  <c r="M74" i="18"/>
  <c r="G14" i="13"/>
  <c r="H14" i="13"/>
  <c r="F14" i="13"/>
  <c r="E14" i="13"/>
  <c r="F11" i="13"/>
  <c r="G11" i="13"/>
  <c r="E11" i="13"/>
  <c r="H11" i="13"/>
  <c r="G17" i="13"/>
  <c r="E17" i="13"/>
  <c r="H17" i="13"/>
  <c r="F17" i="13"/>
  <c r="G15" i="13"/>
  <c r="F15" i="13"/>
  <c r="E15" i="13"/>
  <c r="H15" i="13"/>
  <c r="L62" i="18"/>
  <c r="L19" i="24"/>
  <c r="L98" i="24" s="1"/>
  <c r="K23" i="24"/>
  <c r="K102" i="24" s="1"/>
  <c r="K66" i="18"/>
  <c r="J66" i="18" s="1"/>
  <c r="J87" i="18" s="1"/>
  <c r="L16" i="24"/>
  <c r="L95" i="24" s="1"/>
  <c r="L59" i="18"/>
  <c r="K22" i="24"/>
  <c r="K101" i="24" s="1"/>
  <c r="K65" i="18"/>
  <c r="J65" i="18" s="1"/>
  <c r="J86" i="18" s="1"/>
  <c r="L66" i="18"/>
  <c r="L23" i="24"/>
  <c r="L102" i="24" s="1"/>
  <c r="E12" i="13"/>
  <c r="H12" i="13"/>
  <c r="G12" i="13"/>
  <c r="F12" i="13"/>
  <c r="H9" i="13"/>
  <c r="G9" i="13"/>
  <c r="E9" i="13"/>
  <c r="F9" i="13"/>
  <c r="E18" i="13"/>
  <c r="F18" i="13"/>
  <c r="H18" i="13"/>
  <c r="G18" i="13"/>
  <c r="E13" i="13"/>
  <c r="F13" i="13"/>
  <c r="H13" i="13"/>
  <c r="G13" i="13"/>
  <c r="L53" i="18"/>
  <c r="L10" i="24"/>
  <c r="L89" i="24" s="1"/>
  <c r="K20" i="24"/>
  <c r="K99" i="24" s="1"/>
  <c r="K63" i="18"/>
  <c r="J63" i="18" s="1"/>
  <c r="J84" i="18" s="1"/>
  <c r="L12" i="24"/>
  <c r="L91" i="24" s="1"/>
  <c r="L55" i="18"/>
  <c r="K62" i="18"/>
  <c r="J62" i="18" s="1"/>
  <c r="J83" i="18" s="1"/>
  <c r="K19" i="24"/>
  <c r="K98" i="24" s="1"/>
  <c r="J76" i="18" l="1"/>
  <c r="L81" i="18"/>
  <c r="K57" i="18"/>
  <c r="J57" i="18" s="1"/>
  <c r="J78" i="18" s="1"/>
  <c r="L87" i="18"/>
  <c r="L79" i="18"/>
  <c r="K21" i="24"/>
  <c r="K100" i="24" s="1"/>
  <c r="L83" i="18"/>
  <c r="K87" i="18"/>
  <c r="M78" i="18"/>
  <c r="L80" i="18"/>
  <c r="L77" i="18"/>
  <c r="L14" i="24"/>
  <c r="L93" i="24" s="1"/>
  <c r="K81" i="18"/>
  <c r="K77" i="18"/>
  <c r="L74" i="18"/>
  <c r="K79" i="18"/>
  <c r="E80" i="3"/>
  <c r="K84" i="18"/>
  <c r="L86" i="18"/>
  <c r="K76" i="18"/>
  <c r="M85" i="18"/>
  <c r="K86" i="18"/>
  <c r="K83" i="18"/>
  <c r="L76" i="18"/>
  <c r="K80" i="18"/>
  <c r="L84" i="18"/>
  <c r="F75" i="3"/>
  <c r="H75" i="3"/>
  <c r="G75" i="3"/>
  <c r="E75" i="3"/>
  <c r="F77" i="3"/>
  <c r="E77" i="3"/>
  <c r="G77" i="3"/>
  <c r="H77" i="3"/>
  <c r="I18" i="18"/>
  <c r="I17" i="24"/>
  <c r="I96" i="24" s="1"/>
  <c r="G54" i="3"/>
  <c r="E54" i="3"/>
  <c r="F54" i="3"/>
  <c r="H54" i="3"/>
  <c r="I13" i="18"/>
  <c r="I12" i="24"/>
  <c r="I91" i="24" s="1"/>
  <c r="F49" i="3"/>
  <c r="H49" i="3"/>
  <c r="G49" i="3"/>
  <c r="E49" i="3"/>
  <c r="E81" i="3"/>
  <c r="G81" i="3"/>
  <c r="H81" i="3"/>
  <c r="F81" i="3"/>
  <c r="H80" i="3"/>
  <c r="E22" i="13"/>
  <c r="H22" i="13"/>
  <c r="G22" i="13"/>
  <c r="F22" i="13"/>
  <c r="I22" i="18"/>
  <c r="E58" i="3"/>
  <c r="F58" i="3"/>
  <c r="G58" i="3"/>
  <c r="H58" i="3"/>
  <c r="I15" i="18"/>
  <c r="F51" i="3"/>
  <c r="H51" i="3"/>
  <c r="Z11" i="17" s="1"/>
  <c r="Z21" i="17" s="1"/>
  <c r="E51" i="3"/>
  <c r="G51" i="3"/>
  <c r="I23" i="18"/>
  <c r="E59" i="3"/>
  <c r="F59" i="3"/>
  <c r="G59" i="3"/>
  <c r="H59" i="3"/>
  <c r="K21" i="12"/>
  <c r="K13" i="22" s="1"/>
  <c r="K64" i="18"/>
  <c r="J64" i="18" s="1"/>
  <c r="J85" i="18" s="1"/>
  <c r="N42" i="12"/>
  <c r="O42" i="12"/>
  <c r="H21" i="13"/>
  <c r="L42" i="12"/>
  <c r="H73" i="3"/>
  <c r="G73" i="3"/>
  <c r="F73" i="3"/>
  <c r="E73" i="3"/>
  <c r="G78" i="3"/>
  <c r="H78" i="3"/>
  <c r="F78" i="3"/>
  <c r="E78" i="3"/>
  <c r="L64" i="18"/>
  <c r="L21" i="24"/>
  <c r="L100" i="24" s="1"/>
  <c r="K74" i="18"/>
  <c r="I10" i="24"/>
  <c r="I89" i="24" s="1"/>
  <c r="G47" i="3"/>
  <c r="M42" i="12"/>
  <c r="P42" i="12"/>
  <c r="Q21" i="12"/>
  <c r="Q13" i="22" s="1"/>
  <c r="G21" i="13"/>
  <c r="G74" i="3"/>
  <c r="E74" i="3"/>
  <c r="H74" i="3"/>
  <c r="F74" i="3"/>
  <c r="E68" i="3"/>
  <c r="F68" i="3"/>
  <c r="G68" i="3"/>
  <c r="H68" i="3"/>
  <c r="H71" i="3"/>
  <c r="E71" i="3"/>
  <c r="F71" i="3"/>
  <c r="G71" i="3"/>
  <c r="F70" i="3"/>
  <c r="E70" i="3"/>
  <c r="H70" i="3"/>
  <c r="G70" i="3"/>
  <c r="I16" i="18"/>
  <c r="I15" i="24"/>
  <c r="I94" i="24" s="1"/>
  <c r="E52" i="3"/>
  <c r="H52" i="3"/>
  <c r="G52" i="3"/>
  <c r="F52" i="3"/>
  <c r="I14" i="18"/>
  <c r="I13" i="24"/>
  <c r="I92" i="24" s="1"/>
  <c r="F50" i="3"/>
  <c r="G50" i="3"/>
  <c r="G13" i="24" s="1"/>
  <c r="E50" i="3"/>
  <c r="H50" i="3"/>
  <c r="K42" i="12"/>
  <c r="M21" i="12"/>
  <c r="M13" i="22" s="1"/>
  <c r="P21" i="12"/>
  <c r="P13" i="22" s="1"/>
  <c r="Q42" i="12"/>
  <c r="F21" i="13"/>
  <c r="I16" i="24"/>
  <c r="I95" i="24" s="1"/>
  <c r="I17" i="18"/>
  <c r="H53" i="3"/>
  <c r="G53" i="3"/>
  <c r="E53" i="3"/>
  <c r="F53" i="3"/>
  <c r="I24" i="18"/>
  <c r="I23" i="24"/>
  <c r="I102" i="24" s="1"/>
  <c r="E60" i="3"/>
  <c r="H60" i="3"/>
  <c r="G60" i="3"/>
  <c r="F60" i="3"/>
  <c r="I20" i="18"/>
  <c r="J104" i="18" s="1"/>
  <c r="I19" i="24"/>
  <c r="I98" i="24" s="1"/>
  <c r="F56" i="3"/>
  <c r="E56" i="3"/>
  <c r="G56" i="3"/>
  <c r="H56" i="3"/>
  <c r="I21" i="18"/>
  <c r="I20" i="24"/>
  <c r="I99" i="24" s="1"/>
  <c r="H57" i="3"/>
  <c r="G57" i="3"/>
  <c r="E57" i="3"/>
  <c r="F57" i="3"/>
  <c r="L21" i="12"/>
  <c r="L13" i="22" s="1"/>
  <c r="N21" i="12"/>
  <c r="N13" i="22" s="1"/>
  <c r="O21" i="12"/>
  <c r="O13" i="22" s="1"/>
  <c r="E21" i="13"/>
  <c r="K238" i="25" l="1"/>
  <c r="K41" i="38"/>
  <c r="K13" i="38" s="1"/>
  <c r="Q26" i="22"/>
  <c r="Q26" i="38"/>
  <c r="N238" i="25"/>
  <c r="N41" i="38"/>
  <c r="N13" i="38" s="1"/>
  <c r="Q238" i="25"/>
  <c r="Q41" i="38"/>
  <c r="Q13" i="38" s="1"/>
  <c r="L26" i="22"/>
  <c r="L26" i="38"/>
  <c r="L238" i="25"/>
  <c r="L41" i="38"/>
  <c r="L13" i="38" s="1"/>
  <c r="M238" i="25"/>
  <c r="M41" i="38"/>
  <c r="M13" i="38" s="1"/>
  <c r="P26" i="22"/>
  <c r="P26" i="38"/>
  <c r="P238" i="25"/>
  <c r="P41" i="38"/>
  <c r="P13" i="38" s="1"/>
  <c r="K26" i="22"/>
  <c r="K26" i="38"/>
  <c r="M26" i="22"/>
  <c r="M26" i="38"/>
  <c r="O26" i="22"/>
  <c r="O26" i="38"/>
  <c r="O238" i="25"/>
  <c r="O41" i="38"/>
  <c r="O13" i="38" s="1"/>
  <c r="N26" i="22"/>
  <c r="N26" i="38"/>
  <c r="P200" i="18"/>
  <c r="L200" i="18"/>
  <c r="O200" i="18"/>
  <c r="K200" i="18"/>
  <c r="M200" i="18"/>
  <c r="N200" i="18"/>
  <c r="Q200" i="18"/>
  <c r="P207" i="18"/>
  <c r="L207" i="18"/>
  <c r="M207" i="18"/>
  <c r="O207" i="18"/>
  <c r="K207" i="18"/>
  <c r="N207" i="18"/>
  <c r="Q207" i="18"/>
  <c r="P206" i="18"/>
  <c r="L206" i="18"/>
  <c r="O206" i="18"/>
  <c r="K206" i="18"/>
  <c r="M206" i="18"/>
  <c r="N206" i="18"/>
  <c r="Q206" i="18"/>
  <c r="P205" i="18"/>
  <c r="L205" i="18"/>
  <c r="Q205" i="18"/>
  <c r="O205" i="18"/>
  <c r="K205" i="18"/>
  <c r="N205" i="18"/>
  <c r="M205" i="18"/>
  <c r="P210" i="18"/>
  <c r="L210" i="18"/>
  <c r="O210" i="18"/>
  <c r="K210" i="18"/>
  <c r="M210" i="18"/>
  <c r="N210" i="18"/>
  <c r="Q210" i="18"/>
  <c r="P202" i="18"/>
  <c r="L202" i="18"/>
  <c r="Q202" i="18"/>
  <c r="O202" i="18"/>
  <c r="K202" i="18"/>
  <c r="N202" i="18"/>
  <c r="M202" i="18"/>
  <c r="P209" i="18"/>
  <c r="L209" i="18"/>
  <c r="Q209" i="18"/>
  <c r="O209" i="18"/>
  <c r="K209" i="18"/>
  <c r="N209" i="18"/>
  <c r="M209" i="18"/>
  <c r="P213" i="18"/>
  <c r="L213" i="18"/>
  <c r="M213" i="18"/>
  <c r="O213" i="18"/>
  <c r="K213" i="18"/>
  <c r="N213" i="18"/>
  <c r="Q213" i="18"/>
  <c r="P203" i="18"/>
  <c r="L203" i="18"/>
  <c r="O203" i="18"/>
  <c r="K203" i="18"/>
  <c r="M203" i="18"/>
  <c r="N203" i="18"/>
  <c r="Q203" i="18"/>
  <c r="J99" i="18"/>
  <c r="F13" i="24"/>
  <c r="F92" i="24" s="1"/>
  <c r="L105" i="18"/>
  <c r="J105" i="18"/>
  <c r="K108" i="18"/>
  <c r="J108" i="18"/>
  <c r="L97" i="18"/>
  <c r="J97" i="18"/>
  <c r="K101" i="18"/>
  <c r="J101" i="18"/>
  <c r="L98" i="18"/>
  <c r="J98" i="18"/>
  <c r="M106" i="18"/>
  <c r="J106" i="18"/>
  <c r="L102" i="18"/>
  <c r="J102" i="18"/>
  <c r="L100" i="18"/>
  <c r="J100" i="18"/>
  <c r="L107" i="18"/>
  <c r="J107" i="18"/>
  <c r="H19" i="24"/>
  <c r="H60" i="24" s="1"/>
  <c r="L58" i="8"/>
  <c r="L55" i="8"/>
  <c r="L57" i="18"/>
  <c r="L78" i="18" s="1"/>
  <c r="N49" i="8"/>
  <c r="O49" i="8"/>
  <c r="H47" i="3"/>
  <c r="H10" i="24" s="1"/>
  <c r="I11" i="18"/>
  <c r="F80" i="3"/>
  <c r="F22" i="24" s="1"/>
  <c r="K14" i="24"/>
  <c r="K93" i="24" s="1"/>
  <c r="K99" i="18" s="1"/>
  <c r="F47" i="3"/>
  <c r="F10" i="24" s="1"/>
  <c r="G80" i="3"/>
  <c r="G22" i="24" s="1"/>
  <c r="G101" i="24" s="1"/>
  <c r="E47" i="3"/>
  <c r="E10" i="24" s="1"/>
  <c r="I22" i="24"/>
  <c r="I101" i="24" s="1"/>
  <c r="H44" i="18"/>
  <c r="H86" i="18" s="1"/>
  <c r="L85" i="18"/>
  <c r="K78" i="18"/>
  <c r="G72" i="3"/>
  <c r="G14" i="24" s="1"/>
  <c r="G42" i="18"/>
  <c r="G84" i="18" s="1"/>
  <c r="G19" i="24"/>
  <c r="G40" i="24" s="1"/>
  <c r="F19" i="24"/>
  <c r="F40" i="24" s="1"/>
  <c r="K102" i="18"/>
  <c r="E19" i="24"/>
  <c r="E60" i="24" s="1"/>
  <c r="K97" i="18"/>
  <c r="K107" i="18"/>
  <c r="E23" i="24"/>
  <c r="E64" i="24" s="1"/>
  <c r="F15" i="24"/>
  <c r="F94" i="24" s="1"/>
  <c r="K106" i="18"/>
  <c r="H15" i="24"/>
  <c r="H94" i="24" s="1"/>
  <c r="H22" i="24"/>
  <c r="H101" i="24" s="1"/>
  <c r="H17" i="24"/>
  <c r="H38" i="24" s="1"/>
  <c r="K85" i="18"/>
  <c r="E20" i="24"/>
  <c r="E61" i="24" s="1"/>
  <c r="G23" i="24"/>
  <c r="G64" i="24" s="1"/>
  <c r="E16" i="24"/>
  <c r="E95" i="24" s="1"/>
  <c r="H20" i="24"/>
  <c r="H41" i="24" s="1"/>
  <c r="G15" i="24"/>
  <c r="G94" i="24" s="1"/>
  <c r="H23" i="24"/>
  <c r="H64" i="24" s="1"/>
  <c r="E15" i="24"/>
  <c r="E56" i="24" s="1"/>
  <c r="K100" i="18"/>
  <c r="H13" i="24"/>
  <c r="H34" i="24" s="1"/>
  <c r="L106" i="18"/>
  <c r="F16" i="24"/>
  <c r="F95" i="24" s="1"/>
  <c r="H12" i="24"/>
  <c r="H33" i="24" s="1"/>
  <c r="E17" i="24"/>
  <c r="E58" i="24" s="1"/>
  <c r="G20" i="24"/>
  <c r="G41" i="24" s="1"/>
  <c r="G16" i="24"/>
  <c r="G37" i="24" s="1"/>
  <c r="F20" i="24"/>
  <c r="F61" i="24" s="1"/>
  <c r="F23" i="24"/>
  <c r="F102" i="24" s="1"/>
  <c r="I84" i="18"/>
  <c r="F42" i="18"/>
  <c r="F84" i="18" s="1"/>
  <c r="I76" i="18"/>
  <c r="F34" i="18"/>
  <c r="F76" i="18" s="1"/>
  <c r="E34" i="18"/>
  <c r="E76" i="18" s="1"/>
  <c r="H34" i="18"/>
  <c r="H76" i="18" s="1"/>
  <c r="G34" i="18"/>
  <c r="G76" i="18" s="1"/>
  <c r="L59" i="8"/>
  <c r="Q59" i="8"/>
  <c r="Q58" i="8"/>
  <c r="I81" i="18"/>
  <c r="G39" i="18"/>
  <c r="G81" i="18" s="1"/>
  <c r="F39" i="18"/>
  <c r="F81" i="18" s="1"/>
  <c r="H39" i="18"/>
  <c r="H81" i="18" s="1"/>
  <c r="E39" i="18"/>
  <c r="E81" i="18" s="1"/>
  <c r="I83" i="18"/>
  <c r="G41" i="18"/>
  <c r="G83" i="18" s="1"/>
  <c r="E41" i="18"/>
  <c r="E83" i="18" s="1"/>
  <c r="H41" i="18"/>
  <c r="H83" i="18" s="1"/>
  <c r="F41" i="18"/>
  <c r="F83" i="18" s="1"/>
  <c r="F44" i="18"/>
  <c r="F86" i="18" s="1"/>
  <c r="I74" i="18"/>
  <c r="K116" i="18" s="1"/>
  <c r="H32" i="18"/>
  <c r="G32" i="18"/>
  <c r="E32" i="18"/>
  <c r="F32" i="18"/>
  <c r="N59" i="8"/>
  <c r="O59" i="8"/>
  <c r="N58" i="8"/>
  <c r="O58" i="8"/>
  <c r="Q62" i="8"/>
  <c r="M55" i="8"/>
  <c r="P55" i="8"/>
  <c r="H16" i="24"/>
  <c r="K58" i="8"/>
  <c r="N52" i="8"/>
  <c r="O52" i="8"/>
  <c r="E13" i="24"/>
  <c r="Q98" i="18"/>
  <c r="O98" i="18"/>
  <c r="P98" i="18"/>
  <c r="N98" i="18"/>
  <c r="M98" i="18"/>
  <c r="N54" i="8"/>
  <c r="L62" i="8"/>
  <c r="L53" i="8"/>
  <c r="L60" i="8"/>
  <c r="K98" i="18"/>
  <c r="K105" i="18"/>
  <c r="O61" i="8"/>
  <c r="Q107" i="18"/>
  <c r="O107" i="18"/>
  <c r="P107" i="18"/>
  <c r="N107" i="18"/>
  <c r="M107" i="18"/>
  <c r="N53" i="8"/>
  <c r="O53" i="8"/>
  <c r="Q99" i="18"/>
  <c r="O99" i="18"/>
  <c r="P99" i="18"/>
  <c r="N99" i="18"/>
  <c r="M99" i="18"/>
  <c r="P60" i="8"/>
  <c r="N51" i="8"/>
  <c r="G12" i="24"/>
  <c r="Q97" i="18"/>
  <c r="O97" i="18"/>
  <c r="P97" i="18"/>
  <c r="N97" i="18"/>
  <c r="M97" i="18"/>
  <c r="F17" i="24"/>
  <c r="Q102" i="18"/>
  <c r="O102" i="18"/>
  <c r="P102" i="18"/>
  <c r="N102" i="18"/>
  <c r="M102" i="18"/>
  <c r="F79" i="3"/>
  <c r="F21" i="24" s="1"/>
  <c r="E79" i="3"/>
  <c r="E21" i="24" s="1"/>
  <c r="G79" i="3"/>
  <c r="G21" i="24" s="1"/>
  <c r="H79" i="3"/>
  <c r="H21" i="24" s="1"/>
  <c r="Q104" i="18"/>
  <c r="O104" i="18"/>
  <c r="P104" i="18"/>
  <c r="N104" i="18"/>
  <c r="M104" i="18"/>
  <c r="O62" i="8"/>
  <c r="N55" i="8"/>
  <c r="Q101" i="18"/>
  <c r="O101" i="18"/>
  <c r="P101" i="18"/>
  <c r="N101" i="18"/>
  <c r="M101" i="18"/>
  <c r="M52" i="8"/>
  <c r="P52" i="8"/>
  <c r="G54" i="24"/>
  <c r="G92" i="24"/>
  <c r="G34" i="24"/>
  <c r="O54" i="8"/>
  <c r="Q100" i="18"/>
  <c r="O100" i="18"/>
  <c r="P100" i="18"/>
  <c r="N100" i="18"/>
  <c r="M100" i="18"/>
  <c r="K56" i="8"/>
  <c r="K51" i="8"/>
  <c r="L104" i="18"/>
  <c r="M61" i="8"/>
  <c r="M53" i="8"/>
  <c r="N60" i="8"/>
  <c r="I21" i="24"/>
  <c r="I100" i="24" s="1"/>
  <c r="P51" i="8"/>
  <c r="Q51" i="8"/>
  <c r="P56" i="8"/>
  <c r="I77" i="18"/>
  <c r="G35" i="18"/>
  <c r="G77" i="18" s="1"/>
  <c r="H35" i="18"/>
  <c r="H77" i="18" s="1"/>
  <c r="F35" i="18"/>
  <c r="F77" i="18" s="1"/>
  <c r="E35" i="18"/>
  <c r="E77" i="18" s="1"/>
  <c r="Q105" i="18"/>
  <c r="O105" i="18"/>
  <c r="P105" i="18"/>
  <c r="N105" i="18"/>
  <c r="M105" i="18"/>
  <c r="I80" i="18"/>
  <c r="F38" i="18"/>
  <c r="F80" i="18" s="1"/>
  <c r="E38" i="18"/>
  <c r="E80" i="18" s="1"/>
  <c r="H38" i="18"/>
  <c r="H80" i="18" s="1"/>
  <c r="G38" i="18"/>
  <c r="G80" i="18" s="1"/>
  <c r="E72" i="3"/>
  <c r="E14" i="24" s="1"/>
  <c r="H18" i="7"/>
  <c r="E18" i="7"/>
  <c r="G18" i="7"/>
  <c r="F18" i="7"/>
  <c r="K49" i="8"/>
  <c r="L101" i="18"/>
  <c r="K59" i="8"/>
  <c r="M59" i="8"/>
  <c r="M58" i="8"/>
  <c r="P58" i="8"/>
  <c r="N62" i="8"/>
  <c r="Q108" i="18"/>
  <c r="O108" i="18"/>
  <c r="P108" i="18"/>
  <c r="N108" i="18"/>
  <c r="M108" i="18"/>
  <c r="O55" i="8"/>
  <c r="L52" i="8"/>
  <c r="K60" i="8"/>
  <c r="Q52" i="8"/>
  <c r="F54" i="24"/>
  <c r="F34" i="24"/>
  <c r="M54" i="8"/>
  <c r="L61" i="8"/>
  <c r="L56" i="8"/>
  <c r="K54" i="8"/>
  <c r="L108" i="18"/>
  <c r="P61" i="8"/>
  <c r="Q61" i="8"/>
  <c r="E22" i="24"/>
  <c r="P53" i="8"/>
  <c r="Q53" i="8"/>
  <c r="O60" i="8"/>
  <c r="Q106" i="18"/>
  <c r="O106" i="18"/>
  <c r="P106" i="18"/>
  <c r="N106" i="18"/>
  <c r="M51" i="8"/>
  <c r="F12" i="24"/>
  <c r="M56" i="8"/>
  <c r="Q56" i="8"/>
  <c r="G17" i="24"/>
  <c r="L54" i="8"/>
  <c r="I87" i="18"/>
  <c r="F45" i="18"/>
  <c r="F87" i="18" s="1"/>
  <c r="G45" i="18"/>
  <c r="G87" i="18" s="1"/>
  <c r="H45" i="18"/>
  <c r="H87" i="18" s="1"/>
  <c r="E45" i="18"/>
  <c r="E87" i="18" s="1"/>
  <c r="I79" i="18"/>
  <c r="G37" i="18"/>
  <c r="G79" i="18" s="1"/>
  <c r="E37" i="18"/>
  <c r="E79" i="18" s="1"/>
  <c r="F37" i="18"/>
  <c r="F79" i="18" s="1"/>
  <c r="H37" i="18"/>
  <c r="H79" i="18" s="1"/>
  <c r="P59" i="8"/>
  <c r="M62" i="8"/>
  <c r="P62" i="8"/>
  <c r="Q55" i="8"/>
  <c r="K52" i="8"/>
  <c r="L51" i="8"/>
  <c r="P54" i="8"/>
  <c r="Q54" i="8"/>
  <c r="M60" i="8"/>
  <c r="K61" i="8"/>
  <c r="K104" i="18"/>
  <c r="G10" i="24"/>
  <c r="K53" i="8"/>
  <c r="K55" i="8"/>
  <c r="N61" i="8"/>
  <c r="Q60" i="8"/>
  <c r="O51" i="8"/>
  <c r="E12" i="24"/>
  <c r="N56" i="8"/>
  <c r="O56" i="8"/>
  <c r="K62" i="8"/>
  <c r="O238" i="26" l="1"/>
  <c r="O54" i="38"/>
  <c r="P238" i="26"/>
  <c r="P54" i="38"/>
  <c r="M238" i="26"/>
  <c r="M54" i="38"/>
  <c r="N238" i="26"/>
  <c r="N54" i="38"/>
  <c r="K238" i="26"/>
  <c r="K54" i="38"/>
  <c r="Q238" i="26"/>
  <c r="Q54" i="38"/>
  <c r="L238" i="26"/>
  <c r="L54" i="38"/>
  <c r="P211" i="18"/>
  <c r="L211" i="18"/>
  <c r="M211" i="18"/>
  <c r="O211" i="18"/>
  <c r="K211" i="18"/>
  <c r="N211" i="18"/>
  <c r="Q211" i="18"/>
  <c r="P212" i="18"/>
  <c r="L212" i="18"/>
  <c r="M212" i="18"/>
  <c r="O212" i="18"/>
  <c r="K212" i="18"/>
  <c r="Q212" i="18"/>
  <c r="N212" i="18"/>
  <c r="N95" i="18"/>
  <c r="J95" i="18"/>
  <c r="H98" i="24"/>
  <c r="H58" i="24"/>
  <c r="H40" i="24"/>
  <c r="L49" i="8"/>
  <c r="L99" i="18"/>
  <c r="G44" i="24"/>
  <c r="F41" i="24"/>
  <c r="M49" i="8"/>
  <c r="P95" i="18"/>
  <c r="L95" i="18"/>
  <c r="K95" i="18"/>
  <c r="O95" i="18"/>
  <c r="P49" i="8"/>
  <c r="H36" i="24"/>
  <c r="E37" i="24"/>
  <c r="M95" i="18"/>
  <c r="Q95" i="18"/>
  <c r="E44" i="24"/>
  <c r="H44" i="24"/>
  <c r="H56" i="24"/>
  <c r="E57" i="24"/>
  <c r="E38" i="24"/>
  <c r="G60" i="24"/>
  <c r="E102" i="24"/>
  <c r="E94" i="24"/>
  <c r="F60" i="24"/>
  <c r="Q49" i="8"/>
  <c r="F43" i="24"/>
  <c r="F63" i="24"/>
  <c r="F101" i="24"/>
  <c r="H72" i="3"/>
  <c r="H14" i="24" s="1"/>
  <c r="H35" i="24" s="1"/>
  <c r="G98" i="24"/>
  <c r="E44" i="18"/>
  <c r="E86" i="18" s="1"/>
  <c r="I86" i="18"/>
  <c r="Q128" i="18" s="1"/>
  <c r="E42" i="18"/>
  <c r="E84" i="18" s="1"/>
  <c r="I14" i="24"/>
  <c r="I93" i="24" s="1"/>
  <c r="F72" i="3"/>
  <c r="F14" i="24" s="1"/>
  <c r="F35" i="24" s="1"/>
  <c r="H91" i="24"/>
  <c r="G44" i="18"/>
  <c r="G86" i="18" s="1"/>
  <c r="H42" i="18"/>
  <c r="H84" i="18" s="1"/>
  <c r="H92" i="24"/>
  <c r="H53" i="24"/>
  <c r="F36" i="18"/>
  <c r="F78" i="18" s="1"/>
  <c r="R21" i="13"/>
  <c r="H61" i="24"/>
  <c r="H63" i="24"/>
  <c r="H102" i="24"/>
  <c r="F98" i="24"/>
  <c r="E40" i="24"/>
  <c r="G56" i="24"/>
  <c r="E41" i="24"/>
  <c r="G57" i="24"/>
  <c r="G63" i="24"/>
  <c r="F56" i="24"/>
  <c r="H96" i="24"/>
  <c r="G95" i="24"/>
  <c r="F36" i="24"/>
  <c r="H43" i="24"/>
  <c r="E36" i="24"/>
  <c r="H99" i="24"/>
  <c r="E98" i="24"/>
  <c r="G99" i="24"/>
  <c r="G43" i="24"/>
  <c r="G61" i="24"/>
  <c r="F44" i="24"/>
  <c r="G36" i="24"/>
  <c r="F37" i="24"/>
  <c r="F99" i="24"/>
  <c r="E96" i="24"/>
  <c r="H54" i="24"/>
  <c r="G102" i="24"/>
  <c r="F57" i="24"/>
  <c r="E99" i="24"/>
  <c r="F64" i="24"/>
  <c r="I85" i="18"/>
  <c r="F43" i="18"/>
  <c r="F85" i="18" s="1"/>
  <c r="E43" i="18"/>
  <c r="E85" i="18" s="1"/>
  <c r="H43" i="18"/>
  <c r="H85" i="18" s="1"/>
  <c r="G43" i="18"/>
  <c r="G85" i="18" s="1"/>
  <c r="F91" i="24"/>
  <c r="F33" i="24"/>
  <c r="F53" i="24"/>
  <c r="E35" i="24"/>
  <c r="E93" i="24"/>
  <c r="E55" i="24"/>
  <c r="Q122" i="18"/>
  <c r="O122" i="18"/>
  <c r="P122" i="18"/>
  <c r="N122" i="18"/>
  <c r="M122" i="18"/>
  <c r="L122" i="18"/>
  <c r="K122" i="18"/>
  <c r="F62" i="24"/>
  <c r="F100" i="24"/>
  <c r="F42" i="24"/>
  <c r="H51" i="24"/>
  <c r="H31" i="24"/>
  <c r="H89" i="24"/>
  <c r="E74" i="18"/>
  <c r="L116" i="18"/>
  <c r="Q116" i="18"/>
  <c r="O116" i="18"/>
  <c r="P116" i="18"/>
  <c r="N116" i="18"/>
  <c r="M116" i="18"/>
  <c r="G36" i="18"/>
  <c r="G78" i="18" s="1"/>
  <c r="E53" i="24"/>
  <c r="E33" i="24"/>
  <c r="E91" i="24"/>
  <c r="Q121" i="18"/>
  <c r="O121" i="18"/>
  <c r="P121" i="18"/>
  <c r="N121" i="18"/>
  <c r="M121" i="18"/>
  <c r="L121" i="18"/>
  <c r="K121" i="18"/>
  <c r="E101" i="24"/>
  <c r="E63" i="24"/>
  <c r="E43" i="24"/>
  <c r="H62" i="24"/>
  <c r="H100" i="24"/>
  <c r="H42" i="24"/>
  <c r="G74" i="18"/>
  <c r="Q118" i="18"/>
  <c r="P118" i="18"/>
  <c r="O118" i="18"/>
  <c r="N118" i="18"/>
  <c r="M118" i="18"/>
  <c r="K118" i="18"/>
  <c r="L118" i="18"/>
  <c r="G31" i="24"/>
  <c r="G51" i="24"/>
  <c r="G89" i="24"/>
  <c r="Q129" i="18"/>
  <c r="O129" i="18"/>
  <c r="P129" i="18"/>
  <c r="N129" i="18"/>
  <c r="M129" i="18"/>
  <c r="L129" i="18"/>
  <c r="K129" i="18"/>
  <c r="G38" i="24"/>
  <c r="G96" i="24"/>
  <c r="G58" i="24"/>
  <c r="E51" i="24"/>
  <c r="E89" i="24"/>
  <c r="E31" i="24"/>
  <c r="G62" i="24"/>
  <c r="G42" i="24"/>
  <c r="G100" i="24"/>
  <c r="E34" i="24"/>
  <c r="E54" i="24"/>
  <c r="E92" i="24"/>
  <c r="H57" i="24"/>
  <c r="H95" i="24"/>
  <c r="H37" i="24"/>
  <c r="H74" i="18"/>
  <c r="Q125" i="18"/>
  <c r="O125" i="18"/>
  <c r="P125" i="18"/>
  <c r="N125" i="18"/>
  <c r="M125" i="18"/>
  <c r="K125" i="18"/>
  <c r="L125" i="18"/>
  <c r="Q126" i="18"/>
  <c r="O126" i="18"/>
  <c r="P126" i="18"/>
  <c r="N126" i="18"/>
  <c r="M126" i="18"/>
  <c r="K126" i="18"/>
  <c r="L126" i="18"/>
  <c r="G35" i="24"/>
  <c r="G55" i="24"/>
  <c r="G93" i="24"/>
  <c r="Q119" i="18"/>
  <c r="O119" i="18"/>
  <c r="P119" i="18"/>
  <c r="N119" i="18"/>
  <c r="M119" i="18"/>
  <c r="K119" i="18"/>
  <c r="L119" i="18"/>
  <c r="F31" i="24"/>
  <c r="F89" i="24"/>
  <c r="F51" i="24"/>
  <c r="E62" i="24"/>
  <c r="E42" i="24"/>
  <c r="E100" i="24"/>
  <c r="F58" i="24"/>
  <c r="F96" i="24"/>
  <c r="F38" i="24"/>
  <c r="G91" i="24"/>
  <c r="G53" i="24"/>
  <c r="G33" i="24"/>
  <c r="F74" i="18"/>
  <c r="Q123" i="18"/>
  <c r="P123" i="18"/>
  <c r="O123" i="18"/>
  <c r="N123" i="18"/>
  <c r="M123" i="18"/>
  <c r="L123" i="18"/>
  <c r="K123" i="18"/>
  <c r="P204" i="18" l="1"/>
  <c r="L204" i="18"/>
  <c r="M204" i="18"/>
  <c r="O204" i="18"/>
  <c r="K204" i="18"/>
  <c r="Q204" i="18"/>
  <c r="N204" i="18"/>
  <c r="L128" i="18"/>
  <c r="N128" i="18"/>
  <c r="P128" i="18"/>
  <c r="K128" i="18"/>
  <c r="O128" i="18"/>
  <c r="M128" i="18"/>
  <c r="F93" i="24"/>
  <c r="H55" i="24"/>
  <c r="H93" i="24"/>
  <c r="F55" i="24"/>
  <c r="E36" i="18"/>
  <c r="E78" i="18" s="1"/>
  <c r="H36" i="18"/>
  <c r="H78" i="18" s="1"/>
  <c r="I78" i="18"/>
  <c r="L120" i="18" s="1"/>
  <c r="R58" i="18"/>
  <c r="R53" i="18"/>
  <c r="R16" i="24"/>
  <c r="R95" i="24" s="1"/>
  <c r="R206" i="18" s="1"/>
  <c r="R60" i="18"/>
  <c r="R13" i="24"/>
  <c r="R92" i="24" s="1"/>
  <c r="R203" i="18" s="1"/>
  <c r="R56" i="18"/>
  <c r="R66" i="18"/>
  <c r="R23" i="24"/>
  <c r="R102" i="24" s="1"/>
  <c r="R213" i="18" s="1"/>
  <c r="R19" i="24"/>
  <c r="R98" i="24" s="1"/>
  <c r="R209" i="18" s="1"/>
  <c r="R65" i="18"/>
  <c r="R22" i="24"/>
  <c r="R101" i="24" s="1"/>
  <c r="R212" i="18" s="1"/>
  <c r="R10" i="24"/>
  <c r="R89" i="24" s="1"/>
  <c r="R200" i="18" s="1"/>
  <c r="R63" i="18"/>
  <c r="R20" i="24"/>
  <c r="R99" i="24" s="1"/>
  <c r="R210" i="18" s="1"/>
  <c r="R49" i="8"/>
  <c r="Q127" i="18"/>
  <c r="O127" i="18"/>
  <c r="P127" i="18"/>
  <c r="N127" i="18"/>
  <c r="M127" i="18"/>
  <c r="L127" i="18"/>
  <c r="K127" i="18"/>
  <c r="K120" i="18" l="1"/>
  <c r="N120" i="18"/>
  <c r="O120" i="18"/>
  <c r="R42" i="12"/>
  <c r="M120" i="18"/>
  <c r="Q120" i="18"/>
  <c r="P120" i="18"/>
  <c r="R12" i="24"/>
  <c r="R91" i="24" s="1"/>
  <c r="R202" i="18" s="1"/>
  <c r="R17" i="24"/>
  <c r="R96" i="24" s="1"/>
  <c r="R207" i="18" s="1"/>
  <c r="R58" i="8"/>
  <c r="R21" i="12"/>
  <c r="R13" i="22" s="1"/>
  <c r="R55" i="8"/>
  <c r="R55" i="18"/>
  <c r="R76" i="18" s="1"/>
  <c r="R15" i="24"/>
  <c r="R94" i="24" s="1"/>
  <c r="R205" i="18" s="1"/>
  <c r="R62" i="18"/>
  <c r="R104" i="18" s="1"/>
  <c r="R59" i="18"/>
  <c r="R101" i="18" s="1"/>
  <c r="R81" i="18"/>
  <c r="R87" i="18"/>
  <c r="R129" i="18" s="1"/>
  <c r="R57" i="18"/>
  <c r="R77" i="18"/>
  <c r="R119" i="18" s="1"/>
  <c r="R98" i="18"/>
  <c r="R86" i="18"/>
  <c r="R128" i="18" s="1"/>
  <c r="R105" i="18"/>
  <c r="R59" i="8"/>
  <c r="R108" i="18"/>
  <c r="R74" i="18"/>
  <c r="R107" i="18"/>
  <c r="R52" i="8"/>
  <c r="R53" i="8"/>
  <c r="R95" i="18"/>
  <c r="R64" i="18"/>
  <c r="R21" i="24"/>
  <c r="R100" i="24" s="1"/>
  <c r="R211" i="18" s="1"/>
  <c r="R84" i="18"/>
  <c r="R126" i="18" s="1"/>
  <c r="R79" i="18"/>
  <c r="R51" i="8"/>
  <c r="R61" i="8"/>
  <c r="R56" i="8"/>
  <c r="R54" i="8"/>
  <c r="R62" i="8"/>
  <c r="R26" i="22" l="1"/>
  <c r="R26" i="38"/>
  <c r="R238" i="25"/>
  <c r="R41" i="38"/>
  <c r="R13" i="38" s="1"/>
  <c r="R121" i="18"/>
  <c r="R100" i="18"/>
  <c r="R123" i="18"/>
  <c r="R102" i="18"/>
  <c r="R83" i="18"/>
  <c r="R125" i="18" s="1"/>
  <c r="R97" i="18"/>
  <c r="R80" i="18"/>
  <c r="R122" i="18" s="1"/>
  <c r="R14" i="24"/>
  <c r="R93" i="24" s="1"/>
  <c r="R204" i="18" s="1"/>
  <c r="R118" i="18"/>
  <c r="R78" i="18"/>
  <c r="R85" i="18"/>
  <c r="R127" i="18" s="1"/>
  <c r="R106" i="18"/>
  <c r="R116" i="18"/>
  <c r="R60" i="8"/>
  <c r="R238" i="26" l="1"/>
  <c r="R54" i="38"/>
  <c r="R120" i="18"/>
  <c r="R99" i="18"/>
  <c r="I43" i="7" l="1"/>
  <c r="J43" i="7" s="1"/>
  <c r="O61" i="18" l="1"/>
  <c r="D18" i="24"/>
  <c r="O18" i="24"/>
  <c r="O97" i="24" s="1"/>
  <c r="H15" i="7" l="1"/>
  <c r="P18" i="24"/>
  <c r="P97" i="24" s="1"/>
  <c r="N61" i="18"/>
  <c r="H76" i="3"/>
  <c r="O82" i="18"/>
  <c r="G55" i="3"/>
  <c r="R61" i="18"/>
  <c r="K61" i="18"/>
  <c r="J61" i="18" s="1"/>
  <c r="J82" i="18" s="1"/>
  <c r="F76" i="3"/>
  <c r="L18" i="24"/>
  <c r="L97" i="24" s="1"/>
  <c r="L61" i="18"/>
  <c r="M61" i="18"/>
  <c r="M18" i="24"/>
  <c r="M97" i="24" s="1"/>
  <c r="R18" i="24"/>
  <c r="R97" i="24" s="1"/>
  <c r="E76" i="3"/>
  <c r="I19" i="18"/>
  <c r="N18" i="24"/>
  <c r="N97" i="24" s="1"/>
  <c r="F15" i="7"/>
  <c r="Q18" i="24"/>
  <c r="Q97" i="24" s="1"/>
  <c r="Q61" i="18"/>
  <c r="D97" i="24"/>
  <c r="D39" i="24"/>
  <c r="D59" i="24"/>
  <c r="G76" i="3"/>
  <c r="O103" i="18" l="1"/>
  <c r="J103" i="18"/>
  <c r="E15" i="7"/>
  <c r="F55" i="3"/>
  <c r="F18" i="24" s="1"/>
  <c r="F39" i="24" s="1"/>
  <c r="Q57" i="8"/>
  <c r="P61" i="18"/>
  <c r="P82" i="18" s="1"/>
  <c r="G15" i="7"/>
  <c r="N57" i="8"/>
  <c r="I18" i="24"/>
  <c r="I97" i="24" s="1"/>
  <c r="K57" i="8"/>
  <c r="M57" i="8"/>
  <c r="K18" i="24"/>
  <c r="K97" i="24" s="1"/>
  <c r="G18" i="24"/>
  <c r="G59" i="24" s="1"/>
  <c r="E55" i="3"/>
  <c r="E18" i="24" s="1"/>
  <c r="E39" i="24" s="1"/>
  <c r="R57" i="8"/>
  <c r="H55" i="3"/>
  <c r="H18" i="24" s="1"/>
  <c r="H97" i="24" s="1"/>
  <c r="R82" i="18"/>
  <c r="M82" i="18"/>
  <c r="Q82" i="18"/>
  <c r="N82" i="18"/>
  <c r="L82" i="18"/>
  <c r="K82" i="18"/>
  <c r="N103" i="18"/>
  <c r="R103" i="18"/>
  <c r="Q103" i="18"/>
  <c r="I82" i="18"/>
  <c r="G40" i="18"/>
  <c r="G82" i="18" s="1"/>
  <c r="H40" i="18"/>
  <c r="H82" i="18" s="1"/>
  <c r="E40" i="18"/>
  <c r="E82" i="18" s="1"/>
  <c r="F40" i="18"/>
  <c r="F82" i="18" s="1"/>
  <c r="P57" i="8"/>
  <c r="O57" i="8"/>
  <c r="M103" i="18"/>
  <c r="L103" i="18"/>
  <c r="P208" i="18" l="1"/>
  <c r="L208" i="18"/>
  <c r="M208" i="18"/>
  <c r="O208" i="18"/>
  <c r="K208" i="18"/>
  <c r="Q208" i="18"/>
  <c r="R208" i="18"/>
  <c r="N208" i="18"/>
  <c r="G97" i="24"/>
  <c r="H39" i="24"/>
  <c r="L57" i="8"/>
  <c r="O124" i="18"/>
  <c r="H59" i="24"/>
  <c r="E59" i="24"/>
  <c r="G39" i="24"/>
  <c r="E97" i="24"/>
  <c r="K103" i="18"/>
  <c r="P103" i="18"/>
  <c r="F59" i="24"/>
  <c r="F97" i="24"/>
  <c r="N124" i="18"/>
  <c r="P124" i="18"/>
  <c r="R124" i="18"/>
  <c r="K124" i="18"/>
  <c r="M124" i="18"/>
  <c r="Q124" i="18"/>
  <c r="L124" i="18"/>
  <c r="I36" i="7" l="1"/>
  <c r="J36" i="7" s="1"/>
  <c r="H49" i="7"/>
  <c r="I49" i="7" s="1"/>
  <c r="J49" i="7" s="1"/>
  <c r="D21" i="7"/>
  <c r="D11" i="24" l="1"/>
  <c r="D82" i="3"/>
  <c r="D61" i="3"/>
  <c r="O82" i="3" l="1"/>
  <c r="R21" i="7"/>
  <c r="N21" i="7"/>
  <c r="K21" i="7"/>
  <c r="L21" i="7"/>
  <c r="M82" i="3"/>
  <c r="H8" i="7"/>
  <c r="H21" i="7" s="1"/>
  <c r="K82" i="3"/>
  <c r="Q82" i="3"/>
  <c r="Q21" i="7"/>
  <c r="P82" i="3"/>
  <c r="L82" i="3"/>
  <c r="P21" i="7"/>
  <c r="O21" i="7"/>
  <c r="H48" i="3"/>
  <c r="H61" i="3" s="1"/>
  <c r="M21" i="7"/>
  <c r="I82" i="3"/>
  <c r="R82" i="3"/>
  <c r="N82" i="3"/>
  <c r="O54" i="18"/>
  <c r="O11" i="24"/>
  <c r="O90" i="24" s="1"/>
  <c r="O61" i="3"/>
  <c r="I21" i="7"/>
  <c r="E8" i="7"/>
  <c r="E21" i="7" s="1"/>
  <c r="G48" i="3"/>
  <c r="H69" i="3"/>
  <c r="H82" i="3" s="1"/>
  <c r="D24" i="24"/>
  <c r="N86" i="3"/>
  <c r="E69" i="3"/>
  <c r="E82" i="3" s="1"/>
  <c r="R54" i="18"/>
  <c r="R11" i="24"/>
  <c r="R90" i="24" s="1"/>
  <c r="R61" i="3"/>
  <c r="K11" i="24"/>
  <c r="K90" i="24" s="1"/>
  <c r="P61" i="3"/>
  <c r="N11" i="24"/>
  <c r="N90" i="24" s="1"/>
  <c r="N54" i="18"/>
  <c r="N61" i="3"/>
  <c r="L54" i="18"/>
  <c r="L11" i="24"/>
  <c r="L90" i="24" s="1"/>
  <c r="L61" i="3"/>
  <c r="I12" i="18"/>
  <c r="I11" i="24"/>
  <c r="I90" i="24" s="1"/>
  <c r="I61" i="3"/>
  <c r="Q54" i="18"/>
  <c r="Q11" i="24"/>
  <c r="Q90" i="24" s="1"/>
  <c r="Q61" i="3"/>
  <c r="Q24" i="24" s="1"/>
  <c r="E48" i="3"/>
  <c r="D90" i="24"/>
  <c r="D52" i="24"/>
  <c r="D32" i="24"/>
  <c r="F69" i="3"/>
  <c r="F82" i="3" s="1"/>
  <c r="M11" i="24"/>
  <c r="M90" i="24" s="1"/>
  <c r="M54" i="18"/>
  <c r="M61" i="3"/>
  <c r="F48" i="3"/>
  <c r="G69" i="3"/>
  <c r="G82" i="3" s="1"/>
  <c r="L201" i="18" l="1"/>
  <c r="M201" i="18"/>
  <c r="O201" i="18"/>
  <c r="K201" i="18"/>
  <c r="Q201" i="18"/>
  <c r="R201" i="18"/>
  <c r="N201" i="18"/>
  <c r="M24" i="24"/>
  <c r="O24" i="24"/>
  <c r="N24" i="24"/>
  <c r="L24" i="24"/>
  <c r="P24" i="24"/>
  <c r="R24" i="24"/>
  <c r="P11" i="24"/>
  <c r="P90" i="24" s="1"/>
  <c r="P201" i="18" s="1"/>
  <c r="K61" i="3"/>
  <c r="K24" i="24" s="1"/>
  <c r="K54" i="18"/>
  <c r="F8" i="7"/>
  <c r="F21" i="7" s="1"/>
  <c r="K63" i="19"/>
  <c r="G8" i="7"/>
  <c r="G21" i="7" s="1"/>
  <c r="P54" i="18"/>
  <c r="P75" i="18" s="1"/>
  <c r="O50" i="8"/>
  <c r="F62" i="3"/>
  <c r="N46" i="18"/>
  <c r="E83" i="3"/>
  <c r="I75" i="18"/>
  <c r="I88" i="18" s="1"/>
  <c r="G33" i="18"/>
  <c r="E33" i="18"/>
  <c r="H33" i="18"/>
  <c r="F33" i="18"/>
  <c r="I46" i="18"/>
  <c r="P46" i="18"/>
  <c r="G22" i="7"/>
  <c r="H22" i="7"/>
  <c r="F22" i="7"/>
  <c r="E22" i="7"/>
  <c r="M50" i="8"/>
  <c r="M63" i="17"/>
  <c r="H83" i="3"/>
  <c r="Q63" i="19"/>
  <c r="L96" i="18"/>
  <c r="L67" i="18"/>
  <c r="H62" i="3"/>
  <c r="K63" i="17"/>
  <c r="R63" i="19"/>
  <c r="K46" i="18"/>
  <c r="M63" i="19"/>
  <c r="E11" i="24"/>
  <c r="E61" i="3"/>
  <c r="E24" i="24" s="1"/>
  <c r="L2" i="18"/>
  <c r="I24" i="24"/>
  <c r="I25" i="18"/>
  <c r="N63" i="19"/>
  <c r="P63" i="19"/>
  <c r="O96" i="18"/>
  <c r="O67" i="18"/>
  <c r="H11" i="24"/>
  <c r="O75" i="18"/>
  <c r="O46" i="18"/>
  <c r="N75" i="18"/>
  <c r="R75" i="18"/>
  <c r="R46" i="18"/>
  <c r="F11" i="24"/>
  <c r="F61" i="3"/>
  <c r="F24" i="24" s="1"/>
  <c r="M96" i="18"/>
  <c r="M67" i="18"/>
  <c r="G83" i="3"/>
  <c r="Q50" i="8"/>
  <c r="Q63" i="17"/>
  <c r="L63" i="19"/>
  <c r="N50" i="8"/>
  <c r="N63" i="17"/>
  <c r="G62" i="3"/>
  <c r="R96" i="18"/>
  <c r="R67" i="18"/>
  <c r="G11" i="24"/>
  <c r="G61" i="3"/>
  <c r="G24" i="24" s="1"/>
  <c r="H24" i="24"/>
  <c r="Q75" i="18"/>
  <c r="Q46" i="18"/>
  <c r="L75" i="18"/>
  <c r="L46" i="18"/>
  <c r="M75" i="18"/>
  <c r="M46" i="18"/>
  <c r="F83" i="3"/>
  <c r="Q96" i="18"/>
  <c r="Q67" i="18"/>
  <c r="L50" i="8"/>
  <c r="L63" i="17"/>
  <c r="N96" i="18"/>
  <c r="N67" i="18"/>
  <c r="E62" i="3"/>
  <c r="P50" i="8"/>
  <c r="P63" i="17"/>
  <c r="R50" i="8"/>
  <c r="R63" i="17"/>
  <c r="O63" i="19"/>
  <c r="K75" i="18" l="1"/>
  <c r="K117" i="18" s="1"/>
  <c r="J54" i="18"/>
  <c r="O109" i="18"/>
  <c r="N109" i="18"/>
  <c r="Q109" i="18"/>
  <c r="R109" i="18"/>
  <c r="M109" i="18"/>
  <c r="L109" i="18"/>
  <c r="K50" i="8"/>
  <c r="P96" i="18"/>
  <c r="P67" i="18"/>
  <c r="K67" i="18"/>
  <c r="K96" i="18"/>
  <c r="O63" i="17"/>
  <c r="E47" i="18"/>
  <c r="M117" i="18"/>
  <c r="M88" i="18"/>
  <c r="Q117" i="18"/>
  <c r="Q88" i="18"/>
  <c r="Q63" i="8"/>
  <c r="R117" i="18"/>
  <c r="R88" i="18"/>
  <c r="O117" i="18"/>
  <c r="O88" i="18"/>
  <c r="H75" i="18"/>
  <c r="H88" i="18" s="1"/>
  <c r="H46" i="18"/>
  <c r="L63" i="8"/>
  <c r="O63" i="8"/>
  <c r="H90" i="24"/>
  <c r="H32" i="24"/>
  <c r="H52" i="24"/>
  <c r="P117" i="18"/>
  <c r="P88" i="18"/>
  <c r="E75" i="18"/>
  <c r="E88" i="18" s="1"/>
  <c r="E46" i="18"/>
  <c r="G47" i="18"/>
  <c r="R63" i="8"/>
  <c r="L117" i="18"/>
  <c r="L88" i="18"/>
  <c r="F90" i="24"/>
  <c r="F52" i="24"/>
  <c r="F32" i="24"/>
  <c r="N117" i="18"/>
  <c r="N88" i="18"/>
  <c r="E90" i="24"/>
  <c r="E32" i="24"/>
  <c r="E52" i="24"/>
  <c r="K88" i="18"/>
  <c r="M63" i="8"/>
  <c r="G75" i="18"/>
  <c r="G88" i="18" s="1"/>
  <c r="G46" i="18"/>
  <c r="P63" i="8"/>
  <c r="G32" i="24"/>
  <c r="G52" i="24"/>
  <c r="G90" i="24"/>
  <c r="N63" i="8"/>
  <c r="F75" i="18"/>
  <c r="F88" i="18" s="1"/>
  <c r="F46" i="18"/>
  <c r="J75" i="18" l="1"/>
  <c r="J88" i="18" s="1"/>
  <c r="J67" i="18"/>
  <c r="J96" i="18"/>
  <c r="J109" i="18" s="1"/>
  <c r="P109" i="18"/>
  <c r="K109" i="18"/>
  <c r="K63" i="8"/>
  <c r="F47" i="18"/>
  <c r="H47" i="18"/>
  <c r="D21" i="6" l="1"/>
  <c r="K28" i="11" l="1"/>
  <c r="K25" i="38" s="1"/>
  <c r="J28" i="7" l="1"/>
  <c r="K18" i="11" s="1"/>
  <c r="K137" i="18"/>
  <c r="K143" i="18"/>
  <c r="K139" i="18"/>
  <c r="K142" i="18"/>
  <c r="K147" i="18"/>
  <c r="K146" i="18"/>
  <c r="K150" i="18"/>
  <c r="K140" i="18"/>
  <c r="K144" i="18"/>
  <c r="K148" i="18"/>
  <c r="K149" i="18"/>
  <c r="K141" i="18"/>
  <c r="K145" i="18"/>
  <c r="K138" i="18"/>
  <c r="K177" i="25"/>
  <c r="K222" i="26"/>
  <c r="K14" i="11" l="1"/>
  <c r="K7" i="11"/>
  <c r="K10" i="11"/>
  <c r="K11" i="11"/>
  <c r="K12" i="11"/>
  <c r="K20" i="11"/>
  <c r="K8" i="11"/>
  <c r="K17" i="11"/>
  <c r="K9" i="11"/>
  <c r="K13" i="11"/>
  <c r="K15" i="11"/>
  <c r="K16" i="11"/>
  <c r="K19" i="11"/>
  <c r="K25" i="22"/>
  <c r="K132" i="25"/>
  <c r="K27" i="25"/>
  <c r="K12" i="25"/>
  <c r="K87" i="25"/>
  <c r="K162" i="25"/>
  <c r="K192" i="25"/>
  <c r="K207" i="25"/>
  <c r="K42" i="25"/>
  <c r="K72" i="25"/>
  <c r="K57" i="25"/>
  <c r="K147" i="25"/>
  <c r="K102" i="25"/>
  <c r="K117" i="25"/>
  <c r="K237" i="26" l="1"/>
  <c r="K53" i="38"/>
  <c r="K21" i="11"/>
  <c r="K12" i="22" s="1"/>
  <c r="K40" i="38" s="1"/>
  <c r="K222" i="25"/>
  <c r="K237" i="25" s="1"/>
  <c r="L28" i="11"/>
  <c r="L25" i="38" s="1"/>
  <c r="K12" i="38" l="1"/>
  <c r="L18" i="11"/>
  <c r="L17" i="11"/>
  <c r="L7" i="11"/>
  <c r="L13" i="11"/>
  <c r="L20" i="11"/>
  <c r="L14" i="11"/>
  <c r="L10" i="11"/>
  <c r="L9" i="11"/>
  <c r="L12" i="11"/>
  <c r="L19" i="11"/>
  <c r="L16" i="11"/>
  <c r="L11" i="11"/>
  <c r="L15" i="11"/>
  <c r="L8" i="11"/>
  <c r="L147" i="18"/>
  <c r="L137" i="18"/>
  <c r="L150" i="18"/>
  <c r="L143" i="18"/>
  <c r="L146" i="18"/>
  <c r="L140" i="18"/>
  <c r="L144" i="18"/>
  <c r="L139" i="18"/>
  <c r="L142" i="18"/>
  <c r="L149" i="18"/>
  <c r="L148" i="18"/>
  <c r="L141" i="18"/>
  <c r="L145" i="18"/>
  <c r="L138" i="18"/>
  <c r="M28" i="11"/>
  <c r="M25" i="38" s="1"/>
  <c r="L162" i="25"/>
  <c r="L192" i="25"/>
  <c r="L12" i="25"/>
  <c r="L42" i="25"/>
  <c r="L87" i="25"/>
  <c r="L177" i="25"/>
  <c r="L117" i="25"/>
  <c r="L207" i="25"/>
  <c r="L27" i="25"/>
  <c r="L132" i="25"/>
  <c r="L102" i="25"/>
  <c r="L222" i="26"/>
  <c r="L147" i="25"/>
  <c r="L57" i="25"/>
  <c r="L72" i="25"/>
  <c r="L222" i="25" l="1"/>
  <c r="M18" i="11"/>
  <c r="M12" i="11"/>
  <c r="M19" i="11"/>
  <c r="M9" i="11"/>
  <c r="M11" i="11"/>
  <c r="M7" i="11"/>
  <c r="M16" i="11"/>
  <c r="M14" i="11"/>
  <c r="M17" i="11"/>
  <c r="M20" i="11"/>
  <c r="M10" i="11"/>
  <c r="M13" i="11"/>
  <c r="M15" i="11"/>
  <c r="M8" i="11"/>
  <c r="M146" i="18"/>
  <c r="M139" i="18"/>
  <c r="M144" i="18"/>
  <c r="M147" i="18"/>
  <c r="M142" i="18"/>
  <c r="M150" i="18"/>
  <c r="M140" i="18"/>
  <c r="M143" i="18"/>
  <c r="M137" i="18"/>
  <c r="M149" i="18"/>
  <c r="M148" i="18"/>
  <c r="M141" i="18"/>
  <c r="M145" i="18"/>
  <c r="M138" i="18"/>
  <c r="L25" i="22"/>
  <c r="L21" i="11"/>
  <c r="L12" i="22" s="1"/>
  <c r="L40" i="38" s="1"/>
  <c r="N28" i="11"/>
  <c r="N25" i="38" s="1"/>
  <c r="M177" i="25"/>
  <c r="M87" i="25"/>
  <c r="M72" i="25"/>
  <c r="M162" i="25"/>
  <c r="M222" i="26"/>
  <c r="M12" i="25"/>
  <c r="M42" i="25"/>
  <c r="M192" i="25"/>
  <c r="M117" i="25"/>
  <c r="M132" i="25"/>
  <c r="M57" i="25"/>
  <c r="M102" i="25"/>
  <c r="M147" i="25"/>
  <c r="M27" i="25"/>
  <c r="M207" i="25"/>
  <c r="L12" i="38" l="1"/>
  <c r="L237" i="26"/>
  <c r="L53" i="38"/>
  <c r="M222" i="25"/>
  <c r="N18" i="11"/>
  <c r="N10" i="11"/>
  <c r="N11" i="11"/>
  <c r="N14" i="11"/>
  <c r="N19" i="11"/>
  <c r="N13" i="11"/>
  <c r="N9" i="11"/>
  <c r="N7" i="11"/>
  <c r="N16" i="11"/>
  <c r="N17" i="11"/>
  <c r="N12" i="11"/>
  <c r="N20" i="11"/>
  <c r="N15" i="11"/>
  <c r="N8" i="11"/>
  <c r="L237" i="25"/>
  <c r="N142" i="18"/>
  <c r="N150" i="18"/>
  <c r="N144" i="18"/>
  <c r="N137" i="18"/>
  <c r="N139" i="18"/>
  <c r="N146" i="18"/>
  <c r="N147" i="18"/>
  <c r="N143" i="18"/>
  <c r="N140" i="18"/>
  <c r="N149" i="18"/>
  <c r="N148" i="18"/>
  <c r="N141" i="18"/>
  <c r="N145" i="18"/>
  <c r="N138" i="18"/>
  <c r="M25" i="22"/>
  <c r="M21" i="11"/>
  <c r="M12" i="22" s="1"/>
  <c r="M40" i="38" s="1"/>
  <c r="O28" i="11"/>
  <c r="O25" i="38" s="1"/>
  <c r="N102" i="25"/>
  <c r="N177" i="25"/>
  <c r="N192" i="25"/>
  <c r="N72" i="25"/>
  <c r="N147" i="25"/>
  <c r="N12" i="25"/>
  <c r="N117" i="25"/>
  <c r="N132" i="25"/>
  <c r="N27" i="25"/>
  <c r="N207" i="25"/>
  <c r="N162" i="25"/>
  <c r="N222" i="26"/>
  <c r="N57" i="25"/>
  <c r="N42" i="25"/>
  <c r="N87" i="25"/>
  <c r="M12" i="38" l="1"/>
  <c r="M237" i="26"/>
  <c r="M53" i="38"/>
  <c r="M237" i="25"/>
  <c r="N222" i="25"/>
  <c r="O18" i="11"/>
  <c r="O12" i="11"/>
  <c r="O16" i="11"/>
  <c r="O20" i="11"/>
  <c r="O17" i="11"/>
  <c r="O11" i="11"/>
  <c r="O10" i="11"/>
  <c r="O19" i="11"/>
  <c r="O14" i="11"/>
  <c r="O7" i="11"/>
  <c r="O13" i="11"/>
  <c r="O9" i="11"/>
  <c r="O15" i="11"/>
  <c r="O8" i="11"/>
  <c r="N25" i="22"/>
  <c r="N21" i="11"/>
  <c r="N12" i="22" s="1"/>
  <c r="N40" i="38" s="1"/>
  <c r="O147" i="18"/>
  <c r="O150" i="18"/>
  <c r="O140" i="18"/>
  <c r="O146" i="18"/>
  <c r="O142" i="18"/>
  <c r="O137" i="18"/>
  <c r="O143" i="18"/>
  <c r="O144" i="18"/>
  <c r="O139" i="18"/>
  <c r="O148" i="18"/>
  <c r="O149" i="18"/>
  <c r="O141" i="18"/>
  <c r="O145" i="18"/>
  <c r="O138" i="18"/>
  <c r="O12" i="25"/>
  <c r="O117" i="25"/>
  <c r="O27" i="25"/>
  <c r="O42" i="25"/>
  <c r="O87" i="25"/>
  <c r="O72" i="25"/>
  <c r="O57" i="25"/>
  <c r="O147" i="25"/>
  <c r="O162" i="25"/>
  <c r="O102" i="25"/>
  <c r="O177" i="25"/>
  <c r="O207" i="25"/>
  <c r="O192" i="25"/>
  <c r="O222" i="26"/>
  <c r="O132" i="25"/>
  <c r="N12" i="38" l="1"/>
  <c r="N237" i="26"/>
  <c r="N53" i="38"/>
  <c r="N237" i="25"/>
  <c r="O222" i="25"/>
  <c r="O25" i="22"/>
  <c r="O21" i="11"/>
  <c r="O12" i="22" s="1"/>
  <c r="O40" i="38" s="1"/>
  <c r="P28" i="11"/>
  <c r="P25" i="38" s="1"/>
  <c r="O12" i="38" l="1"/>
  <c r="O237" i="26"/>
  <c r="O53" i="38"/>
  <c r="P18" i="11"/>
  <c r="P7" i="11"/>
  <c r="P13" i="11"/>
  <c r="P9" i="11"/>
  <c r="P12" i="11"/>
  <c r="P16" i="11"/>
  <c r="P20" i="11"/>
  <c r="P17" i="11"/>
  <c r="P11" i="11"/>
  <c r="P14" i="11"/>
  <c r="P10" i="11"/>
  <c r="P19" i="11"/>
  <c r="P15" i="11"/>
  <c r="P8" i="11"/>
  <c r="O237" i="25"/>
  <c r="P146" i="18"/>
  <c r="P142" i="18"/>
  <c r="P150" i="18"/>
  <c r="P143" i="18"/>
  <c r="P144" i="18"/>
  <c r="P140" i="18"/>
  <c r="P139" i="18"/>
  <c r="P147" i="18"/>
  <c r="P137" i="18"/>
  <c r="P149" i="18"/>
  <c r="P148" i="18"/>
  <c r="P141" i="18"/>
  <c r="P145" i="18"/>
  <c r="P138" i="18"/>
  <c r="Q28" i="11"/>
  <c r="Q25" i="38" s="1"/>
  <c r="R28" i="11"/>
  <c r="R25" i="38" s="1"/>
  <c r="P72" i="25"/>
  <c r="P147" i="25"/>
  <c r="P192" i="25"/>
  <c r="P222" i="26"/>
  <c r="P87" i="25"/>
  <c r="P117" i="25"/>
  <c r="P177" i="25"/>
  <c r="P102" i="25"/>
  <c r="P132" i="25"/>
  <c r="P57" i="25"/>
  <c r="P27" i="25"/>
  <c r="P42" i="25"/>
  <c r="P12" i="25"/>
  <c r="P207" i="25"/>
  <c r="P162" i="25"/>
  <c r="P222" i="25" l="1"/>
  <c r="R18" i="11"/>
  <c r="R10" i="11"/>
  <c r="R7" i="11"/>
  <c r="R19" i="11"/>
  <c r="R16" i="11"/>
  <c r="R14" i="11"/>
  <c r="R17" i="11"/>
  <c r="R12" i="11"/>
  <c r="R13" i="11"/>
  <c r="R20" i="11"/>
  <c r="R11" i="11"/>
  <c r="R9" i="11"/>
  <c r="R15" i="11"/>
  <c r="R8" i="11"/>
  <c r="Q18" i="11"/>
  <c r="Q17" i="11"/>
  <c r="Q10" i="11"/>
  <c r="Q11" i="11"/>
  <c r="Q12" i="11"/>
  <c r="Q19" i="11"/>
  <c r="Q13" i="11"/>
  <c r="Q9" i="11"/>
  <c r="Q7" i="11"/>
  <c r="Q16" i="11"/>
  <c r="Q20" i="11"/>
  <c r="Q14" i="11"/>
  <c r="Q15" i="11"/>
  <c r="Q8" i="11"/>
  <c r="P25" i="22"/>
  <c r="Q140" i="18"/>
  <c r="Q137" i="18"/>
  <c r="Q147" i="18"/>
  <c r="Q142" i="18"/>
  <c r="Q150" i="18"/>
  <c r="Q143" i="18"/>
  <c r="Q144" i="18"/>
  <c r="Q146" i="18"/>
  <c r="Q139" i="18"/>
  <c r="Q149" i="18"/>
  <c r="Q141" i="18"/>
  <c r="Q148" i="18"/>
  <c r="Q145" i="18"/>
  <c r="Q138" i="18"/>
  <c r="P21" i="11"/>
  <c r="P12" i="22" s="1"/>
  <c r="P40" i="38" s="1"/>
  <c r="R137" i="18"/>
  <c r="R150" i="18"/>
  <c r="R140" i="18"/>
  <c r="R149" i="18"/>
  <c r="R143" i="18"/>
  <c r="R147" i="18"/>
  <c r="R146" i="18"/>
  <c r="R139" i="18"/>
  <c r="R142" i="18"/>
  <c r="R144" i="18"/>
  <c r="R148" i="18"/>
  <c r="R141" i="18"/>
  <c r="R145" i="18"/>
  <c r="R138" i="18"/>
  <c r="Q147" i="25"/>
  <c r="Q72" i="25"/>
  <c r="R117" i="25"/>
  <c r="Q192" i="25"/>
  <c r="Q87" i="25"/>
  <c r="Q12" i="25"/>
  <c r="R102" i="25"/>
  <c r="R27" i="25"/>
  <c r="R207" i="25"/>
  <c r="Q177" i="25"/>
  <c r="R42" i="25"/>
  <c r="R57" i="25"/>
  <c r="Q162" i="25"/>
  <c r="R177" i="25"/>
  <c r="Q117" i="25"/>
  <c r="R12" i="25"/>
  <c r="Q57" i="25"/>
  <c r="Q132" i="25"/>
  <c r="Q27" i="25"/>
  <c r="Q222" i="26"/>
  <c r="R132" i="25"/>
  <c r="R72" i="25"/>
  <c r="Q102" i="25"/>
  <c r="R222" i="26"/>
  <c r="R192" i="25"/>
  <c r="Q207" i="25"/>
  <c r="Q42" i="25"/>
  <c r="R147" i="25"/>
  <c r="R162" i="25"/>
  <c r="R87" i="25"/>
  <c r="P237" i="26" l="1"/>
  <c r="P53" i="38"/>
  <c r="P12" i="38"/>
  <c r="P237" i="25"/>
  <c r="Q222" i="25"/>
  <c r="R222" i="25"/>
  <c r="Q25" i="22"/>
  <c r="R25" i="22"/>
  <c r="R21" i="11"/>
  <c r="R12" i="22" s="1"/>
  <c r="R40" i="38" s="1"/>
  <c r="Q21" i="11"/>
  <c r="Q12" i="22" s="1"/>
  <c r="Q40" i="38" s="1"/>
  <c r="Q237" i="26" l="1"/>
  <c r="Q53" i="38"/>
  <c r="Q12" i="38"/>
  <c r="R12" i="38"/>
  <c r="R237" i="26"/>
  <c r="R53" i="38"/>
  <c r="Q237" i="25"/>
  <c r="R237" i="25"/>
  <c r="K90" i="19"/>
  <c r="K185" i="18" l="1"/>
  <c r="K137" i="19" s="1"/>
  <c r="K96" i="19"/>
  <c r="K116" i="19" s="1"/>
  <c r="K97" i="17"/>
  <c r="K117" i="17" s="1"/>
  <c r="K165" i="18"/>
  <c r="K138" i="17" s="1"/>
  <c r="K94" i="19"/>
  <c r="K114" i="19" s="1"/>
  <c r="K183" i="18"/>
  <c r="K135" i="19" s="1"/>
  <c r="K110" i="19"/>
  <c r="K100" i="23"/>
  <c r="K179" i="18"/>
  <c r="K131" i="19" s="1"/>
  <c r="K101" i="17"/>
  <c r="K121" i="17" s="1"/>
  <c r="K169" i="18"/>
  <c r="K142" i="17" s="1"/>
  <c r="K192" i="18"/>
  <c r="K144" i="19" s="1"/>
  <c r="K103" i="19"/>
  <c r="K123" i="19" s="1"/>
  <c r="K184" i="18"/>
  <c r="K136" i="19" s="1"/>
  <c r="K95" i="19"/>
  <c r="K115" i="19" s="1"/>
  <c r="K189" i="18"/>
  <c r="K141" i="19" s="1"/>
  <c r="K100" i="19"/>
  <c r="K120" i="19" s="1"/>
  <c r="K99" i="19"/>
  <c r="K119" i="19" s="1"/>
  <c r="K188" i="18"/>
  <c r="K140" i="19" s="1"/>
  <c r="K159" i="18"/>
  <c r="K132" i="17" s="1"/>
  <c r="K91" i="17"/>
  <c r="K111" i="17" s="1"/>
  <c r="K101" i="19"/>
  <c r="K121" i="19" s="1"/>
  <c r="K190" i="18"/>
  <c r="K142" i="19" s="1"/>
  <c r="K103" i="17"/>
  <c r="K123" i="17" s="1"/>
  <c r="K171" i="18"/>
  <c r="K144" i="17" s="1"/>
  <c r="K161" i="18"/>
  <c r="K134" i="17" s="1"/>
  <c r="K93" i="17"/>
  <c r="K113" i="17" s="1"/>
  <c r="K98" i="17"/>
  <c r="K118" i="17" s="1"/>
  <c r="K166" i="18"/>
  <c r="K139" i="17" s="1"/>
  <c r="K97" i="19"/>
  <c r="K117" i="19" s="1"/>
  <c r="K186" i="18"/>
  <c r="K138" i="19" s="1"/>
  <c r="K94" i="17"/>
  <c r="K114" i="17" s="1"/>
  <c r="K162" i="18"/>
  <c r="K135" i="17" s="1"/>
  <c r="K160" i="18"/>
  <c r="K133" i="17" s="1"/>
  <c r="K92" i="17"/>
  <c r="K112" i="17" s="1"/>
  <c r="K100" i="17"/>
  <c r="K120" i="17" s="1"/>
  <c r="K168" i="18"/>
  <c r="K141" i="17" s="1"/>
  <c r="K102" i="17"/>
  <c r="K122" i="17" s="1"/>
  <c r="K170" i="18"/>
  <c r="K143" i="17" s="1"/>
  <c r="K96" i="17"/>
  <c r="K116" i="17" s="1"/>
  <c r="K164" i="18"/>
  <c r="K137" i="17" s="1"/>
  <c r="K98" i="19"/>
  <c r="K118" i="19" s="1"/>
  <c r="K187" i="18"/>
  <c r="K139" i="19" s="1"/>
  <c r="K181" i="18"/>
  <c r="K133" i="19" s="1"/>
  <c r="K92" i="19"/>
  <c r="K112" i="19" s="1"/>
  <c r="K80" i="23"/>
  <c r="K90" i="17"/>
  <c r="K110" i="17" s="1"/>
  <c r="K158" i="18"/>
  <c r="K131" i="17" s="1"/>
  <c r="K163" i="18"/>
  <c r="K136" i="17" s="1"/>
  <c r="K95" i="17"/>
  <c r="K115" i="17" s="1"/>
  <c r="K191" i="18"/>
  <c r="K143" i="19" s="1"/>
  <c r="K102" i="19"/>
  <c r="K122" i="19" s="1"/>
  <c r="K167" i="18"/>
  <c r="K140" i="17" s="1"/>
  <c r="K99" i="17"/>
  <c r="K119" i="17" s="1"/>
  <c r="K91" i="19"/>
  <c r="K111" i="19" s="1"/>
  <c r="K180" i="18"/>
  <c r="K132" i="19" s="1"/>
  <c r="K182" i="18"/>
  <c r="K134" i="19" s="1"/>
  <c r="K93" i="19"/>
  <c r="K113" i="19" s="1"/>
  <c r="K189" i="25"/>
  <c r="K114" i="25"/>
  <c r="K190" i="25"/>
  <c r="K39" i="25"/>
  <c r="K159" i="25"/>
  <c r="K55" i="25"/>
  <c r="K85" i="25"/>
  <c r="K9" i="25"/>
  <c r="K145" i="25"/>
  <c r="K40" i="25"/>
  <c r="K84" i="25"/>
  <c r="K129" i="25"/>
  <c r="K99" i="25"/>
  <c r="K115" i="25"/>
  <c r="K205" i="25"/>
  <c r="K204" i="25"/>
  <c r="K10" i="25"/>
  <c r="K160" i="25"/>
  <c r="K24" i="25"/>
  <c r="K175" i="25"/>
  <c r="K54" i="25"/>
  <c r="K100" i="25"/>
  <c r="K25" i="25"/>
  <c r="K174" i="25"/>
  <c r="K144" i="25"/>
  <c r="K130" i="25"/>
  <c r="K70" i="25"/>
  <c r="K69" i="25"/>
  <c r="K219" i="25" l="1"/>
  <c r="K220" i="25"/>
  <c r="K151" i="17"/>
  <c r="K152" i="17"/>
  <c r="K164" i="19"/>
  <c r="K158" i="17"/>
  <c r="K163" i="17"/>
  <c r="K162" i="19"/>
  <c r="K162" i="17"/>
  <c r="K153" i="17"/>
  <c r="K154" i="17"/>
  <c r="K156" i="19"/>
  <c r="K155" i="19"/>
  <c r="K152" i="19"/>
  <c r="K153" i="19"/>
  <c r="K161" i="19"/>
  <c r="K163" i="19"/>
  <c r="K159" i="19"/>
  <c r="K158" i="19"/>
  <c r="K160" i="19"/>
  <c r="K154" i="19"/>
  <c r="K160" i="17"/>
  <c r="K156" i="17"/>
  <c r="K157" i="17"/>
  <c r="K161" i="17"/>
  <c r="K155" i="17"/>
  <c r="K159" i="17"/>
  <c r="K164" i="17"/>
  <c r="K151" i="19"/>
  <c r="K157" i="19"/>
  <c r="K145" i="19"/>
  <c r="K10" i="22" s="1"/>
  <c r="K38" i="38" s="1"/>
  <c r="K141" i="8"/>
  <c r="K139" i="8"/>
  <c r="K136" i="8"/>
  <c r="K133" i="8"/>
  <c r="K134" i="8"/>
  <c r="K91" i="8"/>
  <c r="K8" i="17"/>
  <c r="K20" i="19"/>
  <c r="K13" i="19"/>
  <c r="K10" i="19"/>
  <c r="K16" i="17"/>
  <c r="K99" i="8"/>
  <c r="K144" i="8"/>
  <c r="K96" i="8"/>
  <c r="K13" i="17"/>
  <c r="K100" i="8"/>
  <c r="K17" i="17"/>
  <c r="K18" i="19"/>
  <c r="K132" i="8"/>
  <c r="K138" i="8"/>
  <c r="K8" i="19"/>
  <c r="K135" i="8"/>
  <c r="K14" i="19"/>
  <c r="K17" i="19"/>
  <c r="K11" i="19"/>
  <c r="K140" i="8"/>
  <c r="K9" i="19"/>
  <c r="K143" i="8"/>
  <c r="K94" i="8"/>
  <c r="K11" i="17"/>
  <c r="K15" i="17"/>
  <c r="K98" i="8"/>
  <c r="K12" i="19"/>
  <c r="K142" i="8"/>
  <c r="K7" i="19"/>
  <c r="K104" i="19"/>
  <c r="K14" i="17"/>
  <c r="K97" i="8"/>
  <c r="K90" i="8"/>
  <c r="K104" i="17"/>
  <c r="K137" i="8"/>
  <c r="K193" i="18"/>
  <c r="K19" i="19"/>
  <c r="K12" i="17"/>
  <c r="K95" i="8"/>
  <c r="K7" i="17"/>
  <c r="K172" i="18"/>
  <c r="K15" i="19"/>
  <c r="K102" i="8"/>
  <c r="K19" i="17"/>
  <c r="K92" i="8"/>
  <c r="K9" i="17"/>
  <c r="K10" i="17"/>
  <c r="K93" i="8"/>
  <c r="K20" i="17"/>
  <c r="K103" i="8"/>
  <c r="K16" i="19"/>
  <c r="K101" i="8"/>
  <c r="K18" i="17"/>
  <c r="K203" i="25"/>
  <c r="K175" i="26"/>
  <c r="K40" i="26"/>
  <c r="K202" i="25"/>
  <c r="K173" i="25"/>
  <c r="K187" i="25"/>
  <c r="K159" i="26"/>
  <c r="K85" i="26"/>
  <c r="K128" i="25"/>
  <c r="K130" i="26"/>
  <c r="K127" i="25"/>
  <c r="K142" i="25"/>
  <c r="K22" i="25"/>
  <c r="K160" i="26"/>
  <c r="K53" i="25"/>
  <c r="K144" i="26"/>
  <c r="K157" i="25"/>
  <c r="K55" i="26"/>
  <c r="K70" i="26"/>
  <c r="K188" i="25"/>
  <c r="K97" i="25"/>
  <c r="K100" i="26"/>
  <c r="K190" i="26"/>
  <c r="K174" i="26"/>
  <c r="K37" i="25"/>
  <c r="K158" i="25"/>
  <c r="K39" i="26"/>
  <c r="K24" i="26"/>
  <c r="K99" i="26"/>
  <c r="K115" i="26"/>
  <c r="K8" i="25"/>
  <c r="K10" i="26"/>
  <c r="K189" i="26"/>
  <c r="K23" i="25"/>
  <c r="K25" i="26"/>
  <c r="K98" i="25"/>
  <c r="K67" i="25"/>
  <c r="K143" i="25"/>
  <c r="K69" i="26"/>
  <c r="K113" i="25"/>
  <c r="K114" i="26"/>
  <c r="K205" i="26"/>
  <c r="K82" i="25"/>
  <c r="K145" i="26"/>
  <c r="K129" i="26"/>
  <c r="K38" i="25"/>
  <c r="K84" i="26"/>
  <c r="K83" i="25"/>
  <c r="K112" i="25"/>
  <c r="K204" i="26"/>
  <c r="K54" i="26"/>
  <c r="K9" i="26"/>
  <c r="K68" i="25"/>
  <c r="K172" i="25"/>
  <c r="K7" i="25"/>
  <c r="K52" i="25"/>
  <c r="K10" i="38" l="1"/>
  <c r="K217" i="25"/>
  <c r="K220" i="26"/>
  <c r="K219" i="26"/>
  <c r="K218" i="25"/>
  <c r="K16" i="3"/>
  <c r="K8" i="3"/>
  <c r="K15" i="3"/>
  <c r="K235" i="25"/>
  <c r="K18" i="3"/>
  <c r="K10" i="3"/>
  <c r="K12" i="3"/>
  <c r="K11" i="3"/>
  <c r="K13" i="3"/>
  <c r="K17" i="3"/>
  <c r="K20" i="3"/>
  <c r="K19" i="3"/>
  <c r="K7" i="3"/>
  <c r="K9" i="3"/>
  <c r="K14" i="3"/>
  <c r="K33" i="19"/>
  <c r="K20" i="8"/>
  <c r="K10" i="8"/>
  <c r="K12" i="8"/>
  <c r="K9" i="8"/>
  <c r="K11" i="8"/>
  <c r="K19" i="8"/>
  <c r="K32" i="19"/>
  <c r="K15" i="8"/>
  <c r="K36" i="19"/>
  <c r="K40" i="19"/>
  <c r="K13" i="8"/>
  <c r="K31" i="19"/>
  <c r="K17" i="8"/>
  <c r="K21" i="17"/>
  <c r="K31" i="17"/>
  <c r="K113" i="8"/>
  <c r="K157" i="8"/>
  <c r="K160" i="8"/>
  <c r="K111" i="8"/>
  <c r="K29" i="17"/>
  <c r="K156" i="8"/>
  <c r="K18" i="8"/>
  <c r="K115" i="8"/>
  <c r="K33" i="17"/>
  <c r="K14" i="8"/>
  <c r="K21" i="19"/>
  <c r="K8" i="22" s="1"/>
  <c r="K36" i="38" s="1"/>
  <c r="K118" i="8"/>
  <c r="K36" i="17"/>
  <c r="K30" i="19"/>
  <c r="K158" i="8"/>
  <c r="K16" i="8"/>
  <c r="K41" i="19"/>
  <c r="K154" i="8"/>
  <c r="K153" i="8"/>
  <c r="K165" i="19"/>
  <c r="K123" i="8"/>
  <c r="K41" i="17"/>
  <c r="K110" i="8"/>
  <c r="K124" i="17"/>
  <c r="K30" i="17"/>
  <c r="K112" i="8"/>
  <c r="K124" i="19"/>
  <c r="K28" i="19"/>
  <c r="K114" i="8"/>
  <c r="K32" i="17"/>
  <c r="K38" i="19"/>
  <c r="K155" i="8"/>
  <c r="K152" i="8"/>
  <c r="K119" i="8"/>
  <c r="K37" i="17"/>
  <c r="K159" i="8"/>
  <c r="K122" i="8"/>
  <c r="K40" i="17"/>
  <c r="K35" i="19"/>
  <c r="K38" i="17"/>
  <c r="K120" i="8"/>
  <c r="K39" i="17"/>
  <c r="K121" i="8"/>
  <c r="K37" i="19"/>
  <c r="K145" i="17"/>
  <c r="K9" i="22" s="1"/>
  <c r="K131" i="8"/>
  <c r="K145" i="8" s="1"/>
  <c r="K104" i="8"/>
  <c r="K35" i="17"/>
  <c r="K117" i="8"/>
  <c r="K162" i="8"/>
  <c r="K163" i="8"/>
  <c r="K29" i="19"/>
  <c r="K39" i="19"/>
  <c r="K116" i="8"/>
  <c r="K34" i="17"/>
  <c r="K164" i="8"/>
  <c r="K34" i="19"/>
  <c r="K8" i="8"/>
  <c r="K161" i="8"/>
  <c r="K53" i="26"/>
  <c r="K157" i="26"/>
  <c r="K127" i="26"/>
  <c r="K68" i="26"/>
  <c r="K98" i="26"/>
  <c r="K187" i="26"/>
  <c r="K128" i="26"/>
  <c r="K38" i="26"/>
  <c r="K158" i="26"/>
  <c r="K188" i="26"/>
  <c r="K142" i="26"/>
  <c r="K67" i="26"/>
  <c r="K22" i="26"/>
  <c r="K97" i="26"/>
  <c r="K172" i="26"/>
  <c r="K113" i="26"/>
  <c r="K112" i="26"/>
  <c r="K83" i="26"/>
  <c r="K8" i="26"/>
  <c r="K82" i="26"/>
  <c r="K203" i="26"/>
  <c r="K23" i="26"/>
  <c r="K143" i="26"/>
  <c r="K52" i="26"/>
  <c r="K202" i="26"/>
  <c r="K173" i="26"/>
  <c r="K37" i="26"/>
  <c r="K234" i="25" l="1"/>
  <c r="K37" i="38"/>
  <c r="K9" i="38" s="1"/>
  <c r="K23" i="22"/>
  <c r="K51" i="38" s="1"/>
  <c r="K60" i="38" s="1"/>
  <c r="K23" i="38"/>
  <c r="K40" i="3"/>
  <c r="K21" i="3"/>
  <c r="K233" i="25"/>
  <c r="K194" i="26"/>
  <c r="K74" i="26"/>
  <c r="K209" i="26"/>
  <c r="K119" i="26"/>
  <c r="K44" i="26"/>
  <c r="K134" i="26"/>
  <c r="K89" i="26"/>
  <c r="K29" i="26"/>
  <c r="K104" i="26"/>
  <c r="K164" i="26"/>
  <c r="K218" i="26"/>
  <c r="K59" i="26"/>
  <c r="K179" i="26"/>
  <c r="K149" i="26"/>
  <c r="K235" i="26"/>
  <c r="K31" i="3"/>
  <c r="K32" i="3"/>
  <c r="K30" i="3"/>
  <c r="K29" i="3"/>
  <c r="K37" i="3"/>
  <c r="K35" i="3"/>
  <c r="K39" i="3"/>
  <c r="K33" i="3"/>
  <c r="K7" i="8"/>
  <c r="K21" i="8" s="1"/>
  <c r="K35" i="8"/>
  <c r="K30" i="8"/>
  <c r="K40" i="8"/>
  <c r="K29" i="8"/>
  <c r="K39" i="8"/>
  <c r="K7" i="22"/>
  <c r="K28" i="3"/>
  <c r="K97" i="3"/>
  <c r="K124" i="8"/>
  <c r="K38" i="3"/>
  <c r="K104" i="3"/>
  <c r="K37" i="8"/>
  <c r="K31" i="8"/>
  <c r="K102" i="3"/>
  <c r="K106" i="3"/>
  <c r="K34" i="3"/>
  <c r="K41" i="8"/>
  <c r="K38" i="8"/>
  <c r="K36" i="3"/>
  <c r="K100" i="3"/>
  <c r="K34" i="8"/>
  <c r="K98" i="3"/>
  <c r="K101" i="3"/>
  <c r="K165" i="17"/>
  <c r="K151" i="8"/>
  <c r="K165" i="8" s="1"/>
  <c r="K105" i="3"/>
  <c r="K107" i="3"/>
  <c r="K36" i="8"/>
  <c r="K32" i="8"/>
  <c r="K99" i="3"/>
  <c r="K42" i="19"/>
  <c r="K28" i="17"/>
  <c r="K108" i="3"/>
  <c r="K103" i="3"/>
  <c r="K33" i="8"/>
  <c r="K96" i="3"/>
  <c r="K7" i="26"/>
  <c r="K232" i="25" l="1"/>
  <c r="K35" i="38"/>
  <c r="K22" i="22"/>
  <c r="K22" i="38"/>
  <c r="K21" i="22"/>
  <c r="K49" i="38" s="1"/>
  <c r="K21" i="38"/>
  <c r="K8" i="38" s="1"/>
  <c r="K14" i="26"/>
  <c r="K217" i="26"/>
  <c r="K126" i="3"/>
  <c r="K122" i="3"/>
  <c r="K116" i="3"/>
  <c r="K127" i="3"/>
  <c r="K27" i="3"/>
  <c r="K41" i="3" s="1"/>
  <c r="K128" i="3"/>
  <c r="K121" i="3"/>
  <c r="K117" i="3"/>
  <c r="K119" i="3"/>
  <c r="K118" i="3"/>
  <c r="L93" i="17"/>
  <c r="L113" i="17" s="1"/>
  <c r="L161" i="18"/>
  <c r="L134" i="17" s="1"/>
  <c r="L91" i="17"/>
  <c r="L111" i="17" s="1"/>
  <c r="L159" i="18"/>
  <c r="L132" i="17" s="1"/>
  <c r="L163" i="18"/>
  <c r="L136" i="17" s="1"/>
  <c r="L95" i="17"/>
  <c r="L115" i="17" s="1"/>
  <c r="L166" i="18"/>
  <c r="L139" i="17" s="1"/>
  <c r="L98" i="17"/>
  <c r="L118" i="17" s="1"/>
  <c r="L164" i="18"/>
  <c r="L137" i="17" s="1"/>
  <c r="L96" i="17"/>
  <c r="L116" i="17" s="1"/>
  <c r="K95" i="3"/>
  <c r="K109" i="3" s="1"/>
  <c r="K42" i="17"/>
  <c r="K123" i="3"/>
  <c r="L100" i="23"/>
  <c r="L179" i="18"/>
  <c r="L131" i="19" s="1"/>
  <c r="L90" i="19"/>
  <c r="L110" i="19" s="1"/>
  <c r="L99" i="19"/>
  <c r="L119" i="19" s="1"/>
  <c r="L188" i="18"/>
  <c r="L140" i="19" s="1"/>
  <c r="L187" i="18"/>
  <c r="L139" i="19" s="1"/>
  <c r="L98" i="19"/>
  <c r="L118" i="19" s="1"/>
  <c r="L170" i="18"/>
  <c r="L143" i="17" s="1"/>
  <c r="L102" i="17"/>
  <c r="L122" i="17" s="1"/>
  <c r="L190" i="18"/>
  <c r="L142" i="19" s="1"/>
  <c r="L101" i="19"/>
  <c r="L121" i="19" s="1"/>
  <c r="L100" i="19"/>
  <c r="L120" i="19" s="1"/>
  <c r="L189" i="18"/>
  <c r="L141" i="19" s="1"/>
  <c r="K124" i="3"/>
  <c r="K28" i="8"/>
  <c r="L99" i="17"/>
  <c r="L119" i="17" s="1"/>
  <c r="L167" i="18"/>
  <c r="L140" i="17" s="1"/>
  <c r="K120" i="3"/>
  <c r="L192" i="18"/>
  <c r="L144" i="19" s="1"/>
  <c r="L103" i="19"/>
  <c r="L123" i="19" s="1"/>
  <c r="K125" i="3"/>
  <c r="L94" i="17"/>
  <c r="L114" i="17" s="1"/>
  <c r="L162" i="18"/>
  <c r="L135" i="17" s="1"/>
  <c r="L91" i="19"/>
  <c r="L111" i="19" s="1"/>
  <c r="L180" i="18"/>
  <c r="L132" i="19" s="1"/>
  <c r="L97" i="19"/>
  <c r="L117" i="19" s="1"/>
  <c r="L186" i="18"/>
  <c r="L138" i="19" s="1"/>
  <c r="L181" i="18"/>
  <c r="L133" i="19" s="1"/>
  <c r="L92" i="19"/>
  <c r="L112" i="19" s="1"/>
  <c r="L100" i="17"/>
  <c r="L120" i="17" s="1"/>
  <c r="L168" i="18"/>
  <c r="L141" i="17" s="1"/>
  <c r="L97" i="17"/>
  <c r="L117" i="17" s="1"/>
  <c r="L165" i="18"/>
  <c r="L138" i="17" s="1"/>
  <c r="L90" i="17"/>
  <c r="L110" i="17" s="1"/>
  <c r="L158" i="18"/>
  <c r="L131" i="17" s="1"/>
  <c r="L80" i="23"/>
  <c r="L182" i="18"/>
  <c r="L134" i="19" s="1"/>
  <c r="L93" i="19"/>
  <c r="L113" i="19" s="1"/>
  <c r="L160" i="18"/>
  <c r="L133" i="17" s="1"/>
  <c r="L92" i="17"/>
  <c r="L112" i="17" s="1"/>
  <c r="L185" i="18"/>
  <c r="L137" i="19" s="1"/>
  <c r="L96" i="19"/>
  <c r="L116" i="19" s="1"/>
  <c r="L102" i="19"/>
  <c r="L122" i="19" s="1"/>
  <c r="L191" i="18"/>
  <c r="L143" i="19" s="1"/>
  <c r="L101" i="17"/>
  <c r="L121" i="17" s="1"/>
  <c r="L169" i="18"/>
  <c r="L142" i="17" s="1"/>
  <c r="L183" i="18"/>
  <c r="L135" i="19" s="1"/>
  <c r="L94" i="19"/>
  <c r="L114" i="19" s="1"/>
  <c r="L171" i="18"/>
  <c r="L144" i="17" s="1"/>
  <c r="L103" i="17"/>
  <c r="L123" i="17" s="1"/>
  <c r="L95" i="19"/>
  <c r="L115" i="19" s="1"/>
  <c r="L184" i="18"/>
  <c r="L136" i="19" s="1"/>
  <c r="L40" i="25"/>
  <c r="L114" i="25"/>
  <c r="L160" i="25"/>
  <c r="L54" i="25"/>
  <c r="L129" i="25"/>
  <c r="L25" i="25"/>
  <c r="L85" i="25"/>
  <c r="L115" i="25"/>
  <c r="L159" i="25"/>
  <c r="L174" i="25"/>
  <c r="L130" i="25"/>
  <c r="L39" i="25"/>
  <c r="L204" i="25"/>
  <c r="L10" i="25"/>
  <c r="L190" i="25"/>
  <c r="L205" i="25"/>
  <c r="L9" i="25"/>
  <c r="L84" i="25"/>
  <c r="L24" i="25"/>
  <c r="L99" i="25"/>
  <c r="L175" i="25"/>
  <c r="L69" i="25"/>
  <c r="L100" i="25"/>
  <c r="L70" i="25"/>
  <c r="L145" i="25"/>
  <c r="L189" i="25"/>
  <c r="L55" i="25"/>
  <c r="L144" i="25"/>
  <c r="K234" i="26" l="1"/>
  <c r="K50" i="38"/>
  <c r="K7" i="38"/>
  <c r="K233" i="26"/>
  <c r="K20" i="22"/>
  <c r="K48" i="38" s="1"/>
  <c r="K20" i="38"/>
  <c r="K67" i="38"/>
  <c r="K61" i="38"/>
  <c r="K59" i="38"/>
  <c r="L220" i="25"/>
  <c r="L219" i="25"/>
  <c r="L162" i="17"/>
  <c r="L151" i="19"/>
  <c r="L154" i="19"/>
  <c r="L160" i="17"/>
  <c r="L154" i="17"/>
  <c r="L162" i="19"/>
  <c r="L164" i="17"/>
  <c r="L158" i="17"/>
  <c r="L161" i="19"/>
  <c r="L156" i="19"/>
  <c r="L163" i="19"/>
  <c r="L153" i="19"/>
  <c r="L157" i="17"/>
  <c r="L159" i="19"/>
  <c r="L159" i="17"/>
  <c r="L157" i="19"/>
  <c r="L152" i="19"/>
  <c r="L160" i="19"/>
  <c r="L163" i="17"/>
  <c r="L156" i="17"/>
  <c r="L155" i="19"/>
  <c r="L153" i="17"/>
  <c r="L151" i="17"/>
  <c r="L161" i="17"/>
  <c r="L158" i="19"/>
  <c r="L155" i="17"/>
  <c r="L164" i="19"/>
  <c r="L152" i="17"/>
  <c r="L133" i="8"/>
  <c r="L143" i="8"/>
  <c r="L144" i="8"/>
  <c r="L12" i="19"/>
  <c r="L139" i="8"/>
  <c r="L138" i="8"/>
  <c r="L135" i="8"/>
  <c r="L99" i="8"/>
  <c r="L16" i="17"/>
  <c r="K115" i="3"/>
  <c r="K129" i="3" s="1"/>
  <c r="K42" i="8"/>
  <c r="L18" i="19"/>
  <c r="L193" i="18"/>
  <c r="L137" i="8"/>
  <c r="L11" i="19"/>
  <c r="L19" i="19"/>
  <c r="L7" i="17"/>
  <c r="L172" i="18"/>
  <c r="L97" i="8"/>
  <c r="L14" i="17"/>
  <c r="L141" i="8"/>
  <c r="L94" i="8"/>
  <c r="L11" i="17"/>
  <c r="L7" i="19"/>
  <c r="L95" i="8"/>
  <c r="L12" i="17"/>
  <c r="L132" i="8"/>
  <c r="L103" i="8"/>
  <c r="L20" i="17"/>
  <c r="L142" i="8"/>
  <c r="L13" i="19"/>
  <c r="L9" i="17"/>
  <c r="L92" i="8"/>
  <c r="L10" i="19"/>
  <c r="L104" i="17"/>
  <c r="L90" i="8"/>
  <c r="L100" i="8"/>
  <c r="L17" i="17"/>
  <c r="L14" i="19"/>
  <c r="L102" i="8"/>
  <c r="L19" i="17"/>
  <c r="L16" i="19"/>
  <c r="L136" i="8"/>
  <c r="L91" i="8"/>
  <c r="L8" i="17"/>
  <c r="L134" i="8"/>
  <c r="L18" i="17"/>
  <c r="L101" i="8"/>
  <c r="L9" i="19"/>
  <c r="L8" i="19"/>
  <c r="L20" i="19"/>
  <c r="L140" i="8"/>
  <c r="L17" i="19"/>
  <c r="L15" i="19"/>
  <c r="L104" i="19"/>
  <c r="L13" i="17"/>
  <c r="L96" i="8"/>
  <c r="L98" i="8"/>
  <c r="L15" i="17"/>
  <c r="L10" i="17"/>
  <c r="L93" i="8"/>
  <c r="L10" i="26"/>
  <c r="L160" i="26"/>
  <c r="L52" i="25"/>
  <c r="L143" i="25"/>
  <c r="L68" i="25"/>
  <c r="L203" i="25"/>
  <c r="L157" i="25"/>
  <c r="L7" i="25"/>
  <c r="L173" i="25"/>
  <c r="L189" i="26"/>
  <c r="L172" i="25"/>
  <c r="L127" i="25"/>
  <c r="L67" i="25"/>
  <c r="L39" i="26"/>
  <c r="L187" i="25"/>
  <c r="L144" i="26"/>
  <c r="L40" i="26"/>
  <c r="L9" i="26"/>
  <c r="L190" i="26"/>
  <c r="L83" i="25"/>
  <c r="L113" i="25"/>
  <c r="L24" i="26"/>
  <c r="L85" i="26"/>
  <c r="L70" i="26"/>
  <c r="L38" i="25"/>
  <c r="L8" i="25"/>
  <c r="L23" i="25"/>
  <c r="L55" i="26"/>
  <c r="L97" i="25"/>
  <c r="L69" i="26"/>
  <c r="L174" i="26"/>
  <c r="L54" i="26"/>
  <c r="L112" i="25"/>
  <c r="L84" i="26"/>
  <c r="L202" i="25"/>
  <c r="L37" i="25"/>
  <c r="L205" i="26"/>
  <c r="L159" i="26"/>
  <c r="L100" i="26"/>
  <c r="L128" i="25"/>
  <c r="L115" i="26"/>
  <c r="L175" i="26"/>
  <c r="L114" i="26"/>
  <c r="L142" i="25"/>
  <c r="L145" i="26"/>
  <c r="L158" i="25"/>
  <c r="L82" i="25"/>
  <c r="L130" i="26"/>
  <c r="L22" i="25"/>
  <c r="L204" i="26"/>
  <c r="L188" i="25"/>
  <c r="L98" i="25"/>
  <c r="L99" i="26"/>
  <c r="L129" i="26"/>
  <c r="L25" i="26"/>
  <c r="L53" i="25"/>
  <c r="K232" i="26" l="1"/>
  <c r="L20" i="8"/>
  <c r="L220" i="26"/>
  <c r="L217" i="25"/>
  <c r="L218" i="25"/>
  <c r="L219" i="26"/>
  <c r="L9" i="3"/>
  <c r="L20" i="3"/>
  <c r="L14" i="3"/>
  <c r="L13" i="3"/>
  <c r="L17" i="3"/>
  <c r="L7" i="3"/>
  <c r="L15" i="3"/>
  <c r="L8" i="3"/>
  <c r="L16" i="3"/>
  <c r="L10" i="3"/>
  <c r="L19" i="3"/>
  <c r="L18" i="3"/>
  <c r="L12" i="3"/>
  <c r="L11" i="3"/>
  <c r="L9" i="8"/>
  <c r="L15" i="8"/>
  <c r="L37" i="19"/>
  <c r="L13" i="8"/>
  <c r="L40" i="19"/>
  <c r="L30" i="19"/>
  <c r="L36" i="19"/>
  <c r="L38" i="19"/>
  <c r="L41" i="19"/>
  <c r="L10" i="8"/>
  <c r="L35" i="19"/>
  <c r="L14" i="8"/>
  <c r="L17" i="8"/>
  <c r="L32" i="19"/>
  <c r="L29" i="19"/>
  <c r="L12" i="8"/>
  <c r="L8" i="8"/>
  <c r="L11" i="8"/>
  <c r="L113" i="8"/>
  <c r="L31" i="17"/>
  <c r="L124" i="19"/>
  <c r="L21" i="17"/>
  <c r="L162" i="8"/>
  <c r="L131" i="8"/>
  <c r="L145" i="8" s="1"/>
  <c r="L28" i="19"/>
  <c r="L145" i="19"/>
  <c r="L10" i="22" s="1"/>
  <c r="L157" i="8"/>
  <c r="L155" i="8"/>
  <c r="L33" i="19"/>
  <c r="L19" i="8"/>
  <c r="L116" i="8"/>
  <c r="L34" i="17"/>
  <c r="L154" i="8"/>
  <c r="L40" i="17"/>
  <c r="L122" i="8"/>
  <c r="L112" i="8"/>
  <c r="L30" i="17"/>
  <c r="L34" i="19"/>
  <c r="L123" i="8"/>
  <c r="L41" i="17"/>
  <c r="L152" i="8"/>
  <c r="L114" i="8"/>
  <c r="L32" i="17"/>
  <c r="L39" i="19"/>
  <c r="L37" i="17"/>
  <c r="L119" i="8"/>
  <c r="L159" i="8"/>
  <c r="L153" i="8"/>
  <c r="L160" i="8"/>
  <c r="L121" i="8"/>
  <c r="L39" i="17"/>
  <c r="L111" i="8"/>
  <c r="L29" i="17"/>
  <c r="L104" i="8"/>
  <c r="L31" i="19"/>
  <c r="L161" i="8"/>
  <c r="L28" i="17"/>
  <c r="L145" i="17"/>
  <c r="L9" i="22" s="1"/>
  <c r="L164" i="8"/>
  <c r="L118" i="8"/>
  <c r="L36" i="17"/>
  <c r="L21" i="19"/>
  <c r="L156" i="8"/>
  <c r="L120" i="8"/>
  <c r="L38" i="17"/>
  <c r="L110" i="8"/>
  <c r="L124" i="17"/>
  <c r="L18" i="8"/>
  <c r="L115" i="8"/>
  <c r="L33" i="17"/>
  <c r="L117" i="8"/>
  <c r="L35" i="17"/>
  <c r="L16" i="8"/>
  <c r="L158" i="8"/>
  <c r="L163" i="8"/>
  <c r="L40" i="8" s="1"/>
  <c r="L98" i="26"/>
  <c r="L7" i="26"/>
  <c r="L142" i="26"/>
  <c r="L173" i="26"/>
  <c r="L113" i="26"/>
  <c r="L127" i="26"/>
  <c r="L202" i="26"/>
  <c r="L82" i="26"/>
  <c r="L172" i="26"/>
  <c r="L157" i="26"/>
  <c r="L97" i="26"/>
  <c r="L203" i="26"/>
  <c r="L143" i="26"/>
  <c r="L187" i="26"/>
  <c r="L158" i="26"/>
  <c r="L23" i="26"/>
  <c r="L112" i="26"/>
  <c r="L8" i="26"/>
  <c r="L83" i="26"/>
  <c r="L188" i="26"/>
  <c r="L53" i="26"/>
  <c r="L38" i="26"/>
  <c r="L128" i="26"/>
  <c r="L68" i="26"/>
  <c r="L52" i="26"/>
  <c r="L22" i="26"/>
  <c r="L37" i="26"/>
  <c r="L67" i="26"/>
  <c r="L234" i="25" l="1"/>
  <c r="L37" i="38"/>
  <c r="L9" i="38" s="1"/>
  <c r="L235" i="25"/>
  <c r="L38" i="38"/>
  <c r="L40" i="3"/>
  <c r="L21" i="3"/>
  <c r="L29" i="26"/>
  <c r="L44" i="26"/>
  <c r="L209" i="26"/>
  <c r="L104" i="26"/>
  <c r="L59" i="26"/>
  <c r="L149" i="26"/>
  <c r="L218" i="26"/>
  <c r="L89" i="26"/>
  <c r="L179" i="26"/>
  <c r="L74" i="26"/>
  <c r="L119" i="26"/>
  <c r="L164" i="26"/>
  <c r="L134" i="26"/>
  <c r="L217" i="26"/>
  <c r="L14" i="26"/>
  <c r="L194" i="26"/>
  <c r="L29" i="3"/>
  <c r="L35" i="3"/>
  <c r="L32" i="3"/>
  <c r="L33" i="3"/>
  <c r="L37" i="3"/>
  <c r="L30" i="8"/>
  <c r="L30" i="3"/>
  <c r="L31" i="3"/>
  <c r="L34" i="3"/>
  <c r="L39" i="8"/>
  <c r="L7" i="8"/>
  <c r="L27" i="3" s="1"/>
  <c r="L28" i="3"/>
  <c r="L34" i="8"/>
  <c r="L8" i="22"/>
  <c r="L36" i="8"/>
  <c r="L29" i="8"/>
  <c r="L31" i="8"/>
  <c r="L95" i="3"/>
  <c r="L42" i="19"/>
  <c r="L21" i="38" s="1"/>
  <c r="L8" i="38" s="1"/>
  <c r="L36" i="3"/>
  <c r="L35" i="8"/>
  <c r="L100" i="3"/>
  <c r="L106" i="3"/>
  <c r="L99" i="3"/>
  <c r="L41" i="8"/>
  <c r="L97" i="3"/>
  <c r="L107" i="3"/>
  <c r="L127" i="3" s="1"/>
  <c r="L32" i="8"/>
  <c r="L7" i="22"/>
  <c r="L39" i="3"/>
  <c r="L98" i="3"/>
  <c r="L33" i="8"/>
  <c r="L42" i="17"/>
  <c r="L20" i="38" s="1"/>
  <c r="L105" i="3"/>
  <c r="L96" i="3"/>
  <c r="L165" i="19"/>
  <c r="L124" i="8"/>
  <c r="L103" i="3"/>
  <c r="L165" i="17"/>
  <c r="L151" i="8"/>
  <c r="L165" i="8" s="1"/>
  <c r="L37" i="8"/>
  <c r="L101" i="3"/>
  <c r="L38" i="3"/>
  <c r="L102" i="3"/>
  <c r="L38" i="8"/>
  <c r="L104" i="3"/>
  <c r="L108" i="3"/>
  <c r="L233" i="25" l="1"/>
  <c r="L36" i="38"/>
  <c r="L232" i="25"/>
  <c r="L35" i="38"/>
  <c r="L22" i="22"/>
  <c r="L22" i="38"/>
  <c r="L10" i="38"/>
  <c r="L67" i="38" s="1"/>
  <c r="L23" i="22"/>
  <c r="L23" i="38"/>
  <c r="L121" i="3"/>
  <c r="L123" i="3"/>
  <c r="L117" i="3"/>
  <c r="L21" i="8"/>
  <c r="L126" i="3"/>
  <c r="L116" i="3"/>
  <c r="L118" i="3"/>
  <c r="L120" i="3"/>
  <c r="L124" i="3"/>
  <c r="L20" i="22"/>
  <c r="M192" i="18"/>
  <c r="M144" i="19" s="1"/>
  <c r="M103" i="19"/>
  <c r="M123" i="19" s="1"/>
  <c r="M163" i="18"/>
  <c r="M136" i="17" s="1"/>
  <c r="M95" i="17"/>
  <c r="M115" i="17" s="1"/>
  <c r="M80" i="23"/>
  <c r="M158" i="18"/>
  <c r="M131" i="17" s="1"/>
  <c r="M90" i="17"/>
  <c r="M110" i="17" s="1"/>
  <c r="M95" i="19"/>
  <c r="M115" i="19" s="1"/>
  <c r="M184" i="18"/>
  <c r="M136" i="19" s="1"/>
  <c r="L28" i="8"/>
  <c r="M162" i="18"/>
  <c r="M135" i="17" s="1"/>
  <c r="M94" i="17"/>
  <c r="M114" i="17" s="1"/>
  <c r="M166" i="18"/>
  <c r="M139" i="17" s="1"/>
  <c r="M98" i="17"/>
  <c r="M118" i="17" s="1"/>
  <c r="M191" i="18"/>
  <c r="M143" i="19" s="1"/>
  <c r="M102" i="19"/>
  <c r="M122" i="19" s="1"/>
  <c r="L41" i="3"/>
  <c r="M100" i="19"/>
  <c r="M120" i="19" s="1"/>
  <c r="M189" i="18"/>
  <c r="M141" i="19" s="1"/>
  <c r="M188" i="18"/>
  <c r="M140" i="19" s="1"/>
  <c r="M99" i="19"/>
  <c r="M119" i="19" s="1"/>
  <c r="M100" i="23"/>
  <c r="M179" i="18"/>
  <c r="M131" i="19" s="1"/>
  <c r="M90" i="19"/>
  <c r="M110" i="19" s="1"/>
  <c r="M182" i="18"/>
  <c r="M134" i="19" s="1"/>
  <c r="M93" i="19"/>
  <c r="M113" i="19" s="1"/>
  <c r="M97" i="17"/>
  <c r="M117" i="17" s="1"/>
  <c r="M165" i="18"/>
  <c r="M138" i="17" s="1"/>
  <c r="M181" i="18"/>
  <c r="M133" i="19" s="1"/>
  <c r="M92" i="19"/>
  <c r="M112" i="19" s="1"/>
  <c r="M167" i="18"/>
  <c r="M140" i="17" s="1"/>
  <c r="M99" i="17"/>
  <c r="M119" i="17" s="1"/>
  <c r="M183" i="18"/>
  <c r="M135" i="19" s="1"/>
  <c r="M94" i="19"/>
  <c r="M114" i="19" s="1"/>
  <c r="M98" i="19"/>
  <c r="M118" i="19" s="1"/>
  <c r="M187" i="18"/>
  <c r="M139" i="19" s="1"/>
  <c r="M93" i="17"/>
  <c r="M113" i="17" s="1"/>
  <c r="M161" i="18"/>
  <c r="M134" i="17" s="1"/>
  <c r="M186" i="18"/>
  <c r="M138" i="19" s="1"/>
  <c r="M97" i="19"/>
  <c r="M117" i="19" s="1"/>
  <c r="M164" i="18"/>
  <c r="M137" i="17" s="1"/>
  <c r="M96" i="17"/>
  <c r="M116" i="17" s="1"/>
  <c r="M159" i="18"/>
  <c r="M132" i="17" s="1"/>
  <c r="M91" i="17"/>
  <c r="M111" i="17" s="1"/>
  <c r="L21" i="22"/>
  <c r="M170" i="18"/>
  <c r="M143" i="17" s="1"/>
  <c r="M102" i="17"/>
  <c r="M122" i="17" s="1"/>
  <c r="M190" i="18"/>
  <c r="M142" i="19" s="1"/>
  <c r="M101" i="19"/>
  <c r="M121" i="19" s="1"/>
  <c r="M171" i="18"/>
  <c r="M144" i="17" s="1"/>
  <c r="M103" i="17"/>
  <c r="M123" i="17" s="1"/>
  <c r="L125" i="3"/>
  <c r="M169" i="18"/>
  <c r="M142" i="17" s="1"/>
  <c r="M101" i="17"/>
  <c r="M121" i="17" s="1"/>
  <c r="M92" i="17"/>
  <c r="M112" i="17" s="1"/>
  <c r="M160" i="18"/>
  <c r="M133" i="17" s="1"/>
  <c r="M96" i="19"/>
  <c r="M116" i="19" s="1"/>
  <c r="M185" i="18"/>
  <c r="M137" i="19" s="1"/>
  <c r="L128" i="3"/>
  <c r="L119" i="3"/>
  <c r="L122" i="3"/>
  <c r="M100" i="17"/>
  <c r="M120" i="17" s="1"/>
  <c r="M168" i="18"/>
  <c r="M141" i="17" s="1"/>
  <c r="M91" i="19"/>
  <c r="M111" i="19" s="1"/>
  <c r="M180" i="18"/>
  <c r="M132" i="19" s="1"/>
  <c r="L109" i="3"/>
  <c r="M100" i="25"/>
  <c r="M190" i="25"/>
  <c r="M39" i="25"/>
  <c r="M85" i="25"/>
  <c r="M99" i="25"/>
  <c r="M115" i="25"/>
  <c r="M204" i="25"/>
  <c r="M129" i="25"/>
  <c r="M145" i="25"/>
  <c r="M159" i="25"/>
  <c r="M205" i="25"/>
  <c r="M114" i="25"/>
  <c r="M144" i="25"/>
  <c r="M9" i="25"/>
  <c r="M10" i="25"/>
  <c r="M54" i="25"/>
  <c r="M69" i="25"/>
  <c r="M55" i="25"/>
  <c r="M84" i="25"/>
  <c r="M130" i="25"/>
  <c r="M189" i="25"/>
  <c r="M70" i="25"/>
  <c r="M174" i="25"/>
  <c r="M40" i="25"/>
  <c r="M24" i="25"/>
  <c r="M175" i="25"/>
  <c r="M160" i="25"/>
  <c r="M25" i="25"/>
  <c r="L234" i="26" l="1"/>
  <c r="L50" i="38"/>
  <c r="L7" i="38"/>
  <c r="L235" i="26"/>
  <c r="L51" i="38"/>
  <c r="L60" i="38" s="1"/>
  <c r="L233" i="26"/>
  <c r="L49" i="38"/>
  <c r="L232" i="26"/>
  <c r="L48" i="38"/>
  <c r="M219" i="25"/>
  <c r="M220" i="25"/>
  <c r="M157" i="17"/>
  <c r="M158" i="17"/>
  <c r="M163" i="19"/>
  <c r="M40" i="19" s="1"/>
  <c r="M155" i="17"/>
  <c r="M156" i="17"/>
  <c r="M161" i="17"/>
  <c r="M159" i="19"/>
  <c r="M160" i="17"/>
  <c r="M151" i="17"/>
  <c r="M163" i="17"/>
  <c r="M155" i="19"/>
  <c r="M151" i="19"/>
  <c r="M162" i="19"/>
  <c r="M152" i="17"/>
  <c r="M158" i="19"/>
  <c r="M159" i="17"/>
  <c r="M156" i="19"/>
  <c r="M164" i="19"/>
  <c r="M153" i="17"/>
  <c r="M161" i="19"/>
  <c r="M157" i="19"/>
  <c r="M164" i="17"/>
  <c r="M152" i="19"/>
  <c r="M162" i="17"/>
  <c r="M154" i="17"/>
  <c r="M153" i="19"/>
  <c r="M154" i="19"/>
  <c r="M160" i="19"/>
  <c r="M133" i="8"/>
  <c r="M144" i="8"/>
  <c r="M134" i="8"/>
  <c r="M143" i="8"/>
  <c r="M141" i="8"/>
  <c r="M18" i="17"/>
  <c r="M101" i="8"/>
  <c r="N103" i="17"/>
  <c r="N123" i="17" s="1"/>
  <c r="N171" i="18"/>
  <c r="N144" i="17" s="1"/>
  <c r="N100" i="17"/>
  <c r="N120" i="17" s="1"/>
  <c r="N168" i="18"/>
  <c r="N141" i="17" s="1"/>
  <c r="N93" i="17"/>
  <c r="N113" i="17" s="1"/>
  <c r="N161" i="18"/>
  <c r="N134" i="17" s="1"/>
  <c r="N80" i="23"/>
  <c r="N158" i="18"/>
  <c r="N131" i="17" s="1"/>
  <c r="N90" i="17"/>
  <c r="N110" i="17" s="1"/>
  <c r="N184" i="18"/>
  <c r="N136" i="19" s="1"/>
  <c r="N95" i="19"/>
  <c r="N115" i="19" s="1"/>
  <c r="M19" i="17"/>
  <c r="M102" i="8"/>
  <c r="N102" i="17"/>
  <c r="N122" i="17" s="1"/>
  <c r="N170" i="18"/>
  <c r="N143" i="17" s="1"/>
  <c r="M91" i="8"/>
  <c r="M8" i="17"/>
  <c r="M137" i="8"/>
  <c r="N99" i="19"/>
  <c r="N119" i="19" s="1"/>
  <c r="N188" i="18"/>
  <c r="N140" i="19" s="1"/>
  <c r="N169" i="18"/>
  <c r="N142" i="17" s="1"/>
  <c r="N101" i="17"/>
  <c r="N121" i="17" s="1"/>
  <c r="N91" i="19"/>
  <c r="N111" i="19" s="1"/>
  <c r="N180" i="18"/>
  <c r="N132" i="19" s="1"/>
  <c r="M97" i="8"/>
  <c r="M14" i="17"/>
  <c r="M10" i="19"/>
  <c r="N97" i="17"/>
  <c r="N117" i="17" s="1"/>
  <c r="N165" i="18"/>
  <c r="N138" i="17" s="1"/>
  <c r="M135" i="8"/>
  <c r="L115" i="3"/>
  <c r="L129" i="3" s="1"/>
  <c r="L42" i="8"/>
  <c r="M104" i="17"/>
  <c r="M90" i="8"/>
  <c r="M20" i="19"/>
  <c r="M7" i="17"/>
  <c r="M145" i="17"/>
  <c r="M9" i="22" s="1"/>
  <c r="M37" i="38" s="1"/>
  <c r="M9" i="38" s="1"/>
  <c r="M17" i="17"/>
  <c r="M100" i="8"/>
  <c r="M13" i="19"/>
  <c r="M142" i="8"/>
  <c r="N162" i="18"/>
  <c r="N135" i="17" s="1"/>
  <c r="N94" i="17"/>
  <c r="N114" i="17" s="1"/>
  <c r="N192" i="18"/>
  <c r="N144" i="19" s="1"/>
  <c r="N103" i="19"/>
  <c r="N123" i="19" s="1"/>
  <c r="N189" i="18"/>
  <c r="N141" i="19" s="1"/>
  <c r="N100" i="19"/>
  <c r="N120" i="19" s="1"/>
  <c r="N179" i="18"/>
  <c r="N131" i="19" s="1"/>
  <c r="N90" i="19"/>
  <c r="N110" i="19" s="1"/>
  <c r="N100" i="23"/>
  <c r="N163" i="18"/>
  <c r="N136" i="17" s="1"/>
  <c r="N95" i="17"/>
  <c r="N115" i="17" s="1"/>
  <c r="M18" i="19"/>
  <c r="N191" i="18"/>
  <c r="N143" i="19" s="1"/>
  <c r="N102" i="19"/>
  <c r="N122" i="19" s="1"/>
  <c r="M132" i="8"/>
  <c r="N98" i="17"/>
  <c r="N118" i="17" s="1"/>
  <c r="N166" i="18"/>
  <c r="N139" i="17" s="1"/>
  <c r="N92" i="17"/>
  <c r="N112" i="17" s="1"/>
  <c r="N160" i="18"/>
  <c r="N133" i="17" s="1"/>
  <c r="M16" i="17"/>
  <c r="M99" i="8"/>
  <c r="M9" i="19"/>
  <c r="N97" i="19"/>
  <c r="N117" i="19" s="1"/>
  <c r="N186" i="18"/>
  <c r="N138" i="19" s="1"/>
  <c r="M16" i="19"/>
  <c r="M17" i="19"/>
  <c r="M98" i="8"/>
  <c r="M15" i="17"/>
  <c r="M12" i="19"/>
  <c r="M172" i="18"/>
  <c r="M95" i="8"/>
  <c r="M12" i="17"/>
  <c r="M103" i="8"/>
  <c r="M20" i="17"/>
  <c r="M14" i="19"/>
  <c r="M15" i="19"/>
  <c r="N99" i="17"/>
  <c r="N119" i="17" s="1"/>
  <c r="N167" i="18"/>
  <c r="N140" i="17" s="1"/>
  <c r="N187" i="18"/>
  <c r="N139" i="19" s="1"/>
  <c r="N98" i="19"/>
  <c r="N118" i="19" s="1"/>
  <c r="N101" i="19"/>
  <c r="N121" i="19" s="1"/>
  <c r="N190" i="18"/>
  <c r="N142" i="19" s="1"/>
  <c r="N159" i="18"/>
  <c r="N132" i="17" s="1"/>
  <c r="N91" i="17"/>
  <c r="N111" i="17" s="1"/>
  <c r="N92" i="19"/>
  <c r="N112" i="19" s="1"/>
  <c r="N181" i="18"/>
  <c r="N133" i="19" s="1"/>
  <c r="M140" i="8"/>
  <c r="M104" i="19"/>
  <c r="M139" i="8"/>
  <c r="M136" i="8"/>
  <c r="N164" i="18"/>
  <c r="N137" i="17" s="1"/>
  <c r="N96" i="17"/>
  <c r="N116" i="17" s="1"/>
  <c r="M8" i="19"/>
  <c r="M92" i="8"/>
  <c r="M9" i="17"/>
  <c r="N94" i="19"/>
  <c r="N114" i="19" s="1"/>
  <c r="N183" i="18"/>
  <c r="N135" i="19" s="1"/>
  <c r="N182" i="18"/>
  <c r="N134" i="19" s="1"/>
  <c r="N93" i="19"/>
  <c r="N113" i="19" s="1"/>
  <c r="M96" i="8"/>
  <c r="M13" i="17"/>
  <c r="M10" i="17"/>
  <c r="M93" i="8"/>
  <c r="M11" i="19"/>
  <c r="M138" i="8"/>
  <c r="M7" i="19"/>
  <c r="M193" i="18"/>
  <c r="M19" i="19"/>
  <c r="M94" i="8"/>
  <c r="M11" i="17"/>
  <c r="N96" i="19"/>
  <c r="N116" i="19" s="1"/>
  <c r="N185" i="18"/>
  <c r="N137" i="19" s="1"/>
  <c r="M53" i="25"/>
  <c r="M114" i="26"/>
  <c r="N174" i="25"/>
  <c r="N25" i="25"/>
  <c r="N85" i="25"/>
  <c r="N189" i="25"/>
  <c r="N115" i="25"/>
  <c r="N40" i="25"/>
  <c r="M52" i="25"/>
  <c r="M145" i="26"/>
  <c r="M173" i="25"/>
  <c r="M113" i="25"/>
  <c r="M22" i="25"/>
  <c r="M157" i="25"/>
  <c r="M159" i="26"/>
  <c r="N190" i="25"/>
  <c r="N114" i="25"/>
  <c r="M112" i="25"/>
  <c r="N144" i="25"/>
  <c r="N99" i="25"/>
  <c r="M70" i="26"/>
  <c r="M10" i="26"/>
  <c r="M128" i="25"/>
  <c r="M24" i="26"/>
  <c r="M187" i="25"/>
  <c r="M85" i="26"/>
  <c r="M174" i="26"/>
  <c r="M202" i="25"/>
  <c r="M190" i="26"/>
  <c r="M189" i="26"/>
  <c r="M130" i="26"/>
  <c r="M82" i="25"/>
  <c r="M203" i="25"/>
  <c r="M158" i="25"/>
  <c r="M7" i="25"/>
  <c r="M129" i="26"/>
  <c r="N175" i="25"/>
  <c r="N204" i="25"/>
  <c r="N69" i="25"/>
  <c r="M25" i="26"/>
  <c r="M39" i="26"/>
  <c r="M160" i="26"/>
  <c r="M175" i="26"/>
  <c r="M205" i="26"/>
  <c r="M69" i="26"/>
  <c r="M40" i="26"/>
  <c r="M83" i="25"/>
  <c r="M142" i="25"/>
  <c r="M37" i="25"/>
  <c r="N145" i="25"/>
  <c r="M144" i="26"/>
  <c r="N84" i="25"/>
  <c r="M127" i="25"/>
  <c r="M68" i="25"/>
  <c r="M84" i="26"/>
  <c r="M23" i="25"/>
  <c r="M55" i="26"/>
  <c r="N160" i="25"/>
  <c r="M115" i="26"/>
  <c r="N70" i="25"/>
  <c r="M8" i="25"/>
  <c r="M97" i="25"/>
  <c r="M188" i="25"/>
  <c r="M67" i="25"/>
  <c r="N205" i="25"/>
  <c r="N159" i="25"/>
  <c r="M38" i="25"/>
  <c r="N100" i="25"/>
  <c r="N24" i="25"/>
  <c r="M204" i="26"/>
  <c r="M99" i="26"/>
  <c r="N129" i="25"/>
  <c r="N9" i="25"/>
  <c r="M98" i="25"/>
  <c r="N55" i="25"/>
  <c r="M54" i="26"/>
  <c r="N130" i="25"/>
  <c r="N54" i="25"/>
  <c r="M143" i="25"/>
  <c r="M172" i="25"/>
  <c r="N39" i="25"/>
  <c r="M100" i="26"/>
  <c r="M9" i="26"/>
  <c r="N10" i="25"/>
  <c r="L61" i="38" l="1"/>
  <c r="L59" i="38"/>
  <c r="M219" i="26"/>
  <c r="M218" i="25"/>
  <c r="N220" i="25"/>
  <c r="M217" i="25"/>
  <c r="M220" i="26"/>
  <c r="N219" i="25"/>
  <c r="N159" i="17"/>
  <c r="N161" i="19"/>
  <c r="N158" i="19"/>
  <c r="M18" i="3"/>
  <c r="N164" i="17"/>
  <c r="M7" i="3"/>
  <c r="N154" i="19"/>
  <c r="N157" i="17"/>
  <c r="N152" i="17"/>
  <c r="N159" i="19"/>
  <c r="M14" i="3"/>
  <c r="N153" i="17"/>
  <c r="N151" i="19"/>
  <c r="N164" i="19"/>
  <c r="N158" i="17"/>
  <c r="N162" i="17"/>
  <c r="N163" i="19"/>
  <c r="N155" i="17"/>
  <c r="N163" i="17"/>
  <c r="M15" i="3"/>
  <c r="N156" i="19"/>
  <c r="N154" i="17"/>
  <c r="N157" i="19"/>
  <c r="M19" i="3"/>
  <c r="N155" i="19"/>
  <c r="M8" i="3"/>
  <c r="N153" i="19"/>
  <c r="N162" i="19"/>
  <c r="N160" i="17"/>
  <c r="M17" i="3"/>
  <c r="N156" i="17"/>
  <c r="M17" i="8"/>
  <c r="N152" i="19"/>
  <c r="N160" i="19"/>
  <c r="N151" i="17"/>
  <c r="N161" i="17"/>
  <c r="M234" i="25"/>
  <c r="M13" i="3"/>
  <c r="M9" i="3"/>
  <c r="M11" i="3"/>
  <c r="M12" i="3"/>
  <c r="M16" i="3"/>
  <c r="M20" i="3"/>
  <c r="M10" i="3"/>
  <c r="M19" i="8"/>
  <c r="M9" i="8"/>
  <c r="M34" i="19"/>
  <c r="M10" i="8"/>
  <c r="M29" i="19"/>
  <c r="M13" i="8"/>
  <c r="M32" i="19"/>
  <c r="M18" i="8"/>
  <c r="M30" i="19"/>
  <c r="M38" i="19"/>
  <c r="M21" i="19"/>
  <c r="N132" i="8"/>
  <c r="M158" i="8"/>
  <c r="M114" i="8"/>
  <c r="M32" i="17"/>
  <c r="O192" i="18"/>
  <c r="O144" i="19" s="1"/>
  <c r="O103" i="19"/>
  <c r="O123" i="19" s="1"/>
  <c r="N95" i="8"/>
  <c r="N12" i="17"/>
  <c r="N193" i="18"/>
  <c r="O190" i="18"/>
  <c r="O142" i="19" s="1"/>
  <c r="O101" i="19"/>
  <c r="O121" i="19" s="1"/>
  <c r="O93" i="19"/>
  <c r="O113" i="19" s="1"/>
  <c r="O182" i="18"/>
  <c r="O134" i="19" s="1"/>
  <c r="O91" i="19"/>
  <c r="O111" i="19" s="1"/>
  <c r="O180" i="18"/>
  <c r="O132" i="19" s="1"/>
  <c r="O170" i="18"/>
  <c r="O143" i="17" s="1"/>
  <c r="O102" i="17"/>
  <c r="O122" i="17" s="1"/>
  <c r="N12" i="19"/>
  <c r="N100" i="8"/>
  <c r="N17" i="17"/>
  <c r="N11" i="19"/>
  <c r="M160" i="8"/>
  <c r="M35" i="19"/>
  <c r="N14" i="19"/>
  <c r="M152" i="8"/>
  <c r="M39" i="19"/>
  <c r="N136" i="8"/>
  <c r="N17" i="19"/>
  <c r="N11" i="17"/>
  <c r="N94" i="8"/>
  <c r="M28" i="17"/>
  <c r="M165" i="17"/>
  <c r="O97" i="19"/>
  <c r="O117" i="19" s="1"/>
  <c r="O186" i="18"/>
  <c r="O138" i="19" s="1"/>
  <c r="O161" i="18"/>
  <c r="O134" i="17" s="1"/>
  <c r="O93" i="17"/>
  <c r="O113" i="17" s="1"/>
  <c r="O184" i="18"/>
  <c r="O136" i="19" s="1"/>
  <c r="O95" i="19"/>
  <c r="O115" i="19" s="1"/>
  <c r="M110" i="8"/>
  <c r="M124" i="17"/>
  <c r="M31" i="19"/>
  <c r="M14" i="8"/>
  <c r="N8" i="19"/>
  <c r="M8" i="8"/>
  <c r="N143" i="8"/>
  <c r="N134" i="8"/>
  <c r="M121" i="8"/>
  <c r="M39" i="17"/>
  <c r="O168" i="18"/>
  <c r="O141" i="17" s="1"/>
  <c r="O100" i="17"/>
  <c r="O120" i="17" s="1"/>
  <c r="O158" i="18"/>
  <c r="O131" i="17" s="1"/>
  <c r="O90" i="17"/>
  <c r="O110" i="17" s="1"/>
  <c r="O80" i="23"/>
  <c r="O162" i="18"/>
  <c r="O135" i="17" s="1"/>
  <c r="O94" i="17"/>
  <c r="O114" i="17" s="1"/>
  <c r="M164" i="8"/>
  <c r="M145" i="19"/>
  <c r="M10" i="22" s="1"/>
  <c r="O167" i="18"/>
  <c r="O140" i="17" s="1"/>
  <c r="O99" i="17"/>
  <c r="O119" i="17" s="1"/>
  <c r="O181" i="18"/>
  <c r="O133" i="19" s="1"/>
  <c r="O92" i="19"/>
  <c r="O112" i="19" s="1"/>
  <c r="N91" i="8"/>
  <c r="N8" i="17"/>
  <c r="N15" i="19"/>
  <c r="N145" i="19"/>
  <c r="N10" i="22" s="1"/>
  <c r="N38" i="38" s="1"/>
  <c r="M123" i="8"/>
  <c r="M41" i="17"/>
  <c r="M115" i="8"/>
  <c r="M33" i="17"/>
  <c r="M162" i="8"/>
  <c r="O165" i="18"/>
  <c r="O138" i="17" s="1"/>
  <c r="O97" i="17"/>
  <c r="O117" i="17" s="1"/>
  <c r="O96" i="19"/>
  <c r="O116" i="19" s="1"/>
  <c r="O185" i="18"/>
  <c r="O137" i="19" s="1"/>
  <c r="O95" i="17"/>
  <c r="O115" i="17" s="1"/>
  <c r="O163" i="18"/>
  <c r="O136" i="17" s="1"/>
  <c r="M41" i="19"/>
  <c r="M117" i="8"/>
  <c r="M35" i="17"/>
  <c r="O98" i="19"/>
  <c r="O118" i="19" s="1"/>
  <c r="O187" i="18"/>
  <c r="O139" i="19" s="1"/>
  <c r="M163" i="8"/>
  <c r="M11" i="8"/>
  <c r="N144" i="8"/>
  <c r="M112" i="8"/>
  <c r="M30" i="17"/>
  <c r="M156" i="8"/>
  <c r="N140" i="8"/>
  <c r="M20" i="8"/>
  <c r="M33" i="19"/>
  <c r="M15" i="8"/>
  <c r="M37" i="19"/>
  <c r="M119" i="8"/>
  <c r="M37" i="17"/>
  <c r="N133" i="8"/>
  <c r="N19" i="19"/>
  <c r="N135" i="8"/>
  <c r="M120" i="8"/>
  <c r="M38" i="17"/>
  <c r="M131" i="8"/>
  <c r="M145" i="8" s="1"/>
  <c r="O191" i="18"/>
  <c r="O143" i="19" s="1"/>
  <c r="O102" i="19"/>
  <c r="O122" i="19" s="1"/>
  <c r="N138" i="8"/>
  <c r="N101" i="8"/>
  <c r="N18" i="17"/>
  <c r="N16" i="19"/>
  <c r="M157" i="8"/>
  <c r="M111" i="8"/>
  <c r="M29" i="17"/>
  <c r="N102" i="8"/>
  <c r="N19" i="17"/>
  <c r="M122" i="8"/>
  <c r="M40" i="17"/>
  <c r="N90" i="8"/>
  <c r="N104" i="17"/>
  <c r="N93" i="8"/>
  <c r="N10" i="17"/>
  <c r="N103" i="8"/>
  <c r="N20" i="17"/>
  <c r="M161" i="8"/>
  <c r="O100" i="19"/>
  <c r="O120" i="19" s="1"/>
  <c r="O189" i="18"/>
  <c r="O141" i="19" s="1"/>
  <c r="O179" i="18"/>
  <c r="O131" i="19" s="1"/>
  <c r="O100" i="23"/>
  <c r="O90" i="19"/>
  <c r="O110" i="19" s="1"/>
  <c r="O166" i="18"/>
  <c r="O139" i="17" s="1"/>
  <c r="O98" i="17"/>
  <c r="O118" i="17" s="1"/>
  <c r="O94" i="19"/>
  <c r="O114" i="19" s="1"/>
  <c r="O183" i="18"/>
  <c r="O135" i="19" s="1"/>
  <c r="M153" i="8"/>
  <c r="M113" i="8"/>
  <c r="M31" i="17"/>
  <c r="N10" i="19"/>
  <c r="N137" i="8"/>
  <c r="N98" i="8"/>
  <c r="N15" i="17"/>
  <c r="N13" i="19"/>
  <c r="M116" i="8"/>
  <c r="M34" i="17"/>
  <c r="O188" i="18"/>
  <c r="O140" i="19" s="1"/>
  <c r="O99" i="19"/>
  <c r="O119" i="19" s="1"/>
  <c r="O103" i="17"/>
  <c r="O123" i="17" s="1"/>
  <c r="O171" i="18"/>
  <c r="O144" i="17" s="1"/>
  <c r="O160" i="18"/>
  <c r="O133" i="17" s="1"/>
  <c r="O92" i="17"/>
  <c r="O112" i="17" s="1"/>
  <c r="N96" i="8"/>
  <c r="N13" i="17"/>
  <c r="M159" i="8"/>
  <c r="M124" i="19"/>
  <c r="N9" i="19"/>
  <c r="N18" i="19"/>
  <c r="N99" i="8"/>
  <c r="N16" i="17"/>
  <c r="M36" i="19"/>
  <c r="M12" i="8"/>
  <c r="M118" i="8"/>
  <c r="M36" i="17"/>
  <c r="M16" i="8"/>
  <c r="N92" i="8"/>
  <c r="N9" i="17"/>
  <c r="N139" i="8"/>
  <c r="N104" i="19"/>
  <c r="N7" i="19"/>
  <c r="N20" i="19"/>
  <c r="M21" i="17"/>
  <c r="M7" i="22" s="1"/>
  <c r="M35" i="38" s="1"/>
  <c r="O101" i="17"/>
  <c r="O121" i="17" s="1"/>
  <c r="O169" i="18"/>
  <c r="O142" i="17" s="1"/>
  <c r="O164" i="18"/>
  <c r="O137" i="17" s="1"/>
  <c r="O96" i="17"/>
  <c r="O116" i="17" s="1"/>
  <c r="O159" i="18"/>
  <c r="O132" i="17" s="1"/>
  <c r="O91" i="17"/>
  <c r="O111" i="17" s="1"/>
  <c r="M104" i="8"/>
  <c r="M155" i="8"/>
  <c r="N97" i="8"/>
  <c r="N14" i="17"/>
  <c r="N142" i="8"/>
  <c r="N172" i="18"/>
  <c r="N141" i="8"/>
  <c r="M154" i="8"/>
  <c r="N128" i="25"/>
  <c r="O84" i="25"/>
  <c r="N145" i="26"/>
  <c r="N172" i="25"/>
  <c r="O54" i="25"/>
  <c r="N115" i="26"/>
  <c r="N114" i="26"/>
  <c r="N9" i="26"/>
  <c r="N142" i="25"/>
  <c r="M98" i="26"/>
  <c r="N157" i="25"/>
  <c r="N38" i="25"/>
  <c r="O174" i="25"/>
  <c r="O115" i="25"/>
  <c r="M97" i="26"/>
  <c r="O190" i="25"/>
  <c r="O25" i="25"/>
  <c r="O159" i="25"/>
  <c r="N69" i="26"/>
  <c r="O145" i="25"/>
  <c r="N158" i="25"/>
  <c r="M53" i="26"/>
  <c r="N82" i="25"/>
  <c r="M22" i="26"/>
  <c r="N85" i="26"/>
  <c r="M112" i="26"/>
  <c r="M127" i="26"/>
  <c r="M52" i="26"/>
  <c r="N174" i="26"/>
  <c r="N24" i="26"/>
  <c r="M68" i="26"/>
  <c r="O205" i="25"/>
  <c r="N188" i="25"/>
  <c r="O40" i="25"/>
  <c r="N52" i="25"/>
  <c r="N10" i="26"/>
  <c r="M23" i="26"/>
  <c r="N67" i="25"/>
  <c r="M128" i="26"/>
  <c r="N203" i="25"/>
  <c r="M202" i="26"/>
  <c r="N53" i="25"/>
  <c r="N175" i="26"/>
  <c r="O175" i="25"/>
  <c r="N22" i="25"/>
  <c r="N98" i="25"/>
  <c r="N159" i="26"/>
  <c r="O70" i="25"/>
  <c r="M143" i="26"/>
  <c r="N205" i="26"/>
  <c r="N189" i="26"/>
  <c r="N112" i="25"/>
  <c r="N84" i="26"/>
  <c r="M173" i="26"/>
  <c r="M37" i="26"/>
  <c r="N83" i="25"/>
  <c r="O144" i="25"/>
  <c r="N97" i="25"/>
  <c r="O204" i="25"/>
  <c r="M82" i="26"/>
  <c r="M188" i="26"/>
  <c r="O189" i="25"/>
  <c r="O129" i="25"/>
  <c r="N40" i="26"/>
  <c r="N70" i="26"/>
  <c r="N37" i="25"/>
  <c r="M142" i="26"/>
  <c r="N173" i="25"/>
  <c r="N143" i="25"/>
  <c r="M83" i="26"/>
  <c r="O85" i="25"/>
  <c r="M203" i="26"/>
  <c r="N204" i="26"/>
  <c r="N100" i="26"/>
  <c r="O114" i="25"/>
  <c r="O39" i="25"/>
  <c r="N129" i="26"/>
  <c r="M113" i="26"/>
  <c r="O100" i="25"/>
  <c r="M38" i="26"/>
  <c r="N39" i="26"/>
  <c r="O10" i="25"/>
  <c r="N99" i="26"/>
  <c r="M158" i="26"/>
  <c r="N113" i="25"/>
  <c r="M187" i="26"/>
  <c r="O24" i="25"/>
  <c r="N8" i="25"/>
  <c r="N127" i="25"/>
  <c r="M7" i="26"/>
  <c r="O9" i="25"/>
  <c r="N190" i="26"/>
  <c r="O55" i="25"/>
  <c r="N55" i="26"/>
  <c r="N68" i="25"/>
  <c r="M157" i="26"/>
  <c r="O160" i="25"/>
  <c r="N187" i="25"/>
  <c r="N54" i="26"/>
  <c r="M67" i="26"/>
  <c r="M172" i="26"/>
  <c r="O69" i="25"/>
  <c r="N130" i="26"/>
  <c r="O99" i="25"/>
  <c r="N25" i="26"/>
  <c r="N160" i="26"/>
  <c r="N202" i="25"/>
  <c r="O130" i="25"/>
  <c r="N144" i="26"/>
  <c r="N23" i="25"/>
  <c r="M7" i="38" l="1"/>
  <c r="N10" i="38"/>
  <c r="M235" i="25"/>
  <c r="M38" i="38"/>
  <c r="M30" i="3"/>
  <c r="M22" i="22"/>
  <c r="M50" i="38" s="1"/>
  <c r="M22" i="38"/>
  <c r="M37" i="3"/>
  <c r="M39" i="3"/>
  <c r="M21" i="3"/>
  <c r="M89" i="26"/>
  <c r="N219" i="26"/>
  <c r="O220" i="25"/>
  <c r="M164" i="26"/>
  <c r="M104" i="26"/>
  <c r="M44" i="26"/>
  <c r="O219" i="25"/>
  <c r="M134" i="26"/>
  <c r="M59" i="26"/>
  <c r="M179" i="26"/>
  <c r="N218" i="25"/>
  <c r="M149" i="26"/>
  <c r="M119" i="26"/>
  <c r="M209" i="26"/>
  <c r="M194" i="26"/>
  <c r="M29" i="26"/>
  <c r="M217" i="26"/>
  <c r="M74" i="26"/>
  <c r="N220" i="26"/>
  <c r="O158" i="19"/>
  <c r="O156" i="17"/>
  <c r="O156" i="19"/>
  <c r="O157" i="17"/>
  <c r="O159" i="19"/>
  <c r="O161" i="17"/>
  <c r="N20" i="3"/>
  <c r="O160" i="19"/>
  <c r="O151" i="19"/>
  <c r="O162" i="19"/>
  <c r="N18" i="3"/>
  <c r="O159" i="17"/>
  <c r="O158" i="17"/>
  <c r="O151" i="17"/>
  <c r="O154" i="19"/>
  <c r="M232" i="25"/>
  <c r="M234" i="26"/>
  <c r="O152" i="19"/>
  <c r="O162" i="17"/>
  <c r="O153" i="17"/>
  <c r="O153" i="19"/>
  <c r="O152" i="17"/>
  <c r="O164" i="17"/>
  <c r="O161" i="19"/>
  <c r="O164" i="19"/>
  <c r="O155" i="19"/>
  <c r="O163" i="19"/>
  <c r="O157" i="19"/>
  <c r="O160" i="17"/>
  <c r="O155" i="17"/>
  <c r="N8" i="3"/>
  <c r="O154" i="17"/>
  <c r="O163" i="17"/>
  <c r="N235" i="25"/>
  <c r="N9" i="3"/>
  <c r="N13" i="3"/>
  <c r="N10" i="3"/>
  <c r="N19" i="3"/>
  <c r="N15" i="3"/>
  <c r="N11" i="3"/>
  <c r="N12" i="3"/>
  <c r="N16" i="3"/>
  <c r="N17" i="3"/>
  <c r="N14" i="3"/>
  <c r="M29" i="3"/>
  <c r="N39" i="19"/>
  <c r="N31" i="19"/>
  <c r="N37" i="19"/>
  <c r="M29" i="8"/>
  <c r="N10" i="8"/>
  <c r="N41" i="19"/>
  <c r="N30" i="19"/>
  <c r="N14" i="8"/>
  <c r="M38" i="8"/>
  <c r="M37" i="8"/>
  <c r="N8" i="8"/>
  <c r="N9" i="8"/>
  <c r="M33" i="3"/>
  <c r="M38" i="3"/>
  <c r="N20" i="8"/>
  <c r="M41" i="8"/>
  <c r="M36" i="8"/>
  <c r="M39" i="8"/>
  <c r="N29" i="19"/>
  <c r="M30" i="8"/>
  <c r="N38" i="19"/>
  <c r="N35" i="19"/>
  <c r="N15" i="8"/>
  <c r="N13" i="8"/>
  <c r="M40" i="8"/>
  <c r="O134" i="8"/>
  <c r="O145" i="19"/>
  <c r="O10" i="22" s="1"/>
  <c r="O38" i="38" s="1"/>
  <c r="N162" i="8"/>
  <c r="O133" i="8"/>
  <c r="P103" i="17"/>
  <c r="P123" i="17" s="1"/>
  <c r="P171" i="18"/>
  <c r="P144" i="17" s="1"/>
  <c r="N122" i="8"/>
  <c r="N40" i="17"/>
  <c r="N160" i="8"/>
  <c r="M97" i="3"/>
  <c r="P185" i="18"/>
  <c r="P137" i="19" s="1"/>
  <c r="P96" i="19"/>
  <c r="P116" i="19" s="1"/>
  <c r="P170" i="18"/>
  <c r="P143" i="17" s="1"/>
  <c r="P102" i="17"/>
  <c r="P122" i="17" s="1"/>
  <c r="O131" i="8"/>
  <c r="O145" i="17"/>
  <c r="O9" i="22" s="1"/>
  <c r="O37" i="38" s="1"/>
  <c r="O9" i="38" s="1"/>
  <c r="O95" i="8"/>
  <c r="O12" i="17"/>
  <c r="O97" i="8"/>
  <c r="O14" i="17"/>
  <c r="O9" i="19"/>
  <c r="M165" i="19"/>
  <c r="O135" i="8"/>
  <c r="O172" i="18"/>
  <c r="M124" i="8"/>
  <c r="O12" i="19"/>
  <c r="O93" i="8"/>
  <c r="O10" i="17"/>
  <c r="P93" i="17"/>
  <c r="P113" i="17" s="1"/>
  <c r="P161" i="18"/>
  <c r="P134" i="17" s="1"/>
  <c r="P97" i="19"/>
  <c r="P117" i="19" s="1"/>
  <c r="P186" i="18"/>
  <c r="P138" i="19" s="1"/>
  <c r="N17" i="8"/>
  <c r="O8" i="19"/>
  <c r="O10" i="19"/>
  <c r="N115" i="8"/>
  <c r="N33" i="17"/>
  <c r="O20" i="19"/>
  <c r="M32" i="8"/>
  <c r="P98" i="17"/>
  <c r="P118" i="17" s="1"/>
  <c r="P166" i="18"/>
  <c r="P139" i="17" s="1"/>
  <c r="P95" i="17"/>
  <c r="P115" i="17" s="1"/>
  <c r="P163" i="18"/>
  <c r="P136" i="17" s="1"/>
  <c r="M8" i="22"/>
  <c r="N116" i="8"/>
  <c r="N34" i="17"/>
  <c r="M101" i="3"/>
  <c r="P94" i="17"/>
  <c r="P114" i="17" s="1"/>
  <c r="P162" i="18"/>
  <c r="P135" i="17" s="1"/>
  <c r="N104" i="8"/>
  <c r="O91" i="8"/>
  <c r="O8" i="17"/>
  <c r="O96" i="8"/>
  <c r="O13" i="17"/>
  <c r="P103" i="19"/>
  <c r="P123" i="19" s="1"/>
  <c r="P192" i="18"/>
  <c r="P144" i="19" s="1"/>
  <c r="N124" i="17"/>
  <c r="N110" i="8"/>
  <c r="M96" i="3"/>
  <c r="O140" i="8"/>
  <c r="O100" i="8"/>
  <c r="O17" i="17"/>
  <c r="M151" i="8"/>
  <c r="M165" i="8" s="1"/>
  <c r="N11" i="8"/>
  <c r="P182" i="18"/>
  <c r="P134" i="19" s="1"/>
  <c r="P93" i="19"/>
  <c r="P113" i="19" s="1"/>
  <c r="P91" i="17"/>
  <c r="P111" i="17" s="1"/>
  <c r="P159" i="18"/>
  <c r="P132" i="17" s="1"/>
  <c r="N33" i="19"/>
  <c r="O102" i="8"/>
  <c r="O19" i="17"/>
  <c r="O18" i="19"/>
  <c r="P95" i="19"/>
  <c r="P115" i="19" s="1"/>
  <c r="P184" i="18"/>
  <c r="P136" i="19" s="1"/>
  <c r="P100" i="17"/>
  <c r="P120" i="17" s="1"/>
  <c r="P168" i="18"/>
  <c r="P141" i="17" s="1"/>
  <c r="P160" i="18"/>
  <c r="P133" i="17" s="1"/>
  <c r="P92" i="17"/>
  <c r="P112" i="17" s="1"/>
  <c r="P80" i="23"/>
  <c r="P158" i="18"/>
  <c r="P131" i="17" s="1"/>
  <c r="P90" i="17"/>
  <c r="P110" i="17" s="1"/>
  <c r="N40" i="19"/>
  <c r="M104" i="3"/>
  <c r="M31" i="8"/>
  <c r="N145" i="17"/>
  <c r="N9" i="22" s="1"/>
  <c r="N112" i="8"/>
  <c r="N30" i="17"/>
  <c r="M103" i="3"/>
  <c r="O144" i="8"/>
  <c r="P183" i="18"/>
  <c r="P135" i="19" s="1"/>
  <c r="P94" i="19"/>
  <c r="P114" i="19" s="1"/>
  <c r="P101" i="19"/>
  <c r="P121" i="19" s="1"/>
  <c r="P190" i="18"/>
  <c r="P142" i="19" s="1"/>
  <c r="P179" i="18"/>
  <c r="P131" i="19" s="1"/>
  <c r="P90" i="19"/>
  <c r="P110" i="19" s="1"/>
  <c r="P100" i="23"/>
  <c r="O98" i="8"/>
  <c r="O15" i="17"/>
  <c r="M105" i="3"/>
  <c r="N155" i="8"/>
  <c r="N164" i="8"/>
  <c r="M34" i="3"/>
  <c r="M7" i="8"/>
  <c r="O132" i="8"/>
  <c r="O137" i="8"/>
  <c r="N124" i="19"/>
  <c r="M36" i="3"/>
  <c r="M32" i="3"/>
  <c r="N119" i="8"/>
  <c r="N37" i="17"/>
  <c r="M28" i="19"/>
  <c r="O103" i="8"/>
  <c r="O20" i="17"/>
  <c r="N34" i="19"/>
  <c r="N36" i="17"/>
  <c r="N118" i="8"/>
  <c r="N157" i="8"/>
  <c r="O139" i="8"/>
  <c r="N123" i="8"/>
  <c r="N41" i="17"/>
  <c r="N7" i="17"/>
  <c r="M107" i="3"/>
  <c r="N19" i="8"/>
  <c r="N18" i="8"/>
  <c r="O19" i="19"/>
  <c r="M35" i="3"/>
  <c r="P99" i="17"/>
  <c r="P119" i="17" s="1"/>
  <c r="P167" i="18"/>
  <c r="P140" i="17" s="1"/>
  <c r="P102" i="19"/>
  <c r="P122" i="19" s="1"/>
  <c r="P191" i="18"/>
  <c r="P143" i="19" s="1"/>
  <c r="M100" i="3"/>
  <c r="N28" i="19"/>
  <c r="N165" i="19"/>
  <c r="N111" i="8"/>
  <c r="N29" i="17"/>
  <c r="O99" i="8"/>
  <c r="O16" i="17"/>
  <c r="O141" i="8"/>
  <c r="N154" i="8"/>
  <c r="N163" i="8"/>
  <c r="M28" i="3"/>
  <c r="M42" i="17"/>
  <c r="N114" i="8"/>
  <c r="N32" i="17"/>
  <c r="N156" i="8"/>
  <c r="M40" i="3"/>
  <c r="N32" i="19"/>
  <c r="N38" i="17"/>
  <c r="N120" i="8"/>
  <c r="O143" i="8"/>
  <c r="P98" i="19"/>
  <c r="P118" i="19" s="1"/>
  <c r="P187" i="18"/>
  <c r="P139" i="19" s="1"/>
  <c r="M35" i="8"/>
  <c r="P100" i="19"/>
  <c r="P120" i="19" s="1"/>
  <c r="P189" i="18"/>
  <c r="P141" i="19" s="1"/>
  <c r="O18" i="17"/>
  <c r="O101" i="8"/>
  <c r="O11" i="19"/>
  <c r="N159" i="8"/>
  <c r="P92" i="19"/>
  <c r="P112" i="19" s="1"/>
  <c r="P181" i="18"/>
  <c r="P133" i="19" s="1"/>
  <c r="O193" i="18"/>
  <c r="N113" i="8"/>
  <c r="N31" i="17"/>
  <c r="N16" i="8"/>
  <c r="O138" i="8"/>
  <c r="N161" i="8"/>
  <c r="N117" i="8"/>
  <c r="N35" i="17"/>
  <c r="O142" i="8"/>
  <c r="N21" i="19"/>
  <c r="N8" i="22" s="1"/>
  <c r="N36" i="38" s="1"/>
  <c r="O92" i="8"/>
  <c r="O9" i="17"/>
  <c r="O16" i="19"/>
  <c r="P101" i="17"/>
  <c r="P121" i="17" s="1"/>
  <c r="P169" i="18"/>
  <c r="P142" i="17" s="1"/>
  <c r="M98" i="3"/>
  <c r="O104" i="19"/>
  <c r="O7" i="19"/>
  <c r="O17" i="19"/>
  <c r="M34" i="8"/>
  <c r="N121" i="8"/>
  <c r="N39" i="17"/>
  <c r="N158" i="8"/>
  <c r="N153" i="8"/>
  <c r="M31" i="3"/>
  <c r="P164" i="18"/>
  <c r="P137" i="17" s="1"/>
  <c r="P96" i="17"/>
  <c r="P116" i="17" s="1"/>
  <c r="P188" i="18"/>
  <c r="P140" i="19" s="1"/>
  <c r="P99" i="19"/>
  <c r="P119" i="19" s="1"/>
  <c r="O15" i="19"/>
  <c r="M102" i="3"/>
  <c r="O136" i="8"/>
  <c r="O13" i="19"/>
  <c r="M33" i="8"/>
  <c r="M108" i="3"/>
  <c r="N131" i="8"/>
  <c r="N145" i="8" s="1"/>
  <c r="N36" i="19"/>
  <c r="O94" i="8"/>
  <c r="O11" i="17"/>
  <c r="O90" i="8"/>
  <c r="O104" i="17"/>
  <c r="O7" i="17"/>
  <c r="M106" i="3"/>
  <c r="O14" i="19"/>
  <c r="P97" i="17"/>
  <c r="P117" i="17" s="1"/>
  <c r="P165" i="18"/>
  <c r="P138" i="17" s="1"/>
  <c r="P180" i="18"/>
  <c r="P132" i="19" s="1"/>
  <c r="P91" i="19"/>
  <c r="P111" i="19" s="1"/>
  <c r="N12" i="8"/>
  <c r="M99" i="3"/>
  <c r="N152" i="8"/>
  <c r="O84" i="26"/>
  <c r="O112" i="25"/>
  <c r="N83" i="26"/>
  <c r="O130" i="26"/>
  <c r="O7" i="25"/>
  <c r="P9" i="25"/>
  <c r="N172" i="26"/>
  <c r="N128" i="26"/>
  <c r="O145" i="26"/>
  <c r="N127" i="26"/>
  <c r="P40" i="25"/>
  <c r="P145" i="25"/>
  <c r="M8" i="26"/>
  <c r="P114" i="25"/>
  <c r="O70" i="26"/>
  <c r="O22" i="25"/>
  <c r="N202" i="26"/>
  <c r="O23" i="25"/>
  <c r="O157" i="25"/>
  <c r="P130" i="25"/>
  <c r="O189" i="26"/>
  <c r="O174" i="26"/>
  <c r="O55" i="26"/>
  <c r="N188" i="26"/>
  <c r="O8" i="25"/>
  <c r="N52" i="26"/>
  <c r="O173" i="25"/>
  <c r="N23" i="26"/>
  <c r="O160" i="26"/>
  <c r="O85" i="26"/>
  <c r="P100" i="25"/>
  <c r="O113" i="25"/>
  <c r="N68" i="26"/>
  <c r="P54" i="25"/>
  <c r="P175" i="25"/>
  <c r="P99" i="25"/>
  <c r="O128" i="25"/>
  <c r="O38" i="25"/>
  <c r="O159" i="26"/>
  <c r="O67" i="25"/>
  <c r="O82" i="25"/>
  <c r="O25" i="26"/>
  <c r="P70" i="25"/>
  <c r="O83" i="25"/>
  <c r="P190" i="25"/>
  <c r="N37" i="26"/>
  <c r="O98" i="25"/>
  <c r="P24" i="25"/>
  <c r="O39" i="26"/>
  <c r="P129" i="25"/>
  <c r="N187" i="26"/>
  <c r="P84" i="25"/>
  <c r="O127" i="25"/>
  <c r="O142" i="25"/>
  <c r="N203" i="26"/>
  <c r="P10" i="25"/>
  <c r="O175" i="26"/>
  <c r="N157" i="26"/>
  <c r="P204" i="25"/>
  <c r="P85" i="25"/>
  <c r="O68" i="25"/>
  <c r="N67" i="26"/>
  <c r="O10" i="26"/>
  <c r="O69" i="26"/>
  <c r="O37" i="25"/>
  <c r="N173" i="26"/>
  <c r="O188" i="25"/>
  <c r="P39" i="25"/>
  <c r="O40" i="26"/>
  <c r="O144" i="26"/>
  <c r="N22" i="26"/>
  <c r="O143" i="25"/>
  <c r="P55" i="25"/>
  <c r="N142" i="26"/>
  <c r="O114" i="26"/>
  <c r="N53" i="26"/>
  <c r="P159" i="25"/>
  <c r="P144" i="25"/>
  <c r="O53" i="25"/>
  <c r="O97" i="25"/>
  <c r="N143" i="26"/>
  <c r="O100" i="26"/>
  <c r="O187" i="25"/>
  <c r="O202" i="25"/>
  <c r="O99" i="26"/>
  <c r="P160" i="25"/>
  <c r="O52" i="25"/>
  <c r="O9" i="26"/>
  <c r="O24" i="26"/>
  <c r="N112" i="26"/>
  <c r="N158" i="26"/>
  <c r="N82" i="26"/>
  <c r="P174" i="25"/>
  <c r="N97" i="26"/>
  <c r="N98" i="26"/>
  <c r="O54" i="26"/>
  <c r="N38" i="26"/>
  <c r="O158" i="25"/>
  <c r="N7" i="25"/>
  <c r="O129" i="26"/>
  <c r="N8" i="26"/>
  <c r="P115" i="25"/>
  <c r="N113" i="26"/>
  <c r="O115" i="26"/>
  <c r="P25" i="25"/>
  <c r="O190" i="26"/>
  <c r="O205" i="26"/>
  <c r="P69" i="25"/>
  <c r="O204" i="26"/>
  <c r="O172" i="25"/>
  <c r="O203" i="25"/>
  <c r="P189" i="25"/>
  <c r="P205" i="25"/>
  <c r="O10" i="38" l="1"/>
  <c r="M10" i="38"/>
  <c r="M23" i="22"/>
  <c r="M23" i="38"/>
  <c r="N23" i="22"/>
  <c r="N51" i="38" s="1"/>
  <c r="N60" i="38" s="1"/>
  <c r="N23" i="38"/>
  <c r="N234" i="25"/>
  <c r="N37" i="38"/>
  <c r="N9" i="38" s="1"/>
  <c r="M233" i="25"/>
  <c r="M36" i="38"/>
  <c r="M20" i="22"/>
  <c r="M48" i="38" s="1"/>
  <c r="M20" i="38"/>
  <c r="M232" i="26"/>
  <c r="N119" i="26"/>
  <c r="N149" i="26"/>
  <c r="N179" i="26"/>
  <c r="O218" i="25"/>
  <c r="N164" i="26"/>
  <c r="N74" i="26"/>
  <c r="N218" i="26"/>
  <c r="N209" i="26"/>
  <c r="P220" i="25"/>
  <c r="N104" i="26"/>
  <c r="N89" i="26"/>
  <c r="O220" i="26"/>
  <c r="O217" i="25"/>
  <c r="N29" i="26"/>
  <c r="N134" i="26"/>
  <c r="M218" i="26"/>
  <c r="M14" i="26"/>
  <c r="P219" i="25"/>
  <c r="N194" i="26"/>
  <c r="N59" i="26"/>
  <c r="N217" i="25"/>
  <c r="N44" i="26"/>
  <c r="O219" i="26"/>
  <c r="P157" i="19"/>
  <c r="P158" i="17"/>
  <c r="O15" i="3"/>
  <c r="P157" i="17"/>
  <c r="P159" i="19"/>
  <c r="P160" i="17"/>
  <c r="P151" i="19"/>
  <c r="P155" i="19"/>
  <c r="P153" i="17"/>
  <c r="P159" i="17"/>
  <c r="P163" i="17"/>
  <c r="P160" i="19"/>
  <c r="P153" i="19"/>
  <c r="P154" i="19"/>
  <c r="O10" i="3"/>
  <c r="P152" i="19"/>
  <c r="O17" i="3"/>
  <c r="O13" i="3"/>
  <c r="O16" i="3"/>
  <c r="P161" i="19"/>
  <c r="P162" i="19"/>
  <c r="P151" i="17"/>
  <c r="P156" i="19"/>
  <c r="P155" i="17"/>
  <c r="P158" i="19"/>
  <c r="N233" i="25"/>
  <c r="O234" i="25"/>
  <c r="O14" i="3"/>
  <c r="P163" i="19"/>
  <c r="P156" i="17"/>
  <c r="P162" i="17"/>
  <c r="O19" i="3"/>
  <c r="N7" i="3"/>
  <c r="N21" i="3" s="1"/>
  <c r="P161" i="17"/>
  <c r="P152" i="17"/>
  <c r="P164" i="19"/>
  <c r="P154" i="17"/>
  <c r="O12" i="3"/>
  <c r="P164" i="17"/>
  <c r="N235" i="26"/>
  <c r="O235" i="25"/>
  <c r="O11" i="3"/>
  <c r="O9" i="3"/>
  <c r="O7" i="3"/>
  <c r="O18" i="3"/>
  <c r="O20" i="3"/>
  <c r="O8" i="3"/>
  <c r="N30" i="3"/>
  <c r="O38" i="19"/>
  <c r="M116" i="3"/>
  <c r="N38" i="8"/>
  <c r="O37" i="19"/>
  <c r="N33" i="3"/>
  <c r="N34" i="3"/>
  <c r="O35" i="19"/>
  <c r="N31" i="8"/>
  <c r="M125" i="3"/>
  <c r="M124" i="3"/>
  <c r="O34" i="19"/>
  <c r="M118" i="3"/>
  <c r="N39" i="8"/>
  <c r="M123" i="3"/>
  <c r="O20" i="8"/>
  <c r="M128" i="3"/>
  <c r="N28" i="3"/>
  <c r="N35" i="3"/>
  <c r="M126" i="3"/>
  <c r="O11" i="8"/>
  <c r="N29" i="3"/>
  <c r="N40" i="3"/>
  <c r="O9" i="8"/>
  <c r="M122" i="3"/>
  <c r="M127" i="3"/>
  <c r="O10" i="8"/>
  <c r="M117" i="3"/>
  <c r="N37" i="8"/>
  <c r="N37" i="3"/>
  <c r="O36" i="19"/>
  <c r="N30" i="8"/>
  <c r="O16" i="8"/>
  <c r="M120" i="3"/>
  <c r="O41" i="19"/>
  <c r="O32" i="19"/>
  <c r="P133" i="8"/>
  <c r="Q92" i="19"/>
  <c r="Q112" i="19" s="1"/>
  <c r="Q181" i="18"/>
  <c r="Q133" i="19" s="1"/>
  <c r="Q102" i="17"/>
  <c r="Q122" i="17" s="1"/>
  <c r="Q170" i="18"/>
  <c r="Q143" i="17" s="1"/>
  <c r="Q101" i="19"/>
  <c r="Q121" i="19" s="1"/>
  <c r="Q190" i="18"/>
  <c r="Q142" i="19" s="1"/>
  <c r="O163" i="8"/>
  <c r="N96" i="3"/>
  <c r="P140" i="8"/>
  <c r="N21" i="17"/>
  <c r="N7" i="22" s="1"/>
  <c r="N35" i="38" s="1"/>
  <c r="M42" i="19"/>
  <c r="N97" i="3"/>
  <c r="N151" i="8"/>
  <c r="N165" i="8" s="1"/>
  <c r="N165" i="17"/>
  <c r="P90" i="8"/>
  <c r="P104" i="17"/>
  <c r="P7" i="17"/>
  <c r="P92" i="8"/>
  <c r="P9" i="17"/>
  <c r="Q158" i="18"/>
  <c r="Q131" i="17" s="1"/>
  <c r="Q90" i="17"/>
  <c r="Q110" i="17" s="1"/>
  <c r="Q80" i="23"/>
  <c r="O40" i="17"/>
  <c r="O122" i="8"/>
  <c r="O160" i="8"/>
  <c r="P135" i="8"/>
  <c r="Q96" i="19"/>
  <c r="Q116" i="19" s="1"/>
  <c r="Q185" i="18"/>
  <c r="Q137" i="19" s="1"/>
  <c r="P12" i="17"/>
  <c r="P95" i="8"/>
  <c r="P139" i="8"/>
  <c r="N33" i="8"/>
  <c r="O29" i="19"/>
  <c r="O113" i="8"/>
  <c r="O31" i="17"/>
  <c r="O33" i="19"/>
  <c r="M28" i="8"/>
  <c r="O117" i="8"/>
  <c r="O35" i="17"/>
  <c r="P143" i="8"/>
  <c r="P13" i="17"/>
  <c r="P96" i="8"/>
  <c r="O30" i="17"/>
  <c r="O112" i="8"/>
  <c r="O156" i="8"/>
  <c r="P137" i="8"/>
  <c r="O28" i="19"/>
  <c r="O124" i="19"/>
  <c r="P142" i="8"/>
  <c r="N38" i="3"/>
  <c r="Q191" i="18"/>
  <c r="Q143" i="19" s="1"/>
  <c r="Q102" i="19"/>
  <c r="Q122" i="19" s="1"/>
  <c r="P17" i="19"/>
  <c r="M95" i="3"/>
  <c r="M109" i="3" s="1"/>
  <c r="O161" i="8"/>
  <c r="N29" i="8"/>
  <c r="P99" i="8"/>
  <c r="P16" i="17"/>
  <c r="N108" i="3"/>
  <c r="N104" i="3"/>
  <c r="O152" i="8"/>
  <c r="Q167" i="18"/>
  <c r="Q140" i="17" s="1"/>
  <c r="Q99" i="17"/>
  <c r="Q119" i="17" s="1"/>
  <c r="N32" i="8"/>
  <c r="P104" i="19"/>
  <c r="P18" i="19"/>
  <c r="O164" i="8"/>
  <c r="Q93" i="19"/>
  <c r="Q113" i="19" s="1"/>
  <c r="Q182" i="18"/>
  <c r="Q134" i="19" s="1"/>
  <c r="P172" i="18"/>
  <c r="Q90" i="19"/>
  <c r="Q110" i="19" s="1"/>
  <c r="Q179" i="18"/>
  <c r="Q131" i="19" s="1"/>
  <c r="Q100" i="23"/>
  <c r="Q165" i="18"/>
  <c r="Q138" i="17" s="1"/>
  <c r="Q97" i="17"/>
  <c r="Q117" i="17" s="1"/>
  <c r="P12" i="19"/>
  <c r="O39" i="19"/>
  <c r="P132" i="8"/>
  <c r="O38" i="17"/>
  <c r="O120" i="8"/>
  <c r="N28" i="17"/>
  <c r="O13" i="8"/>
  <c r="O8" i="8"/>
  <c r="P94" i="8"/>
  <c r="P11" i="17"/>
  <c r="N101" i="3"/>
  <c r="P98" i="8"/>
  <c r="P15" i="17"/>
  <c r="O31" i="19"/>
  <c r="P14" i="19"/>
  <c r="O151" i="8"/>
  <c r="O165" i="17"/>
  <c r="N107" i="3"/>
  <c r="P144" i="8"/>
  <c r="O165" i="19"/>
  <c r="N32" i="3"/>
  <c r="P131" i="8"/>
  <c r="P145" i="17"/>
  <c r="P9" i="22" s="1"/>
  <c r="P37" i="38" s="1"/>
  <c r="P9" i="38" s="1"/>
  <c r="O104" i="8"/>
  <c r="O7" i="8"/>
  <c r="P138" i="8"/>
  <c r="O21" i="17"/>
  <c r="O7" i="22" s="1"/>
  <c r="O35" i="38" s="1"/>
  <c r="O114" i="8"/>
  <c r="O32" i="17"/>
  <c r="P16" i="19"/>
  <c r="N106" i="3"/>
  <c r="P18" i="17"/>
  <c r="P101" i="8"/>
  <c r="O162" i="8"/>
  <c r="N102" i="3"/>
  <c r="Q94" i="17"/>
  <c r="Q114" i="17" s="1"/>
  <c r="Q162" i="18"/>
  <c r="Q135" i="17" s="1"/>
  <c r="Q100" i="17"/>
  <c r="Q120" i="17" s="1"/>
  <c r="Q168" i="18"/>
  <c r="Q141" i="17" s="1"/>
  <c r="Q98" i="17"/>
  <c r="Q118" i="17" s="1"/>
  <c r="Q166" i="18"/>
  <c r="Q139" i="17" s="1"/>
  <c r="O158" i="8"/>
  <c r="N98" i="3"/>
  <c r="O18" i="8"/>
  <c r="Q91" i="17"/>
  <c r="Q111" i="17" s="1"/>
  <c r="Q159" i="18"/>
  <c r="Q132" i="17" s="1"/>
  <c r="N99" i="3"/>
  <c r="O119" i="8"/>
  <c r="O37" i="17"/>
  <c r="O40" i="19"/>
  <c r="N39" i="3"/>
  <c r="N36" i="8"/>
  <c r="O157" i="8"/>
  <c r="Q163" i="18"/>
  <c r="Q136" i="17" s="1"/>
  <c r="Q95" i="17"/>
  <c r="Q115" i="17" s="1"/>
  <c r="Q188" i="18"/>
  <c r="Q140" i="19" s="1"/>
  <c r="Q99" i="19"/>
  <c r="Q119" i="19" s="1"/>
  <c r="N41" i="8"/>
  <c r="O15" i="8"/>
  <c r="P193" i="18"/>
  <c r="P11" i="19"/>
  <c r="P141" i="8"/>
  <c r="P91" i="8"/>
  <c r="P8" i="17"/>
  <c r="P20" i="19"/>
  <c r="O116" i="8"/>
  <c r="O34" i="17"/>
  <c r="Q103" i="17"/>
  <c r="Q123" i="17" s="1"/>
  <c r="Q171" i="18"/>
  <c r="Q144" i="17" s="1"/>
  <c r="N7" i="8"/>
  <c r="M121" i="3"/>
  <c r="N34" i="8"/>
  <c r="M119" i="3"/>
  <c r="P134" i="8"/>
  <c r="O30" i="19"/>
  <c r="O12" i="8"/>
  <c r="O145" i="8"/>
  <c r="P13" i="19"/>
  <c r="N40" i="8"/>
  <c r="P103" i="8"/>
  <c r="P20" i="17"/>
  <c r="O154" i="8"/>
  <c r="P8" i="19"/>
  <c r="O110" i="8"/>
  <c r="O28" i="17"/>
  <c r="O124" i="17"/>
  <c r="P14" i="17"/>
  <c r="P97" i="8"/>
  <c r="O21" i="19"/>
  <c r="O8" i="22" s="1"/>
  <c r="O36" i="38" s="1"/>
  <c r="P7" i="19"/>
  <c r="P145" i="19"/>
  <c r="P10" i="22" s="1"/>
  <c r="P38" i="38" s="1"/>
  <c r="N35" i="8"/>
  <c r="Q183" i="18"/>
  <c r="Q135" i="19" s="1"/>
  <c r="Q94" i="19"/>
  <c r="Q114" i="19" s="1"/>
  <c r="Q189" i="18"/>
  <c r="Q141" i="19" s="1"/>
  <c r="Q100" i="19"/>
  <c r="Q120" i="19" s="1"/>
  <c r="Q187" i="18"/>
  <c r="Q139" i="19" s="1"/>
  <c r="Q98" i="19"/>
  <c r="Q118" i="19" s="1"/>
  <c r="Q160" i="18"/>
  <c r="Q133" i="17" s="1"/>
  <c r="Q92" i="17"/>
  <c r="Q112" i="17" s="1"/>
  <c r="P9" i="19"/>
  <c r="Q101" i="17"/>
  <c r="Q121" i="17" s="1"/>
  <c r="Q169" i="18"/>
  <c r="Q142" i="17" s="1"/>
  <c r="O39" i="17"/>
  <c r="O121" i="8"/>
  <c r="Q180" i="18"/>
  <c r="Q132" i="19" s="1"/>
  <c r="Q91" i="19"/>
  <c r="Q111" i="19" s="1"/>
  <c r="P15" i="19"/>
  <c r="N105" i="3"/>
  <c r="N42" i="19"/>
  <c r="P19" i="19"/>
  <c r="O159" i="8"/>
  <c r="N103" i="3"/>
  <c r="O123" i="8"/>
  <c r="O41" i="17"/>
  <c r="M27" i="3"/>
  <c r="M41" i="3" s="1"/>
  <c r="M21" i="8"/>
  <c r="Q184" i="18"/>
  <c r="Q136" i="19" s="1"/>
  <c r="Q95" i="19"/>
  <c r="Q115" i="19" s="1"/>
  <c r="O36" i="17"/>
  <c r="O118" i="8"/>
  <c r="Q93" i="17"/>
  <c r="Q113" i="17" s="1"/>
  <c r="Q161" i="18"/>
  <c r="Q134" i="17" s="1"/>
  <c r="N36" i="3"/>
  <c r="Q97" i="19"/>
  <c r="Q117" i="19" s="1"/>
  <c r="Q186" i="18"/>
  <c r="Q138" i="19" s="1"/>
  <c r="P100" i="8"/>
  <c r="P17" i="17"/>
  <c r="O19" i="8"/>
  <c r="P10" i="19"/>
  <c r="N31" i="3"/>
  <c r="O17" i="8"/>
  <c r="N124" i="8"/>
  <c r="O111" i="8"/>
  <c r="O29" i="17"/>
  <c r="Q103" i="19"/>
  <c r="Q123" i="19" s="1"/>
  <c r="Q192" i="18"/>
  <c r="Q144" i="19" s="1"/>
  <c r="Q164" i="18"/>
  <c r="Q137" i="17" s="1"/>
  <c r="Q96" i="17"/>
  <c r="Q116" i="17" s="1"/>
  <c r="P136" i="8"/>
  <c r="N100" i="3"/>
  <c r="P93" i="8"/>
  <c r="P10" i="17"/>
  <c r="O155" i="8"/>
  <c r="O14" i="8"/>
  <c r="O115" i="8"/>
  <c r="O33" i="17"/>
  <c r="P19" i="17"/>
  <c r="P102" i="8"/>
  <c r="O153" i="8"/>
  <c r="P190" i="26"/>
  <c r="P22" i="25"/>
  <c r="O127" i="26"/>
  <c r="O112" i="26"/>
  <c r="O67" i="26"/>
  <c r="Q145" i="25"/>
  <c r="O53" i="26"/>
  <c r="P85" i="26"/>
  <c r="P40" i="26"/>
  <c r="P68" i="25"/>
  <c r="O143" i="26"/>
  <c r="O173" i="26"/>
  <c r="Q174" i="25"/>
  <c r="P203" i="25"/>
  <c r="P23" i="25"/>
  <c r="P204" i="26"/>
  <c r="P145" i="26"/>
  <c r="O38" i="26"/>
  <c r="O188" i="26"/>
  <c r="O82" i="26"/>
  <c r="P67" i="25"/>
  <c r="P128" i="25"/>
  <c r="Q114" i="25"/>
  <c r="O8" i="26"/>
  <c r="Q160" i="25"/>
  <c r="P53" i="25"/>
  <c r="N7" i="26"/>
  <c r="O172" i="26"/>
  <c r="Q85" i="25"/>
  <c r="Q70" i="25"/>
  <c r="Q24" i="25"/>
  <c r="Q204" i="25"/>
  <c r="P25" i="26"/>
  <c r="P54" i="26"/>
  <c r="P82" i="25"/>
  <c r="Q10" i="25"/>
  <c r="O52" i="26"/>
  <c r="O83" i="26"/>
  <c r="P97" i="25"/>
  <c r="Q159" i="25"/>
  <c r="P100" i="26"/>
  <c r="P99" i="26"/>
  <c r="Q175" i="25"/>
  <c r="P7" i="25"/>
  <c r="P174" i="26"/>
  <c r="Q189" i="25"/>
  <c r="P159" i="26"/>
  <c r="Q144" i="25"/>
  <c r="P24" i="26"/>
  <c r="O158" i="26"/>
  <c r="P173" i="25"/>
  <c r="P127" i="25"/>
  <c r="P37" i="25"/>
  <c r="Q69" i="25"/>
  <c r="P8" i="25"/>
  <c r="Q99" i="25"/>
  <c r="Q84" i="25"/>
  <c r="P10" i="26"/>
  <c r="Q100" i="25"/>
  <c r="P69" i="26"/>
  <c r="P113" i="25"/>
  <c r="P130" i="26"/>
  <c r="Q115" i="25"/>
  <c r="O68" i="26"/>
  <c r="P175" i="26"/>
  <c r="P143" i="25"/>
  <c r="Q190" i="25"/>
  <c r="O97" i="26"/>
  <c r="P55" i="26"/>
  <c r="P84" i="26"/>
  <c r="Q39" i="25"/>
  <c r="P205" i="26"/>
  <c r="O142" i="26"/>
  <c r="P114" i="26"/>
  <c r="P98" i="25"/>
  <c r="O23" i="26"/>
  <c r="Q129" i="25"/>
  <c r="O128" i="26"/>
  <c r="P189" i="26"/>
  <c r="Q130" i="25"/>
  <c r="Q55" i="25"/>
  <c r="O22" i="26"/>
  <c r="P160" i="26"/>
  <c r="P158" i="25"/>
  <c r="O7" i="26"/>
  <c r="P52" i="25"/>
  <c r="Q54" i="25"/>
  <c r="O203" i="26"/>
  <c r="P70" i="26"/>
  <c r="P187" i="25"/>
  <c r="P129" i="26"/>
  <c r="O113" i="26"/>
  <c r="P157" i="25"/>
  <c r="P188" i="25"/>
  <c r="Q205" i="25"/>
  <c r="P83" i="25"/>
  <c r="Q9" i="25"/>
  <c r="P144" i="26"/>
  <c r="P39" i="26"/>
  <c r="P142" i="25"/>
  <c r="P172" i="25"/>
  <c r="Q40" i="25"/>
  <c r="P9" i="26"/>
  <c r="P112" i="25"/>
  <c r="P38" i="25"/>
  <c r="O202" i="26"/>
  <c r="P202" i="25"/>
  <c r="O157" i="26"/>
  <c r="O37" i="26"/>
  <c r="O98" i="26"/>
  <c r="Q25" i="25"/>
  <c r="P115" i="26"/>
  <c r="O187" i="26"/>
  <c r="P10" i="38" l="1"/>
  <c r="O7" i="38"/>
  <c r="N22" i="22"/>
  <c r="N22" i="38"/>
  <c r="O22" i="22"/>
  <c r="O50" i="38" s="1"/>
  <c r="O22" i="38"/>
  <c r="M235" i="26"/>
  <c r="M51" i="38"/>
  <c r="M60" i="38" s="1"/>
  <c r="N7" i="38"/>
  <c r="O23" i="22"/>
  <c r="O51" i="38" s="1"/>
  <c r="O60" i="38" s="1"/>
  <c r="O23" i="38"/>
  <c r="N21" i="22"/>
  <c r="N49" i="38" s="1"/>
  <c r="N21" i="38"/>
  <c r="N8" i="38" s="1"/>
  <c r="M21" i="22"/>
  <c r="M49" i="38" s="1"/>
  <c r="M21" i="38"/>
  <c r="M8" i="38" s="1"/>
  <c r="O32" i="8"/>
  <c r="N118" i="3"/>
  <c r="P234" i="25"/>
  <c r="O233" i="25"/>
  <c r="O74" i="26"/>
  <c r="O89" i="26"/>
  <c r="O29" i="26"/>
  <c r="O209" i="26"/>
  <c r="O217" i="26"/>
  <c r="O14" i="26"/>
  <c r="P217" i="25"/>
  <c r="O134" i="26"/>
  <c r="O179" i="26"/>
  <c r="O149" i="26"/>
  <c r="O164" i="26"/>
  <c r="O218" i="26"/>
  <c r="P218" i="25"/>
  <c r="O104" i="26"/>
  <c r="N217" i="26"/>
  <c r="N14" i="26"/>
  <c r="Q219" i="25"/>
  <c r="P219" i="26"/>
  <c r="Q220" i="25"/>
  <c r="O44" i="26"/>
  <c r="O119" i="26"/>
  <c r="O59" i="26"/>
  <c r="O194" i="26"/>
  <c r="P220" i="26"/>
  <c r="Q164" i="17"/>
  <c r="Q159" i="17"/>
  <c r="Q163" i="19"/>
  <c r="Q153" i="19"/>
  <c r="Q154" i="17"/>
  <c r="Q162" i="17"/>
  <c r="Q153" i="17"/>
  <c r="Q161" i="19"/>
  <c r="Q160" i="19"/>
  <c r="Q158" i="17"/>
  <c r="Q160" i="17"/>
  <c r="N233" i="26"/>
  <c r="P15" i="3"/>
  <c r="P11" i="3"/>
  <c r="Q157" i="17"/>
  <c r="Q158" i="19"/>
  <c r="Q156" i="19"/>
  <c r="Q152" i="19"/>
  <c r="P7" i="3"/>
  <c r="Q161" i="17"/>
  <c r="Q154" i="19"/>
  <c r="Q157" i="19"/>
  <c r="Q151" i="17"/>
  <c r="Q163" i="17"/>
  <c r="M233" i="26"/>
  <c r="O235" i="26"/>
  <c r="P235" i="25"/>
  <c r="Q155" i="17"/>
  <c r="Q162" i="19"/>
  <c r="Q164" i="19"/>
  <c r="P9" i="3"/>
  <c r="Q159" i="19"/>
  <c r="Q155" i="19"/>
  <c r="P8" i="3"/>
  <c r="P13" i="3"/>
  <c r="Q156" i="17"/>
  <c r="Q152" i="17"/>
  <c r="P16" i="3"/>
  <c r="P12" i="3"/>
  <c r="Q151" i="19"/>
  <c r="N232" i="25"/>
  <c r="O232" i="25"/>
  <c r="P14" i="3"/>
  <c r="P18" i="3"/>
  <c r="P17" i="3"/>
  <c r="O21" i="3"/>
  <c r="P19" i="3"/>
  <c r="P20" i="3"/>
  <c r="P10" i="3"/>
  <c r="N125" i="3"/>
  <c r="N127" i="3"/>
  <c r="O29" i="3"/>
  <c r="P14" i="8"/>
  <c r="P34" i="19"/>
  <c r="N124" i="3"/>
  <c r="P18" i="8"/>
  <c r="P37" i="19"/>
  <c r="P35" i="19"/>
  <c r="O30" i="3"/>
  <c r="O40" i="3"/>
  <c r="O31" i="3"/>
  <c r="N126" i="3"/>
  <c r="P36" i="19"/>
  <c r="P40" i="19"/>
  <c r="P29" i="19"/>
  <c r="P20" i="8"/>
  <c r="N121" i="3"/>
  <c r="P38" i="19"/>
  <c r="N117" i="3"/>
  <c r="P39" i="19"/>
  <c r="P17" i="8"/>
  <c r="P31" i="19"/>
  <c r="P41" i="19"/>
  <c r="O29" i="8"/>
  <c r="P30" i="19"/>
  <c r="P33" i="19"/>
  <c r="P16" i="8"/>
  <c r="O36" i="3"/>
  <c r="O36" i="8"/>
  <c r="P19" i="8"/>
  <c r="O41" i="8"/>
  <c r="O38" i="8"/>
  <c r="N120" i="3"/>
  <c r="P10" i="8"/>
  <c r="N28" i="8"/>
  <c r="N42" i="8" s="1"/>
  <c r="N123" i="3"/>
  <c r="P8" i="8"/>
  <c r="N119" i="3"/>
  <c r="N116" i="3"/>
  <c r="Q137" i="8"/>
  <c r="Q141" i="8"/>
  <c r="P113" i="8"/>
  <c r="P31" i="17"/>
  <c r="Q14" i="19"/>
  <c r="Q12" i="19"/>
  <c r="O108" i="3"/>
  <c r="O106" i="3"/>
  <c r="Q18" i="17"/>
  <c r="Q101" i="8"/>
  <c r="Q15" i="19"/>
  <c r="Q11" i="19"/>
  <c r="P21" i="19"/>
  <c r="P8" i="22" s="1"/>
  <c r="P36" i="38" s="1"/>
  <c r="R161" i="18"/>
  <c r="R134" i="17" s="1"/>
  <c r="R93" i="17"/>
  <c r="R113" i="17" s="1"/>
  <c r="R187" i="18"/>
  <c r="R139" i="19" s="1"/>
  <c r="R98" i="19"/>
  <c r="R118" i="19" s="1"/>
  <c r="R164" i="18"/>
  <c r="R137" i="17" s="1"/>
  <c r="R96" i="17"/>
  <c r="R116" i="17" s="1"/>
  <c r="R90" i="17"/>
  <c r="R110" i="17" s="1"/>
  <c r="R158" i="18"/>
  <c r="R131" i="17" s="1"/>
  <c r="R80" i="23"/>
  <c r="R191" i="18"/>
  <c r="R143" i="19" s="1"/>
  <c r="R102" i="19"/>
  <c r="R122" i="19" s="1"/>
  <c r="Q136" i="8"/>
  <c r="O104" i="3"/>
  <c r="Q100" i="8"/>
  <c r="Q17" i="17"/>
  <c r="R100" i="17"/>
  <c r="R120" i="17" s="1"/>
  <c r="R168" i="18"/>
  <c r="R141" i="17" s="1"/>
  <c r="R92" i="19"/>
  <c r="R112" i="19" s="1"/>
  <c r="R181" i="18"/>
  <c r="R133" i="19" s="1"/>
  <c r="R186" i="18"/>
  <c r="R138" i="19" s="1"/>
  <c r="R97" i="19"/>
  <c r="R117" i="19" s="1"/>
  <c r="P151" i="8"/>
  <c r="P165" i="17"/>
  <c r="P164" i="8"/>
  <c r="O165" i="8"/>
  <c r="P36" i="17"/>
  <c r="P118" i="8"/>
  <c r="N42" i="17"/>
  <c r="N95" i="3"/>
  <c r="N109" i="3" s="1"/>
  <c r="O105" i="3"/>
  <c r="Q97" i="8"/>
  <c r="Q14" i="17"/>
  <c r="Q104" i="19"/>
  <c r="N128" i="3"/>
  <c r="R188" i="18"/>
  <c r="R140" i="19" s="1"/>
  <c r="R99" i="19"/>
  <c r="R119" i="19" s="1"/>
  <c r="O30" i="8"/>
  <c r="O102" i="3"/>
  <c r="M42" i="8"/>
  <c r="M115" i="3"/>
  <c r="M129" i="3" s="1"/>
  <c r="P12" i="8"/>
  <c r="P155" i="8"/>
  <c r="O28" i="3"/>
  <c r="Q7" i="17"/>
  <c r="Q172" i="18"/>
  <c r="P21" i="17"/>
  <c r="P7" i="22" s="1"/>
  <c r="P35" i="38" s="1"/>
  <c r="Q143" i="8"/>
  <c r="P153" i="8"/>
  <c r="R94" i="19"/>
  <c r="R114" i="19" s="1"/>
  <c r="R183" i="18"/>
  <c r="R135" i="19" s="1"/>
  <c r="Q8" i="19"/>
  <c r="P35" i="17"/>
  <c r="P117" i="8"/>
  <c r="R182" i="18"/>
  <c r="R134" i="19" s="1"/>
  <c r="R93" i="19"/>
  <c r="R113" i="19" s="1"/>
  <c r="R184" i="18"/>
  <c r="R136" i="19" s="1"/>
  <c r="R95" i="19"/>
  <c r="R115" i="19" s="1"/>
  <c r="R100" i="23"/>
  <c r="R90" i="19"/>
  <c r="R110" i="19" s="1"/>
  <c r="R179" i="18"/>
  <c r="R131" i="19" s="1"/>
  <c r="O95" i="3"/>
  <c r="O42" i="17"/>
  <c r="R102" i="17"/>
  <c r="R122" i="17" s="1"/>
  <c r="R170" i="18"/>
  <c r="R143" i="17" s="1"/>
  <c r="P123" i="8"/>
  <c r="P41" i="17"/>
  <c r="P32" i="19"/>
  <c r="Q16" i="19"/>
  <c r="Q132" i="8"/>
  <c r="O38" i="3"/>
  <c r="Q139" i="8"/>
  <c r="Q135" i="8"/>
  <c r="O39" i="8"/>
  <c r="R100" i="19"/>
  <c r="R120" i="19" s="1"/>
  <c r="R189" i="18"/>
  <c r="R141" i="19" s="1"/>
  <c r="R190" i="18"/>
  <c r="R142" i="19" s="1"/>
  <c r="R101" i="19"/>
  <c r="R121" i="19" s="1"/>
  <c r="R103" i="19"/>
  <c r="R123" i="19" s="1"/>
  <c r="R192" i="18"/>
  <c r="R144" i="19" s="1"/>
  <c r="O32" i="3"/>
  <c r="P32" i="17"/>
  <c r="P114" i="8"/>
  <c r="P152" i="8"/>
  <c r="Q138" i="8"/>
  <c r="P124" i="19"/>
  <c r="Q16" i="17"/>
  <c r="Q99" i="8"/>
  <c r="P37" i="17"/>
  <c r="P119" i="8"/>
  <c r="P162" i="8"/>
  <c r="O42" i="19"/>
  <c r="P157" i="8"/>
  <c r="O33" i="8"/>
  <c r="O97" i="3"/>
  <c r="P13" i="8"/>
  <c r="O35" i="8"/>
  <c r="P115" i="8"/>
  <c r="P33" i="17"/>
  <c r="P11" i="8"/>
  <c r="O33" i="3"/>
  <c r="O107" i="3"/>
  <c r="P160" i="8"/>
  <c r="O40" i="8"/>
  <c r="Q102" i="8"/>
  <c r="Q19" i="17"/>
  <c r="P9" i="8"/>
  <c r="O100" i="3"/>
  <c r="Q20" i="19"/>
  <c r="O37" i="3"/>
  <c r="P38" i="17"/>
  <c r="P120" i="8"/>
  <c r="Q134" i="8"/>
  <c r="Q9" i="17"/>
  <c r="Q92" i="8"/>
  <c r="Q17" i="19"/>
  <c r="R91" i="17"/>
  <c r="R111" i="17" s="1"/>
  <c r="R159" i="18"/>
  <c r="R132" i="17" s="1"/>
  <c r="R185" i="18"/>
  <c r="R137" i="19" s="1"/>
  <c r="R96" i="19"/>
  <c r="R116" i="19" s="1"/>
  <c r="O124" i="8"/>
  <c r="O28" i="8"/>
  <c r="Q144" i="8"/>
  <c r="O101" i="3"/>
  <c r="O39" i="3"/>
  <c r="O34" i="8"/>
  <c r="Q91" i="8"/>
  <c r="Q8" i="17"/>
  <c r="Q15" i="17"/>
  <c r="Q98" i="8"/>
  <c r="Q94" i="8"/>
  <c r="Q11" i="17"/>
  <c r="N122" i="3"/>
  <c r="P39" i="17"/>
  <c r="P121" i="8"/>
  <c r="P158" i="8"/>
  <c r="R169" i="18"/>
  <c r="R142" i="17" s="1"/>
  <c r="R101" i="17"/>
  <c r="R121" i="17" s="1"/>
  <c r="O21" i="8"/>
  <c r="O27" i="3"/>
  <c r="R171" i="18"/>
  <c r="R144" i="17" s="1"/>
  <c r="R103" i="17"/>
  <c r="R123" i="17" s="1"/>
  <c r="Q10" i="19"/>
  <c r="Q140" i="8"/>
  <c r="P116" i="8"/>
  <c r="P34" i="17"/>
  <c r="P163" i="8"/>
  <c r="O98" i="3"/>
  <c r="P159" i="8"/>
  <c r="O37" i="8"/>
  <c r="P104" i="8"/>
  <c r="P7" i="8"/>
  <c r="P40" i="17"/>
  <c r="P122" i="8"/>
  <c r="P156" i="8"/>
  <c r="Q96" i="8"/>
  <c r="Q13" i="17"/>
  <c r="O96" i="3"/>
  <c r="Q93" i="8"/>
  <c r="Q10" i="17"/>
  <c r="O103" i="3"/>
  <c r="Q142" i="8"/>
  <c r="Q133" i="8"/>
  <c r="P28" i="19"/>
  <c r="P165" i="19"/>
  <c r="R180" i="18"/>
  <c r="R132" i="19" s="1"/>
  <c r="R91" i="19"/>
  <c r="R111" i="19" s="1"/>
  <c r="R166" i="18"/>
  <c r="R139" i="17" s="1"/>
  <c r="R98" i="17"/>
  <c r="R118" i="17" s="1"/>
  <c r="R163" i="18"/>
  <c r="R136" i="17" s="1"/>
  <c r="R95" i="17"/>
  <c r="R115" i="17" s="1"/>
  <c r="O34" i="3"/>
  <c r="P154" i="8"/>
  <c r="N27" i="3"/>
  <c r="N41" i="3" s="1"/>
  <c r="N21" i="8"/>
  <c r="Q20" i="17"/>
  <c r="Q103" i="8"/>
  <c r="P29" i="17"/>
  <c r="P111" i="8"/>
  <c r="P161" i="8"/>
  <c r="Q95" i="8"/>
  <c r="Q12" i="17"/>
  <c r="O99" i="3"/>
  <c r="O119" i="3" s="1"/>
  <c r="R92" i="17"/>
  <c r="R112" i="17" s="1"/>
  <c r="R160" i="18"/>
  <c r="R133" i="17" s="1"/>
  <c r="R97" i="17"/>
  <c r="R117" i="17" s="1"/>
  <c r="R165" i="18"/>
  <c r="R138" i="17" s="1"/>
  <c r="P145" i="8"/>
  <c r="Q7" i="19"/>
  <c r="Q193" i="18"/>
  <c r="O35" i="3"/>
  <c r="Q19" i="19"/>
  <c r="R99" i="17"/>
  <c r="R119" i="17" s="1"/>
  <c r="R167" i="18"/>
  <c r="R140" i="17" s="1"/>
  <c r="O31" i="8"/>
  <c r="P15" i="8"/>
  <c r="Q13" i="19"/>
  <c r="Q90" i="8"/>
  <c r="Q104" i="17"/>
  <c r="P112" i="8"/>
  <c r="P30" i="17"/>
  <c r="P110" i="8"/>
  <c r="P124" i="17"/>
  <c r="P28" i="17"/>
  <c r="Q18" i="19"/>
  <c r="Q9" i="19"/>
  <c r="R162" i="18"/>
  <c r="R135" i="17" s="1"/>
  <c r="R94" i="17"/>
  <c r="R114" i="17" s="1"/>
  <c r="R115" i="25"/>
  <c r="Q115" i="26"/>
  <c r="P38" i="26"/>
  <c r="Q127" i="25"/>
  <c r="Q98" i="25"/>
  <c r="R160" i="25"/>
  <c r="Q53" i="25"/>
  <c r="P142" i="26"/>
  <c r="Q52" i="25"/>
  <c r="Q99" i="26"/>
  <c r="Q25" i="26"/>
  <c r="P37" i="26"/>
  <c r="Q114" i="26"/>
  <c r="R159" i="25"/>
  <c r="P187" i="26"/>
  <c r="Q54" i="26"/>
  <c r="P7" i="26"/>
  <c r="Q172" i="25"/>
  <c r="Q112" i="25"/>
  <c r="R24" i="25"/>
  <c r="R54" i="25"/>
  <c r="P188" i="26"/>
  <c r="Q205" i="26"/>
  <c r="P68" i="26"/>
  <c r="P112" i="26"/>
  <c r="R9" i="25"/>
  <c r="R129" i="25"/>
  <c r="Q83" i="25"/>
  <c r="Q37" i="25"/>
  <c r="P172" i="26"/>
  <c r="Q142" i="25"/>
  <c r="R55" i="25"/>
  <c r="R39" i="25"/>
  <c r="Q7" i="25"/>
  <c r="P53" i="26"/>
  <c r="R10" i="25"/>
  <c r="P113" i="26"/>
  <c r="Q144" i="26"/>
  <c r="Q130" i="26"/>
  <c r="P8" i="26"/>
  <c r="P23" i="26"/>
  <c r="R114" i="25"/>
  <c r="Q22" i="25"/>
  <c r="Q84" i="26"/>
  <c r="Q174" i="26"/>
  <c r="Q55" i="26"/>
  <c r="Q70" i="26"/>
  <c r="Q23" i="25"/>
  <c r="Q69" i="26"/>
  <c r="Q97" i="25"/>
  <c r="P173" i="26"/>
  <c r="Q189" i="26"/>
  <c r="Q9" i="26"/>
  <c r="P127" i="26"/>
  <c r="Q85" i="26"/>
  <c r="R99" i="25"/>
  <c r="P157" i="26"/>
  <c r="R189" i="25"/>
  <c r="R70" i="25"/>
  <c r="Q187" i="25"/>
  <c r="Q143" i="25"/>
  <c r="Q203" i="25"/>
  <c r="Q158" i="25"/>
  <c r="P52" i="26"/>
  <c r="Q10" i="26"/>
  <c r="Q202" i="25"/>
  <c r="Q8" i="25"/>
  <c r="Q175" i="26"/>
  <c r="Q190" i="26"/>
  <c r="Q68" i="25"/>
  <c r="P203" i="26"/>
  <c r="R100" i="25"/>
  <c r="Q145" i="26"/>
  <c r="P22" i="26"/>
  <c r="P143" i="26"/>
  <c r="R145" i="25"/>
  <c r="Q173" i="25"/>
  <c r="R144" i="25"/>
  <c r="R204" i="25"/>
  <c r="P83" i="26"/>
  <c r="R84" i="25"/>
  <c r="Q128" i="25"/>
  <c r="P202" i="26"/>
  <c r="R25" i="25"/>
  <c r="R175" i="25"/>
  <c r="Q67" i="25"/>
  <c r="P128" i="26"/>
  <c r="P98" i="26"/>
  <c r="R190" i="25"/>
  <c r="R174" i="25"/>
  <c r="Q159" i="26"/>
  <c r="Q82" i="25"/>
  <c r="P67" i="26"/>
  <c r="Q157" i="25"/>
  <c r="Q129" i="26"/>
  <c r="Q188" i="25"/>
  <c r="Q38" i="25"/>
  <c r="P82" i="26"/>
  <c r="R40" i="25"/>
  <c r="Q100" i="26"/>
  <c r="Q113" i="25"/>
  <c r="R85" i="25"/>
  <c r="P97" i="26"/>
  <c r="Q40" i="26"/>
  <c r="R69" i="25"/>
  <c r="R205" i="25"/>
  <c r="R130" i="25"/>
  <c r="Q160" i="26"/>
  <c r="Q39" i="26"/>
  <c r="Q204" i="26"/>
  <c r="Q24" i="26"/>
  <c r="P158" i="26"/>
  <c r="P22" i="22" l="1"/>
  <c r="P50" i="38" s="1"/>
  <c r="P22" i="38"/>
  <c r="P7" i="38"/>
  <c r="N234" i="26"/>
  <c r="N50" i="38"/>
  <c r="P23" i="22"/>
  <c r="P51" i="38" s="1"/>
  <c r="P60" i="38" s="1"/>
  <c r="P23" i="38"/>
  <c r="O234" i="26"/>
  <c r="O21" i="22"/>
  <c r="O49" i="38" s="1"/>
  <c r="O21" i="38"/>
  <c r="O8" i="38" s="1"/>
  <c r="M61" i="38"/>
  <c r="M59" i="38"/>
  <c r="O20" i="22"/>
  <c r="O48" i="38" s="1"/>
  <c r="O20" i="38"/>
  <c r="N67" i="38"/>
  <c r="N20" i="22"/>
  <c r="N48" i="38" s="1"/>
  <c r="N20" i="38"/>
  <c r="M67" i="38"/>
  <c r="N61" i="38"/>
  <c r="N59" i="38"/>
  <c r="P36" i="8"/>
  <c r="N232" i="26"/>
  <c r="P21" i="3"/>
  <c r="O232" i="26"/>
  <c r="Q218" i="25"/>
  <c r="R220" i="25"/>
  <c r="P119" i="26"/>
  <c r="Q217" i="25"/>
  <c r="R219" i="25"/>
  <c r="P217" i="26"/>
  <c r="P14" i="26"/>
  <c r="P218" i="26"/>
  <c r="P59" i="26"/>
  <c r="Q220" i="26"/>
  <c r="P149" i="26"/>
  <c r="P164" i="26"/>
  <c r="P89" i="26"/>
  <c r="P209" i="26"/>
  <c r="P134" i="26"/>
  <c r="P44" i="26"/>
  <c r="P194" i="26"/>
  <c r="P29" i="26"/>
  <c r="P104" i="26"/>
  <c r="P179" i="26"/>
  <c r="P74" i="26"/>
  <c r="Q219" i="26"/>
  <c r="Q18" i="3"/>
  <c r="Q13" i="3"/>
  <c r="Q7" i="3"/>
  <c r="R162" i="17"/>
  <c r="R151" i="19"/>
  <c r="R151" i="17"/>
  <c r="Q19" i="3"/>
  <c r="R159" i="17"/>
  <c r="Q17" i="3"/>
  <c r="R164" i="19"/>
  <c r="R161" i="19"/>
  <c r="R160" i="19"/>
  <c r="R153" i="19"/>
  <c r="R159" i="19"/>
  <c r="R153" i="17"/>
  <c r="R164" i="17"/>
  <c r="R156" i="19"/>
  <c r="R158" i="19"/>
  <c r="P233" i="25"/>
  <c r="R155" i="17"/>
  <c r="R158" i="17"/>
  <c r="R157" i="19"/>
  <c r="R154" i="19"/>
  <c r="R155" i="19"/>
  <c r="R163" i="19"/>
  <c r="P234" i="26"/>
  <c r="O233" i="26"/>
  <c r="R162" i="19"/>
  <c r="R163" i="17"/>
  <c r="Q9" i="3"/>
  <c r="R160" i="17"/>
  <c r="R156" i="17"/>
  <c r="R152" i="19"/>
  <c r="R152" i="17"/>
  <c r="R161" i="17"/>
  <c r="R157" i="17"/>
  <c r="R154" i="17"/>
  <c r="P232" i="25"/>
  <c r="Q16" i="3"/>
  <c r="Q14" i="3"/>
  <c r="Q10" i="3"/>
  <c r="Q8" i="3"/>
  <c r="Q11" i="3"/>
  <c r="Q15" i="3"/>
  <c r="Q20" i="3"/>
  <c r="Q12" i="3"/>
  <c r="P34" i="3"/>
  <c r="Q34" i="19"/>
  <c r="P38" i="3"/>
  <c r="Q20" i="8"/>
  <c r="Q15" i="8"/>
  <c r="P30" i="8"/>
  <c r="P30" i="3"/>
  <c r="P39" i="3"/>
  <c r="Q12" i="8"/>
  <c r="Q29" i="19"/>
  <c r="P37" i="3"/>
  <c r="P28" i="3"/>
  <c r="P40" i="3"/>
  <c r="O123" i="3"/>
  <c r="Q30" i="19"/>
  <c r="P36" i="3"/>
  <c r="O116" i="3"/>
  <c r="P41" i="8"/>
  <c r="O125" i="3"/>
  <c r="O128" i="3"/>
  <c r="P39" i="8"/>
  <c r="Q8" i="8"/>
  <c r="O118" i="3"/>
  <c r="Q13" i="8"/>
  <c r="Q39" i="19"/>
  <c r="P34" i="8"/>
  <c r="Q31" i="19"/>
  <c r="Q11" i="8"/>
  <c r="Q40" i="19"/>
  <c r="P29" i="8"/>
  <c r="Q38" i="19"/>
  <c r="Q41" i="19"/>
  <c r="O122" i="3"/>
  <c r="N115" i="3"/>
  <c r="N129" i="3" s="1"/>
  <c r="Q33" i="19"/>
  <c r="Q37" i="19"/>
  <c r="G12" i="6"/>
  <c r="Q21" i="19"/>
  <c r="P124" i="8"/>
  <c r="P28" i="8"/>
  <c r="R20" i="17"/>
  <c r="R103" i="8"/>
  <c r="R18" i="17"/>
  <c r="R101" i="8"/>
  <c r="P106" i="3"/>
  <c r="R134" i="8"/>
  <c r="P38" i="8"/>
  <c r="Q40" i="17"/>
  <c r="Q122" i="8"/>
  <c r="P37" i="8"/>
  <c r="P35" i="3"/>
  <c r="R17" i="19"/>
  <c r="Q155" i="8"/>
  <c r="R104" i="19"/>
  <c r="R7" i="19"/>
  <c r="R10" i="19"/>
  <c r="R11" i="19"/>
  <c r="Q14" i="8"/>
  <c r="P103" i="3"/>
  <c r="R100" i="8"/>
  <c r="R17" i="17"/>
  <c r="Q156" i="8"/>
  <c r="R90" i="8"/>
  <c r="R104" i="17"/>
  <c r="R7" i="17"/>
  <c r="R137" i="8"/>
  <c r="O126" i="3"/>
  <c r="Q35" i="19"/>
  <c r="R11" i="17"/>
  <c r="R94" i="8"/>
  <c r="P97" i="3"/>
  <c r="Q124" i="17"/>
  <c r="Q110" i="8"/>
  <c r="Q28" i="19"/>
  <c r="Q145" i="19"/>
  <c r="Q10" i="22" s="1"/>
  <c r="R138" i="8"/>
  <c r="R133" i="8"/>
  <c r="R12" i="17"/>
  <c r="R95" i="8"/>
  <c r="R8" i="19"/>
  <c r="P42" i="19"/>
  <c r="Q113" i="8"/>
  <c r="Q31" i="17"/>
  <c r="Q116" i="8"/>
  <c r="Q34" i="17"/>
  <c r="R144" i="8"/>
  <c r="R142" i="8"/>
  <c r="Q118" i="8"/>
  <c r="Q36" i="17"/>
  <c r="O121" i="3"/>
  <c r="Q112" i="8"/>
  <c r="Q30" i="17"/>
  <c r="Q154" i="8"/>
  <c r="P105" i="3"/>
  <c r="P104" i="3"/>
  <c r="Q119" i="8"/>
  <c r="Q37" i="17"/>
  <c r="P99" i="3"/>
  <c r="R20" i="19"/>
  <c r="R18" i="19"/>
  <c r="Q152" i="8"/>
  <c r="R19" i="17"/>
  <c r="R102" i="8"/>
  <c r="Q163" i="8"/>
  <c r="O117" i="3"/>
  <c r="Q124" i="19"/>
  <c r="P31" i="3"/>
  <c r="Q17" i="8"/>
  <c r="R19" i="19"/>
  <c r="R15" i="19"/>
  <c r="Q36" i="19"/>
  <c r="Q18" i="8"/>
  <c r="P98" i="3"/>
  <c r="Q41" i="17"/>
  <c r="Q123" i="8"/>
  <c r="R135" i="8"/>
  <c r="P95" i="3"/>
  <c r="P42" i="17"/>
  <c r="R140" i="8"/>
  <c r="R14" i="17"/>
  <c r="R97" i="8"/>
  <c r="R9" i="17"/>
  <c r="R92" i="8"/>
  <c r="P96" i="3"/>
  <c r="R136" i="8"/>
  <c r="Q162" i="8"/>
  <c r="P40" i="8"/>
  <c r="P101" i="3"/>
  <c r="Q160" i="8"/>
  <c r="O41" i="3"/>
  <c r="Q114" i="8"/>
  <c r="Q32" i="17"/>
  <c r="O42" i="8"/>
  <c r="O115" i="3"/>
  <c r="R145" i="17"/>
  <c r="R9" i="22" s="1"/>
  <c r="R37" i="38" s="1"/>
  <c r="R9" i="38" s="1"/>
  <c r="R131" i="8"/>
  <c r="R13" i="19"/>
  <c r="R132" i="8"/>
  <c r="Q9" i="8"/>
  <c r="O120" i="3"/>
  <c r="O127" i="3"/>
  <c r="P100" i="3"/>
  <c r="P108" i="3"/>
  <c r="R12" i="19"/>
  <c r="P35" i="8"/>
  <c r="P32" i="8"/>
  <c r="R16" i="19"/>
  <c r="Q117" i="8"/>
  <c r="Q35" i="17"/>
  <c r="P165" i="8"/>
  <c r="R14" i="19"/>
  <c r="R9" i="19"/>
  <c r="Q38" i="17"/>
  <c r="Q120" i="8"/>
  <c r="O124" i="3"/>
  <c r="Q121" i="8"/>
  <c r="Q39" i="17"/>
  <c r="P31" i="8"/>
  <c r="Q104" i="8"/>
  <c r="R139" i="8"/>
  <c r="Q21" i="17"/>
  <c r="R99" i="8"/>
  <c r="R16" i="17"/>
  <c r="Q33" i="17"/>
  <c r="Q115" i="8"/>
  <c r="R143" i="8"/>
  <c r="R15" i="17"/>
  <c r="R98" i="8"/>
  <c r="Q153" i="8"/>
  <c r="Q10" i="8"/>
  <c r="P107" i="3"/>
  <c r="P21" i="8"/>
  <c r="Q111" i="8"/>
  <c r="Q29" i="17"/>
  <c r="Q164" i="8"/>
  <c r="Q41" i="8" s="1"/>
  <c r="R145" i="19"/>
  <c r="R10" i="22" s="1"/>
  <c r="R38" i="38" s="1"/>
  <c r="R91" i="8"/>
  <c r="R8" i="17"/>
  <c r="Q19" i="8"/>
  <c r="P29" i="3"/>
  <c r="P33" i="8"/>
  <c r="P33" i="3"/>
  <c r="Q16" i="8"/>
  <c r="Q158" i="8"/>
  <c r="Q159" i="8"/>
  <c r="O109" i="3"/>
  <c r="R193" i="18"/>
  <c r="P102" i="3"/>
  <c r="P27" i="3"/>
  <c r="Q145" i="17"/>
  <c r="Q9" i="22" s="1"/>
  <c r="Q131" i="8"/>
  <c r="Q145" i="8" s="1"/>
  <c r="P32" i="3"/>
  <c r="R141" i="8"/>
  <c r="R172" i="18"/>
  <c r="R13" i="17"/>
  <c r="R96" i="8"/>
  <c r="R93" i="8"/>
  <c r="R10" i="17"/>
  <c r="Q32" i="19"/>
  <c r="Q161" i="8"/>
  <c r="Q157" i="8"/>
  <c r="R142" i="25"/>
  <c r="Q23" i="26"/>
  <c r="R40" i="26"/>
  <c r="Q52" i="26"/>
  <c r="R85" i="26"/>
  <c r="R114" i="26"/>
  <c r="Q158" i="26"/>
  <c r="Q68" i="26"/>
  <c r="Q157" i="26"/>
  <c r="R25" i="26"/>
  <c r="Q128" i="26"/>
  <c r="Q127" i="26"/>
  <c r="R130" i="26"/>
  <c r="R145" i="26"/>
  <c r="Q38" i="26"/>
  <c r="R115" i="26"/>
  <c r="R24" i="26"/>
  <c r="Q113" i="26"/>
  <c r="Q172" i="26"/>
  <c r="Q82" i="26"/>
  <c r="R83" i="25"/>
  <c r="R129" i="26"/>
  <c r="Q202" i="26"/>
  <c r="R53" i="25"/>
  <c r="Q97" i="26"/>
  <c r="R173" i="25"/>
  <c r="R99" i="26"/>
  <c r="Q112" i="26"/>
  <c r="R67" i="25"/>
  <c r="Q67" i="26"/>
  <c r="R70" i="26"/>
  <c r="Q188" i="26"/>
  <c r="R38" i="25"/>
  <c r="Q187" i="26"/>
  <c r="R98" i="25"/>
  <c r="R175" i="26"/>
  <c r="Q53" i="26"/>
  <c r="R68" i="25"/>
  <c r="R10" i="26"/>
  <c r="R128" i="25"/>
  <c r="R172" i="25"/>
  <c r="R204" i="26"/>
  <c r="R7" i="25"/>
  <c r="Q8" i="26"/>
  <c r="R112" i="25"/>
  <c r="R160" i="26"/>
  <c r="R188" i="25"/>
  <c r="Q83" i="26"/>
  <c r="R37" i="25"/>
  <c r="Q22" i="26"/>
  <c r="R100" i="26"/>
  <c r="R205" i="26"/>
  <c r="R52" i="25"/>
  <c r="R9" i="26"/>
  <c r="Q143" i="26"/>
  <c r="Q142" i="26"/>
  <c r="R174" i="26"/>
  <c r="R189" i="26"/>
  <c r="R127" i="25"/>
  <c r="R84" i="26"/>
  <c r="Q203" i="26"/>
  <c r="R82" i="25"/>
  <c r="R144" i="26"/>
  <c r="R97" i="25"/>
  <c r="R8" i="25"/>
  <c r="R143" i="25"/>
  <c r="R22" i="25"/>
  <c r="R157" i="25"/>
  <c r="Q98" i="26"/>
  <c r="R23" i="25"/>
  <c r="R55" i="26"/>
  <c r="R158" i="25"/>
  <c r="R190" i="26"/>
  <c r="R202" i="25"/>
  <c r="R69" i="26"/>
  <c r="R113" i="25"/>
  <c r="R187" i="25"/>
  <c r="R39" i="26"/>
  <c r="Q173" i="26"/>
  <c r="R159" i="26"/>
  <c r="R203" i="25"/>
  <c r="R54" i="26"/>
  <c r="Q37" i="26"/>
  <c r="Q235" i="25" l="1"/>
  <c r="Q38" i="38"/>
  <c r="P235" i="26"/>
  <c r="Q234" i="25"/>
  <c r="Q37" i="38"/>
  <c r="Q9" i="38" s="1"/>
  <c r="R10" i="38"/>
  <c r="P20" i="22"/>
  <c r="P48" i="38" s="1"/>
  <c r="P20" i="38"/>
  <c r="P21" i="22"/>
  <c r="P49" i="38" s="1"/>
  <c r="P21" i="38"/>
  <c r="P8" i="38" s="1"/>
  <c r="O67" i="38"/>
  <c r="O59" i="38"/>
  <c r="O61" i="38"/>
  <c r="P123" i="3"/>
  <c r="J20" i="6"/>
  <c r="K20" i="10" s="1"/>
  <c r="J15" i="6"/>
  <c r="K15" i="10" s="1"/>
  <c r="J11" i="6"/>
  <c r="K11" i="10" s="1"/>
  <c r="J19" i="6"/>
  <c r="K19" i="10" s="1"/>
  <c r="J16" i="6"/>
  <c r="K16" i="10" s="1"/>
  <c r="J18" i="6"/>
  <c r="K18" i="10" s="1"/>
  <c r="J8" i="6"/>
  <c r="K8" i="10" s="1"/>
  <c r="J13" i="6"/>
  <c r="K13" i="10" s="1"/>
  <c r="J14" i="6"/>
  <c r="K14" i="10" s="1"/>
  <c r="J10" i="6"/>
  <c r="K10" i="10" s="1"/>
  <c r="J17" i="6"/>
  <c r="K17" i="10" s="1"/>
  <c r="J9" i="6"/>
  <c r="K9" i="10" s="1"/>
  <c r="E12" i="6"/>
  <c r="J12" i="6"/>
  <c r="K12" i="10" s="1"/>
  <c r="Q21" i="3"/>
  <c r="R234" i="25"/>
  <c r="P232" i="26"/>
  <c r="R235" i="25"/>
  <c r="Q29" i="26"/>
  <c r="Q209" i="26"/>
  <c r="R218" i="25"/>
  <c r="Q194" i="26"/>
  <c r="Q179" i="26"/>
  <c r="Q164" i="26"/>
  <c r="Q119" i="26"/>
  <c r="R217" i="25"/>
  <c r="R219" i="26"/>
  <c r="Q44" i="26"/>
  <c r="Q218" i="26"/>
  <c r="Q74" i="26"/>
  <c r="Q104" i="26"/>
  <c r="Q89" i="26"/>
  <c r="Q149" i="26"/>
  <c r="Q134" i="26"/>
  <c r="Q59" i="26"/>
  <c r="R220" i="26"/>
  <c r="R14" i="3"/>
  <c r="R18" i="3"/>
  <c r="R20" i="3"/>
  <c r="R19" i="3"/>
  <c r="R9" i="3"/>
  <c r="R12" i="3"/>
  <c r="R16" i="3"/>
  <c r="R8" i="3"/>
  <c r="R11" i="3"/>
  <c r="R13" i="3"/>
  <c r="R15" i="3"/>
  <c r="R10" i="3"/>
  <c r="R17" i="3"/>
  <c r="R7" i="3"/>
  <c r="Q40" i="3"/>
  <c r="Q38" i="8"/>
  <c r="Q35" i="8"/>
  <c r="Q30" i="8"/>
  <c r="R40" i="19"/>
  <c r="R10" i="8"/>
  <c r="Q35" i="3"/>
  <c r="P117" i="3"/>
  <c r="R30" i="19"/>
  <c r="P116" i="3"/>
  <c r="Q31" i="3"/>
  <c r="Q32" i="3"/>
  <c r="P126" i="3"/>
  <c r="Q33" i="8"/>
  <c r="R41" i="19"/>
  <c r="P120" i="3"/>
  <c r="Q33" i="3"/>
  <c r="R8" i="8"/>
  <c r="Q39" i="8"/>
  <c r="P128" i="3"/>
  <c r="Q28" i="3"/>
  <c r="R35" i="19"/>
  <c r="F12" i="6"/>
  <c r="R13" i="8"/>
  <c r="R9" i="8"/>
  <c r="H12" i="6"/>
  <c r="R16" i="8"/>
  <c r="Q29" i="8"/>
  <c r="P118" i="3"/>
  <c r="P121" i="3"/>
  <c r="R15" i="8"/>
  <c r="Q29" i="3"/>
  <c r="P127" i="3"/>
  <c r="P41" i="3"/>
  <c r="Q31" i="8"/>
  <c r="R161" i="8"/>
  <c r="Q39" i="3"/>
  <c r="R111" i="8"/>
  <c r="R29" i="17"/>
  <c r="Q96" i="3"/>
  <c r="R159" i="8"/>
  <c r="P122" i="3"/>
  <c r="H15" i="6"/>
  <c r="F15" i="6"/>
  <c r="G15" i="6"/>
  <c r="E15" i="6"/>
  <c r="R152" i="8"/>
  <c r="Q99" i="3"/>
  <c r="R117" i="8"/>
  <c r="R35" i="17"/>
  <c r="H18" i="6"/>
  <c r="E18" i="6"/>
  <c r="F18" i="6"/>
  <c r="G18" i="6"/>
  <c r="Q108" i="3"/>
  <c r="Q128" i="3" s="1"/>
  <c r="P119" i="3"/>
  <c r="Q97" i="3"/>
  <c r="Q36" i="8"/>
  <c r="R162" i="8"/>
  <c r="R164" i="8"/>
  <c r="Q34" i="8"/>
  <c r="R21" i="17"/>
  <c r="R7" i="22" s="1"/>
  <c r="R35" i="38" s="1"/>
  <c r="R32" i="19"/>
  <c r="R21" i="19"/>
  <c r="R8" i="22" s="1"/>
  <c r="R36" i="38" s="1"/>
  <c r="F8" i="6"/>
  <c r="E8" i="6"/>
  <c r="G8" i="6"/>
  <c r="H8" i="6"/>
  <c r="Q40" i="8"/>
  <c r="R154" i="8"/>
  <c r="R123" i="8"/>
  <c r="R41" i="17"/>
  <c r="R31" i="17"/>
  <c r="R113" i="8"/>
  <c r="R165" i="19"/>
  <c r="Q105" i="3"/>
  <c r="E16" i="6"/>
  <c r="H16" i="6"/>
  <c r="G16" i="6"/>
  <c r="F16" i="6"/>
  <c r="R34" i="19"/>
  <c r="R151" i="8"/>
  <c r="R165" i="17"/>
  <c r="R156" i="8"/>
  <c r="Q37" i="3"/>
  <c r="H13" i="6"/>
  <c r="E13" i="6"/>
  <c r="F13" i="6"/>
  <c r="G13" i="6"/>
  <c r="R122" i="8"/>
  <c r="R40" i="17"/>
  <c r="R39" i="19"/>
  <c r="Q104" i="3"/>
  <c r="E14" i="6"/>
  <c r="F14" i="6"/>
  <c r="H14" i="6"/>
  <c r="G14" i="6"/>
  <c r="R115" i="8"/>
  <c r="R33" i="17"/>
  <c r="R153" i="8"/>
  <c r="R14" i="8"/>
  <c r="Q124" i="8"/>
  <c r="R32" i="17"/>
  <c r="R114" i="8"/>
  <c r="R110" i="8"/>
  <c r="R124" i="17"/>
  <c r="R28" i="17"/>
  <c r="P124" i="3"/>
  <c r="Q107" i="3"/>
  <c r="P125" i="3"/>
  <c r="R20" i="8"/>
  <c r="R34" i="17"/>
  <c r="R116" i="8"/>
  <c r="F10" i="6"/>
  <c r="E10" i="6"/>
  <c r="H10" i="6"/>
  <c r="G10" i="6"/>
  <c r="Q151" i="8"/>
  <c r="Q165" i="8" s="1"/>
  <c r="Q165" i="17"/>
  <c r="H19" i="6"/>
  <c r="G19" i="6"/>
  <c r="F19" i="6"/>
  <c r="E19" i="6"/>
  <c r="Q30" i="3"/>
  <c r="R36" i="17"/>
  <c r="R118" i="8"/>
  <c r="Q7" i="22"/>
  <c r="Q7" i="8"/>
  <c r="Q106" i="3"/>
  <c r="Q102" i="3"/>
  <c r="R37" i="19"/>
  <c r="O129" i="3"/>
  <c r="P109" i="3"/>
  <c r="Q38" i="3"/>
  <c r="R36" i="19"/>
  <c r="G17" i="6"/>
  <c r="F17" i="6"/>
  <c r="E17" i="6"/>
  <c r="H17" i="6"/>
  <c r="R19" i="8"/>
  <c r="Q37" i="8"/>
  <c r="F9" i="6"/>
  <c r="G9" i="6"/>
  <c r="H9" i="6"/>
  <c r="E9" i="6"/>
  <c r="R29" i="19"/>
  <c r="R158" i="8"/>
  <c r="Q165" i="19"/>
  <c r="Q28" i="17"/>
  <c r="R11" i="8"/>
  <c r="R17" i="8"/>
  <c r="Q34" i="3"/>
  <c r="R124" i="19"/>
  <c r="R28" i="19"/>
  <c r="Q32" i="8"/>
  <c r="R18" i="8"/>
  <c r="G20" i="6"/>
  <c r="F20" i="6"/>
  <c r="H20" i="6"/>
  <c r="E20" i="6"/>
  <c r="R33" i="19"/>
  <c r="Q36" i="3"/>
  <c r="R163" i="8"/>
  <c r="Q100" i="3"/>
  <c r="R119" i="8"/>
  <c r="R37" i="17"/>
  <c r="R145" i="8"/>
  <c r="R112" i="8"/>
  <c r="R30" i="17"/>
  <c r="R160" i="8"/>
  <c r="R155" i="8"/>
  <c r="Q42" i="19"/>
  <c r="Q21" i="38" s="1"/>
  <c r="Q8" i="38" s="1"/>
  <c r="Q103" i="3"/>
  <c r="Q101" i="3"/>
  <c r="Q98" i="3"/>
  <c r="R12" i="8"/>
  <c r="R157" i="8"/>
  <c r="R104" i="8"/>
  <c r="R7" i="8"/>
  <c r="R120" i="8"/>
  <c r="R38" i="17"/>
  <c r="R31" i="19"/>
  <c r="R38" i="19"/>
  <c r="E11" i="6"/>
  <c r="H11" i="6"/>
  <c r="F11" i="6"/>
  <c r="G11" i="6"/>
  <c r="R121" i="8"/>
  <c r="R39" i="17"/>
  <c r="P115" i="3"/>
  <c r="P42" i="8"/>
  <c r="Q8" i="22"/>
  <c r="K101" i="25"/>
  <c r="R143" i="26"/>
  <c r="K116" i="25"/>
  <c r="R22" i="26"/>
  <c r="R203" i="26"/>
  <c r="K41" i="25"/>
  <c r="K161" i="25"/>
  <c r="R82" i="26"/>
  <c r="K56" i="25"/>
  <c r="R53" i="26"/>
  <c r="R127" i="26"/>
  <c r="R23" i="26"/>
  <c r="K86" i="25"/>
  <c r="R157" i="26"/>
  <c r="R158" i="26"/>
  <c r="R112" i="26"/>
  <c r="R113" i="26"/>
  <c r="R142" i="26"/>
  <c r="K26" i="25"/>
  <c r="R202" i="26"/>
  <c r="R83" i="26"/>
  <c r="R98" i="26"/>
  <c r="R172" i="26"/>
  <c r="K191" i="25"/>
  <c r="Q7" i="26"/>
  <c r="R52" i="26"/>
  <c r="R38" i="26"/>
  <c r="R8" i="26"/>
  <c r="R67" i="26"/>
  <c r="K131" i="25"/>
  <c r="K206" i="25"/>
  <c r="K71" i="25"/>
  <c r="R188" i="26"/>
  <c r="K176" i="25"/>
  <c r="R128" i="26"/>
  <c r="R97" i="26"/>
  <c r="R68" i="26"/>
  <c r="R187" i="26"/>
  <c r="R37" i="26"/>
  <c r="R7" i="26"/>
  <c r="K146" i="25"/>
  <c r="R173" i="26"/>
  <c r="Q233" i="25" l="1"/>
  <c r="Q36" i="38"/>
  <c r="Q232" i="25"/>
  <c r="Q35" i="38"/>
  <c r="R7" i="38"/>
  <c r="P233" i="26"/>
  <c r="Q10" i="38"/>
  <c r="Q22" i="22"/>
  <c r="Q22" i="38"/>
  <c r="Q23" i="22"/>
  <c r="Q23" i="38"/>
  <c r="Q67" i="38" s="1"/>
  <c r="R22" i="22"/>
  <c r="R50" i="38" s="1"/>
  <c r="R22" i="38"/>
  <c r="R23" i="22"/>
  <c r="R51" i="38" s="1"/>
  <c r="R60" i="38" s="1"/>
  <c r="R23" i="38"/>
  <c r="P67" i="38"/>
  <c r="P61" i="38"/>
  <c r="P59" i="38"/>
  <c r="K44" i="25"/>
  <c r="K89" i="25"/>
  <c r="K59" i="25"/>
  <c r="K104" i="25"/>
  <c r="K179" i="25"/>
  <c r="K194" i="25"/>
  <c r="K134" i="25"/>
  <c r="K164" i="25"/>
  <c r="K119" i="25"/>
  <c r="K29" i="25"/>
  <c r="K149" i="25"/>
  <c r="K74" i="25"/>
  <c r="K209" i="25"/>
  <c r="K12" i="16"/>
  <c r="J7" i="6"/>
  <c r="K7" i="10" s="1"/>
  <c r="Q125" i="3"/>
  <c r="R21" i="3"/>
  <c r="Q116" i="3"/>
  <c r="R14" i="26"/>
  <c r="R217" i="26"/>
  <c r="R74" i="26"/>
  <c r="R89" i="26"/>
  <c r="R194" i="26"/>
  <c r="R29" i="26"/>
  <c r="R179" i="26"/>
  <c r="R164" i="26"/>
  <c r="R44" i="26"/>
  <c r="R149" i="26"/>
  <c r="R218" i="26"/>
  <c r="R119" i="26"/>
  <c r="Q14" i="26"/>
  <c r="Q217" i="26"/>
  <c r="R134" i="26"/>
  <c r="R59" i="26"/>
  <c r="R104" i="26"/>
  <c r="R209" i="26"/>
  <c r="R235" i="26"/>
  <c r="R233" i="25"/>
  <c r="R232" i="25"/>
  <c r="R234" i="26"/>
  <c r="R35" i="3"/>
  <c r="R30" i="3"/>
  <c r="Q122" i="3"/>
  <c r="Q117" i="3"/>
  <c r="R28" i="3"/>
  <c r="R29" i="3"/>
  <c r="R39" i="3"/>
  <c r="Q120" i="3"/>
  <c r="Q126" i="3"/>
  <c r="R36" i="3"/>
  <c r="R33" i="3"/>
  <c r="Q118" i="3"/>
  <c r="Q127" i="3"/>
  <c r="R40" i="3"/>
  <c r="Q121" i="3"/>
  <c r="Q21" i="22"/>
  <c r="P129" i="3"/>
  <c r="R35" i="8"/>
  <c r="R37" i="8"/>
  <c r="R30" i="8"/>
  <c r="R97" i="3"/>
  <c r="R99" i="3"/>
  <c r="R98" i="3"/>
  <c r="R108" i="3"/>
  <c r="K18" i="16"/>
  <c r="Q119" i="3"/>
  <c r="R38" i="8"/>
  <c r="R105" i="3"/>
  <c r="K10" i="16"/>
  <c r="R95" i="3"/>
  <c r="R42" i="17"/>
  <c r="R100" i="3"/>
  <c r="R104" i="3"/>
  <c r="R42" i="19"/>
  <c r="Q95" i="3"/>
  <c r="Q109" i="3" s="1"/>
  <c r="Q42" i="17"/>
  <c r="Q28" i="8"/>
  <c r="R33" i="8"/>
  <c r="Q124" i="3"/>
  <c r="R107" i="3"/>
  <c r="K13" i="16"/>
  <c r="R41" i="8"/>
  <c r="R102" i="3"/>
  <c r="K15" i="16"/>
  <c r="R31" i="3"/>
  <c r="R165" i="8"/>
  <c r="R27" i="3"/>
  <c r="R21" i="8"/>
  <c r="K20" i="16"/>
  <c r="K9" i="16"/>
  <c r="K17" i="16"/>
  <c r="Q27" i="3"/>
  <c r="Q41" i="3" s="1"/>
  <c r="Q21" i="8"/>
  <c r="R36" i="8"/>
  <c r="R34" i="8"/>
  <c r="R37" i="3"/>
  <c r="R124" i="8"/>
  <c r="R28" i="8"/>
  <c r="R34" i="3"/>
  <c r="R40" i="8"/>
  <c r="R38" i="3"/>
  <c r="K8" i="16"/>
  <c r="R39" i="8"/>
  <c r="R96" i="3"/>
  <c r="R106" i="3"/>
  <c r="K11" i="16"/>
  <c r="R32" i="3"/>
  <c r="K21" i="6"/>
  <c r="H7" i="6"/>
  <c r="H21" i="6" s="1"/>
  <c r="I21" i="6"/>
  <c r="F7" i="6"/>
  <c r="F21" i="6" s="1"/>
  <c r="G7" i="6"/>
  <c r="G21" i="6" s="1"/>
  <c r="E7" i="6"/>
  <c r="E21" i="6" s="1"/>
  <c r="R103" i="3"/>
  <c r="K19" i="16"/>
  <c r="R101" i="3"/>
  <c r="R32" i="8"/>
  <c r="K14" i="16"/>
  <c r="K16" i="16"/>
  <c r="R31" i="8"/>
  <c r="Q123" i="3"/>
  <c r="R29" i="8"/>
  <c r="K11" i="25"/>
  <c r="R127" i="3" l="1"/>
  <c r="Q235" i="26"/>
  <c r="Q51" i="38"/>
  <c r="Q60" i="38" s="1"/>
  <c r="Q7" i="38"/>
  <c r="Q234" i="26"/>
  <c r="Q50" i="38"/>
  <c r="Q20" i="22"/>
  <c r="Q48" i="38" s="1"/>
  <c r="Q20" i="38"/>
  <c r="Q233" i="26"/>
  <c r="Q49" i="38"/>
  <c r="R20" i="22"/>
  <c r="R48" i="38" s="1"/>
  <c r="R20" i="38"/>
  <c r="R21" i="22"/>
  <c r="R49" i="38" s="1"/>
  <c r="R21" i="38"/>
  <c r="R8" i="38" s="1"/>
  <c r="K28" i="10"/>
  <c r="K24" i="38" s="1"/>
  <c r="K27" i="38" s="1"/>
  <c r="K221" i="25"/>
  <c r="K224" i="25" s="1"/>
  <c r="K14" i="25"/>
  <c r="J21" i="6"/>
  <c r="R232" i="26"/>
  <c r="Q232" i="26"/>
  <c r="R233" i="26"/>
  <c r="R116" i="3"/>
  <c r="R117" i="3"/>
  <c r="R122" i="3"/>
  <c r="R120" i="3"/>
  <c r="R121" i="3"/>
  <c r="R118" i="3"/>
  <c r="R124" i="3"/>
  <c r="R126" i="3"/>
  <c r="R128" i="3"/>
  <c r="R125" i="3"/>
  <c r="R123" i="3"/>
  <c r="R41" i="3"/>
  <c r="R119" i="3"/>
  <c r="K21" i="10"/>
  <c r="K11" i="22" s="1"/>
  <c r="K39" i="38" s="1"/>
  <c r="K7" i="16"/>
  <c r="K21" i="16" s="1"/>
  <c r="R115" i="3"/>
  <c r="R42" i="8"/>
  <c r="Q115" i="3"/>
  <c r="Q129" i="3" s="1"/>
  <c r="Q42" i="8"/>
  <c r="R109" i="3"/>
  <c r="K221" i="26"/>
  <c r="K11" i="38" l="1"/>
  <c r="K14" i="38" s="1"/>
  <c r="K42" i="38"/>
  <c r="R67" i="38"/>
  <c r="Q61" i="38"/>
  <c r="Q59" i="38"/>
  <c r="R61" i="38"/>
  <c r="R59" i="38"/>
  <c r="K224" i="26"/>
  <c r="K14" i="22"/>
  <c r="K236" i="25"/>
  <c r="K239" i="25" s="1"/>
  <c r="R129" i="3"/>
  <c r="K24" i="22"/>
  <c r="K27" i="16"/>
  <c r="K236" i="26" l="1"/>
  <c r="K239" i="26" s="1"/>
  <c r="K52" i="38"/>
  <c r="K55" i="38" s="1"/>
  <c r="K27" i="22"/>
  <c r="M8" i="10" l="1"/>
  <c r="M20" i="10"/>
  <c r="M12" i="10"/>
  <c r="M14" i="10"/>
  <c r="M13" i="10"/>
  <c r="M10" i="10"/>
  <c r="M11" i="10"/>
  <c r="M18" i="10"/>
  <c r="M9" i="10"/>
  <c r="M16" i="10"/>
  <c r="M15" i="10"/>
  <c r="M19" i="10"/>
  <c r="M17" i="10"/>
  <c r="M41" i="25"/>
  <c r="M161" i="25"/>
  <c r="M26" i="25"/>
  <c r="M146" i="25"/>
  <c r="M191" i="25"/>
  <c r="M176" i="25"/>
  <c r="M86" i="25"/>
  <c r="M101" i="25"/>
  <c r="M206" i="25"/>
  <c r="M116" i="25"/>
  <c r="M71" i="25"/>
  <c r="M131" i="25"/>
  <c r="M56" i="25"/>
  <c r="M44" i="25" l="1"/>
  <c r="M194" i="25"/>
  <c r="M179" i="25"/>
  <c r="M119" i="25"/>
  <c r="M164" i="25"/>
  <c r="M134" i="25"/>
  <c r="M74" i="25"/>
  <c r="M89" i="25"/>
  <c r="M149" i="25"/>
  <c r="M59" i="25"/>
  <c r="M209" i="25"/>
  <c r="M104" i="25"/>
  <c r="M29" i="25"/>
  <c r="L8" i="6"/>
  <c r="L8" i="10" s="1"/>
  <c r="L8" i="16" s="1"/>
  <c r="L19" i="6"/>
  <c r="L19" i="10" s="1"/>
  <c r="L15" i="6"/>
  <c r="L15" i="10" s="1"/>
  <c r="L9" i="6"/>
  <c r="L9" i="10" s="1"/>
  <c r="L11" i="6"/>
  <c r="L11" i="10" s="1"/>
  <c r="L14" i="6"/>
  <c r="L14" i="10" s="1"/>
  <c r="M8" i="16"/>
  <c r="L16" i="6"/>
  <c r="L16" i="10" s="1"/>
  <c r="L18" i="6"/>
  <c r="L18" i="10" s="1"/>
  <c r="L10" i="6"/>
  <c r="L10" i="10" s="1"/>
  <c r="L20" i="6"/>
  <c r="L20" i="10" s="1"/>
  <c r="L17" i="6"/>
  <c r="L17" i="10" s="1"/>
  <c r="M7" i="10"/>
  <c r="L13" i="6"/>
  <c r="L13" i="10" s="1"/>
  <c r="L12" i="6"/>
  <c r="L12" i="10" s="1"/>
  <c r="L131" i="25"/>
  <c r="L86" i="25"/>
  <c r="L56" i="25"/>
  <c r="L71" i="25"/>
  <c r="L206" i="25"/>
  <c r="L176" i="25"/>
  <c r="L101" i="25"/>
  <c r="M11" i="25"/>
  <c r="L161" i="25"/>
  <c r="L41" i="25"/>
  <c r="L26" i="25"/>
  <c r="L191" i="25"/>
  <c r="L116" i="25"/>
  <c r="L146" i="25"/>
  <c r="L44" i="25" l="1"/>
  <c r="L149" i="25"/>
  <c r="L89" i="25"/>
  <c r="L104" i="25"/>
  <c r="L209" i="25"/>
  <c r="L134" i="25"/>
  <c r="M221" i="25"/>
  <c r="M224" i="25" s="1"/>
  <c r="M14" i="25"/>
  <c r="L119" i="25"/>
  <c r="L194" i="25"/>
  <c r="L59" i="25"/>
  <c r="L164" i="25"/>
  <c r="L179" i="25"/>
  <c r="L74" i="25"/>
  <c r="L29" i="25"/>
  <c r="M12" i="16"/>
  <c r="M13" i="16"/>
  <c r="L17" i="16"/>
  <c r="M20" i="16"/>
  <c r="L10" i="16"/>
  <c r="M18" i="16"/>
  <c r="M15" i="16"/>
  <c r="M21" i="6"/>
  <c r="M28" i="10" s="1"/>
  <c r="M24" i="38" s="1"/>
  <c r="M27" i="38" s="1"/>
  <c r="L7" i="6"/>
  <c r="L7" i="10" s="1"/>
  <c r="L16" i="16"/>
  <c r="M14" i="16"/>
  <c r="M11" i="16"/>
  <c r="M9" i="16"/>
  <c r="L19" i="16"/>
  <c r="L12" i="16"/>
  <c r="L13" i="16"/>
  <c r="M17" i="16"/>
  <c r="L20" i="16"/>
  <c r="M10" i="16"/>
  <c r="L18" i="16"/>
  <c r="L15" i="16"/>
  <c r="M16" i="16"/>
  <c r="L14" i="16"/>
  <c r="L11" i="16"/>
  <c r="L9" i="16"/>
  <c r="M19" i="16"/>
  <c r="M221" i="26"/>
  <c r="L11" i="25"/>
  <c r="M224" i="26" l="1"/>
  <c r="L221" i="25"/>
  <c r="L224" i="25" s="1"/>
  <c r="L14" i="25"/>
  <c r="Q18" i="10"/>
  <c r="Q12" i="10"/>
  <c r="O18" i="10"/>
  <c r="Q15" i="10"/>
  <c r="Q8" i="10"/>
  <c r="Q16" i="10"/>
  <c r="Q9" i="10"/>
  <c r="M21" i="10"/>
  <c r="M11" i="22" s="1"/>
  <c r="M39" i="38" s="1"/>
  <c r="M7" i="16"/>
  <c r="M21" i="16" s="1"/>
  <c r="Q14" i="10"/>
  <c r="O8" i="10"/>
  <c r="O12" i="10"/>
  <c r="O20" i="10"/>
  <c r="O10" i="10"/>
  <c r="O17" i="10"/>
  <c r="L21" i="6"/>
  <c r="L28" i="10" s="1"/>
  <c r="L24" i="38" s="1"/>
  <c r="L27" i="38" s="1"/>
  <c r="Q19" i="10"/>
  <c r="Q13" i="10"/>
  <c r="Q11" i="10"/>
  <c r="Q17" i="10"/>
  <c r="O11" i="10"/>
  <c r="Q10" i="10"/>
  <c r="O14" i="10"/>
  <c r="O9" i="10"/>
  <c r="O15" i="10"/>
  <c r="O13" i="10"/>
  <c r="M24" i="22"/>
  <c r="M27" i="16"/>
  <c r="Q20" i="10"/>
  <c r="Q191" i="25"/>
  <c r="O206" i="25"/>
  <c r="O101" i="25"/>
  <c r="Q56" i="25"/>
  <c r="Q131" i="25"/>
  <c r="O41" i="25"/>
  <c r="Q176" i="25"/>
  <c r="O176" i="25"/>
  <c r="O26" i="25"/>
  <c r="O161" i="25"/>
  <c r="L221" i="26"/>
  <c r="O56" i="25"/>
  <c r="O116" i="25"/>
  <c r="O131" i="25"/>
  <c r="Q161" i="25"/>
  <c r="Q101" i="25"/>
  <c r="Q86" i="25"/>
  <c r="Q41" i="25"/>
  <c r="Q26" i="25"/>
  <c r="Q116" i="25"/>
  <c r="Q206" i="25"/>
  <c r="Q146" i="25"/>
  <c r="O71" i="25"/>
  <c r="O86" i="25"/>
  <c r="Q71" i="25"/>
  <c r="M236" i="26" l="1"/>
  <c r="M239" i="26" s="1"/>
  <c r="M52" i="38"/>
  <c r="M55" i="38" s="1"/>
  <c r="M11" i="38"/>
  <c r="M14" i="38" s="1"/>
  <c r="M42" i="38"/>
  <c r="L224" i="26"/>
  <c r="O44" i="25"/>
  <c r="Q44" i="25"/>
  <c r="O104" i="25"/>
  <c r="Q59" i="25"/>
  <c r="O59" i="25"/>
  <c r="Q149" i="25"/>
  <c r="O134" i="25"/>
  <c r="Q194" i="25"/>
  <c r="O209" i="25"/>
  <c r="Q29" i="25"/>
  <c r="Q164" i="25"/>
  <c r="O89" i="25"/>
  <c r="Q134" i="25"/>
  <c r="Q104" i="25"/>
  <c r="Q119" i="25"/>
  <c r="Q89" i="25"/>
  <c r="Q209" i="25"/>
  <c r="O74" i="25"/>
  <c r="O119" i="25"/>
  <c r="Q74" i="25"/>
  <c r="O164" i="25"/>
  <c r="O29" i="25"/>
  <c r="O179" i="25"/>
  <c r="Q179" i="25"/>
  <c r="N16" i="6"/>
  <c r="N16" i="10" s="1"/>
  <c r="O16" i="10"/>
  <c r="O16" i="16" s="1"/>
  <c r="N19" i="6"/>
  <c r="N19" i="10" s="1"/>
  <c r="N19" i="16" s="1"/>
  <c r="O19" i="10"/>
  <c r="O19" i="16" s="1"/>
  <c r="M14" i="22"/>
  <c r="M236" i="25"/>
  <c r="M239" i="25" s="1"/>
  <c r="P19" i="6"/>
  <c r="P19" i="10" s="1"/>
  <c r="P16" i="6"/>
  <c r="O7" i="10"/>
  <c r="P9" i="6"/>
  <c r="P9" i="10" s="1"/>
  <c r="N9" i="6"/>
  <c r="N9" i="10" s="1"/>
  <c r="P11" i="6"/>
  <c r="P11" i="10" s="1"/>
  <c r="N11" i="6"/>
  <c r="N11" i="10" s="1"/>
  <c r="Q7" i="10"/>
  <c r="P15" i="6"/>
  <c r="P15" i="10" s="1"/>
  <c r="N15" i="6"/>
  <c r="N15" i="10" s="1"/>
  <c r="M27" i="22"/>
  <c r="P13" i="6"/>
  <c r="P13" i="10" s="1"/>
  <c r="N13" i="6"/>
  <c r="N13" i="10" s="1"/>
  <c r="P14" i="6"/>
  <c r="P14" i="10" s="1"/>
  <c r="N14" i="6"/>
  <c r="N14" i="10" s="1"/>
  <c r="L21" i="10"/>
  <c r="L11" i="22" s="1"/>
  <c r="L39" i="38" s="1"/>
  <c r="L7" i="16"/>
  <c r="L21" i="16" s="1"/>
  <c r="P10" i="6"/>
  <c r="P10" i="10" s="1"/>
  <c r="N10" i="6"/>
  <c r="N10" i="10" s="1"/>
  <c r="Q18" i="16"/>
  <c r="P18" i="6"/>
  <c r="P18" i="10" s="1"/>
  <c r="N18" i="6"/>
  <c r="N18" i="10" s="1"/>
  <c r="L24" i="22"/>
  <c r="L27" i="16"/>
  <c r="P17" i="6"/>
  <c r="P17" i="10" s="1"/>
  <c r="N17" i="6"/>
  <c r="N17" i="10" s="1"/>
  <c r="P20" i="6"/>
  <c r="P20" i="10" s="1"/>
  <c r="N20" i="6"/>
  <c r="N20" i="10" s="1"/>
  <c r="P12" i="6"/>
  <c r="P12" i="10" s="1"/>
  <c r="N12" i="6"/>
  <c r="N12" i="10" s="1"/>
  <c r="N16" i="16"/>
  <c r="P8" i="6"/>
  <c r="P8" i="10" s="1"/>
  <c r="N8" i="6"/>
  <c r="N8" i="10" s="1"/>
  <c r="N206" i="25"/>
  <c r="N161" i="25"/>
  <c r="N56" i="25"/>
  <c r="O191" i="25"/>
  <c r="N26" i="25"/>
  <c r="N116" i="25"/>
  <c r="P206" i="25"/>
  <c r="P191" i="25"/>
  <c r="P56" i="25"/>
  <c r="P71" i="25"/>
  <c r="N101" i="25"/>
  <c r="N191" i="25"/>
  <c r="Q11" i="25"/>
  <c r="N71" i="25"/>
  <c r="P26" i="25"/>
  <c r="P101" i="25"/>
  <c r="O146" i="25"/>
  <c r="N146" i="25"/>
  <c r="N131" i="25"/>
  <c r="P161" i="25"/>
  <c r="P176" i="25"/>
  <c r="O11" i="25"/>
  <c r="P86" i="25"/>
  <c r="P41" i="25"/>
  <c r="N176" i="25"/>
  <c r="P116" i="25"/>
  <c r="P131" i="25"/>
  <c r="N41" i="25"/>
  <c r="N86" i="25"/>
  <c r="L11" i="38" l="1"/>
  <c r="L14" i="38" s="1"/>
  <c r="L42" i="38"/>
  <c r="L236" i="26"/>
  <c r="L239" i="26" s="1"/>
  <c r="L52" i="38"/>
  <c r="L55" i="38" s="1"/>
  <c r="N44" i="25"/>
  <c r="P44" i="25"/>
  <c r="Q221" i="25"/>
  <c r="Q224" i="25" s="1"/>
  <c r="Q14" i="25"/>
  <c r="N89" i="25"/>
  <c r="N119" i="25"/>
  <c r="P194" i="25"/>
  <c r="N29" i="25"/>
  <c r="P89" i="25"/>
  <c r="P164" i="25"/>
  <c r="N179" i="25"/>
  <c r="P59" i="25"/>
  <c r="P119" i="25"/>
  <c r="N134" i="25"/>
  <c r="N74" i="25"/>
  <c r="O221" i="25"/>
  <c r="O224" i="25" s="1"/>
  <c r="O14" i="25"/>
  <c r="O149" i="25"/>
  <c r="P209" i="25"/>
  <c r="P104" i="25"/>
  <c r="O194" i="25"/>
  <c r="N164" i="25"/>
  <c r="N59" i="25"/>
  <c r="N194" i="25"/>
  <c r="P29" i="25"/>
  <c r="N209" i="25"/>
  <c r="P179" i="25"/>
  <c r="N104" i="25"/>
  <c r="P134" i="25"/>
  <c r="P74" i="25"/>
  <c r="N149" i="25"/>
  <c r="P16" i="10"/>
  <c r="P16" i="16" s="1"/>
  <c r="L14" i="22"/>
  <c r="L236" i="25"/>
  <c r="L239" i="25" s="1"/>
  <c r="R16" i="6"/>
  <c r="R11" i="6"/>
  <c r="R20" i="6"/>
  <c r="R9" i="6"/>
  <c r="R19" i="6"/>
  <c r="P19" i="16"/>
  <c r="R15" i="6"/>
  <c r="R12" i="6"/>
  <c r="R10" i="6"/>
  <c r="Q12" i="16"/>
  <c r="N12" i="16"/>
  <c r="O20" i="16"/>
  <c r="O17" i="16"/>
  <c r="N18" i="16"/>
  <c r="Q15" i="16"/>
  <c r="N10" i="16"/>
  <c r="Q17" i="16"/>
  <c r="N13" i="16"/>
  <c r="R8" i="6"/>
  <c r="R8" i="10" s="1"/>
  <c r="Q13" i="16"/>
  <c r="N9" i="16"/>
  <c r="P7" i="6"/>
  <c r="O21" i="6"/>
  <c r="O28" i="10" s="1"/>
  <c r="O24" i="38" s="1"/>
  <c r="O27" i="38" s="1"/>
  <c r="N7" i="6"/>
  <c r="N7" i="10" s="1"/>
  <c r="N8" i="16"/>
  <c r="P12" i="16"/>
  <c r="P20" i="16"/>
  <c r="Q11" i="16"/>
  <c r="O18" i="16"/>
  <c r="P10" i="16"/>
  <c r="Q19" i="16"/>
  <c r="N14" i="16"/>
  <c r="P13" i="16"/>
  <c r="N15" i="16"/>
  <c r="Q8" i="16"/>
  <c r="Q21" i="6"/>
  <c r="Q28" i="10" s="1"/>
  <c r="Q24" i="38" s="1"/>
  <c r="Q27" i="38" s="1"/>
  <c r="N11" i="16"/>
  <c r="P9" i="16"/>
  <c r="O8" i="16"/>
  <c r="Q20" i="16"/>
  <c r="O12" i="16"/>
  <c r="N17" i="16"/>
  <c r="L27" i="22"/>
  <c r="R18" i="6"/>
  <c r="R18" i="10" s="1"/>
  <c r="Q9" i="16"/>
  <c r="O10" i="16"/>
  <c r="O14" i="16"/>
  <c r="O13" i="16"/>
  <c r="P15" i="16"/>
  <c r="R14" i="6"/>
  <c r="R14" i="10" s="1"/>
  <c r="P11" i="16"/>
  <c r="O9" i="16"/>
  <c r="P8" i="16"/>
  <c r="Q16" i="16"/>
  <c r="N20" i="16"/>
  <c r="P17" i="16"/>
  <c r="Q10" i="16"/>
  <c r="R17" i="6"/>
  <c r="R17" i="10" s="1"/>
  <c r="P14" i="16"/>
  <c r="O15" i="16"/>
  <c r="Q14" i="16"/>
  <c r="R13" i="6"/>
  <c r="R13" i="10" s="1"/>
  <c r="O11" i="16"/>
  <c r="R101" i="25"/>
  <c r="R176" i="25"/>
  <c r="R26" i="25"/>
  <c r="R161" i="25"/>
  <c r="P146" i="25"/>
  <c r="R116" i="25"/>
  <c r="O221" i="26"/>
  <c r="Q221" i="26"/>
  <c r="N11" i="25"/>
  <c r="O224" i="26" l="1"/>
  <c r="Q224" i="26"/>
  <c r="R29" i="25"/>
  <c r="R179" i="25"/>
  <c r="N221" i="25"/>
  <c r="N224" i="25" s="1"/>
  <c r="N14" i="25"/>
  <c r="R104" i="25"/>
  <c r="R164" i="25"/>
  <c r="R119" i="25"/>
  <c r="P149" i="25"/>
  <c r="R19" i="10"/>
  <c r="R19" i="16" s="1"/>
  <c r="R12" i="10"/>
  <c r="R15" i="10"/>
  <c r="R20" i="10"/>
  <c r="R10" i="10"/>
  <c r="R16" i="10"/>
  <c r="R9" i="10"/>
  <c r="R7" i="6"/>
  <c r="R7" i="10" s="1"/>
  <c r="P7" i="10"/>
  <c r="R11" i="10"/>
  <c r="R11" i="16" s="1"/>
  <c r="R13" i="16"/>
  <c r="R17" i="16"/>
  <c r="Q21" i="10"/>
  <c r="Q11" i="22" s="1"/>
  <c r="Q39" i="38" s="1"/>
  <c r="Q7" i="16"/>
  <c r="Q21" i="16" s="1"/>
  <c r="O24" i="22"/>
  <c r="O27" i="16"/>
  <c r="R18" i="16"/>
  <c r="Q24" i="22"/>
  <c r="Q27" i="16"/>
  <c r="P21" i="6"/>
  <c r="P28" i="10" s="1"/>
  <c r="P24" i="38" s="1"/>
  <c r="P27" i="38" s="1"/>
  <c r="R8" i="16"/>
  <c r="R14" i="16"/>
  <c r="P18" i="16"/>
  <c r="O21" i="10"/>
  <c r="O11" i="22" s="1"/>
  <c r="O39" i="38" s="1"/>
  <c r="O7" i="16"/>
  <c r="O21" i="16" s="1"/>
  <c r="R21" i="6"/>
  <c r="R28" i="10" s="1"/>
  <c r="R24" i="38" s="1"/>
  <c r="R27" i="38" s="1"/>
  <c r="N21" i="6"/>
  <c r="N28" i="10" s="1"/>
  <c r="N24" i="38" s="1"/>
  <c r="N27" i="38" s="1"/>
  <c r="R41" i="25"/>
  <c r="R71" i="25"/>
  <c r="N221" i="26"/>
  <c r="R86" i="25"/>
  <c r="R56" i="25"/>
  <c r="P11" i="25"/>
  <c r="R11" i="25"/>
  <c r="P221" i="26"/>
  <c r="R221" i="26"/>
  <c r="R206" i="25"/>
  <c r="R146" i="25"/>
  <c r="R131" i="25"/>
  <c r="R191" i="25"/>
  <c r="Q236" i="26" l="1"/>
  <c r="Q239" i="26" s="1"/>
  <c r="Q52" i="38"/>
  <c r="Q55" i="38" s="1"/>
  <c r="O11" i="38"/>
  <c r="O14" i="38" s="1"/>
  <c r="O42" i="38"/>
  <c r="Q11" i="38"/>
  <c r="Q14" i="38" s="1"/>
  <c r="Q42" i="38"/>
  <c r="O236" i="26"/>
  <c r="O239" i="26" s="1"/>
  <c r="O52" i="38"/>
  <c r="O55" i="38" s="1"/>
  <c r="R224" i="26"/>
  <c r="P224" i="26"/>
  <c r="N224" i="26"/>
  <c r="R44" i="25"/>
  <c r="P221" i="25"/>
  <c r="P224" i="25" s="1"/>
  <c r="P14" i="25"/>
  <c r="R149" i="25"/>
  <c r="R209" i="25"/>
  <c r="R89" i="25"/>
  <c r="R74" i="25"/>
  <c r="R59" i="25"/>
  <c r="R134" i="25"/>
  <c r="R194" i="25"/>
  <c r="R221" i="25"/>
  <c r="R224" i="25" s="1"/>
  <c r="R14" i="25"/>
  <c r="R9" i="16"/>
  <c r="R10" i="16"/>
  <c r="R15" i="16"/>
  <c r="R16" i="16"/>
  <c r="R20" i="16"/>
  <c r="R12" i="16"/>
  <c r="Q14" i="22"/>
  <c r="Q236" i="25"/>
  <c r="Q239" i="25" s="1"/>
  <c r="O14" i="22"/>
  <c r="O236" i="25"/>
  <c r="O239" i="25" s="1"/>
  <c r="N24" i="22"/>
  <c r="N27" i="16"/>
  <c r="Q27" i="22"/>
  <c r="N21" i="10"/>
  <c r="N11" i="22" s="1"/>
  <c r="N39" i="38" s="1"/>
  <c r="N7" i="16"/>
  <c r="N21" i="16" s="1"/>
  <c r="P24" i="22"/>
  <c r="P27" i="16"/>
  <c r="R24" i="22"/>
  <c r="R27" i="16"/>
  <c r="P21" i="10"/>
  <c r="P11" i="22" s="1"/>
  <c r="P39" i="38" s="1"/>
  <c r="P7" i="16"/>
  <c r="P21" i="16" s="1"/>
  <c r="R21" i="10"/>
  <c r="R11" i="22" s="1"/>
  <c r="R39" i="38" s="1"/>
  <c r="R7" i="16"/>
  <c r="O27" i="22"/>
  <c r="P236" i="26" l="1"/>
  <c r="P239" i="26" s="1"/>
  <c r="P52" i="38"/>
  <c r="P55" i="38" s="1"/>
  <c r="N11" i="38"/>
  <c r="N14" i="38" s="1"/>
  <c r="N42" i="38"/>
  <c r="R236" i="26"/>
  <c r="R239" i="26" s="1"/>
  <c r="R52" i="38"/>
  <c r="R55" i="38" s="1"/>
  <c r="R11" i="38"/>
  <c r="R14" i="38" s="1"/>
  <c r="R42" i="38"/>
  <c r="P11" i="38"/>
  <c r="P14" i="38" s="1"/>
  <c r="P42" i="38"/>
  <c r="N236" i="26"/>
  <c r="N239" i="26" s="1"/>
  <c r="N52" i="38"/>
  <c r="N55" i="38" s="1"/>
  <c r="R21" i="16"/>
  <c r="R14" i="22"/>
  <c r="R236" i="25"/>
  <c r="R239" i="25" s="1"/>
  <c r="N14" i="22"/>
  <c r="N236" i="25"/>
  <c r="N239" i="25" s="1"/>
  <c r="P14" i="22"/>
  <c r="P236" i="25"/>
  <c r="P239" i="25" s="1"/>
  <c r="P27" i="22"/>
  <c r="R27" i="22"/>
  <c r="N27" i="22"/>
</calcChain>
</file>

<file path=xl/sharedStrings.xml><?xml version="1.0" encoding="utf-8"?>
<sst xmlns="http://schemas.openxmlformats.org/spreadsheetml/2006/main" count="5362" uniqueCount="191">
  <si>
    <t>Northland</t>
  </si>
  <si>
    <t>Auckland</t>
  </si>
  <si>
    <t>Waikato</t>
  </si>
  <si>
    <t>Bay of Plenty</t>
  </si>
  <si>
    <t>Gisborne</t>
  </si>
  <si>
    <t>Hawke’s Bay</t>
  </si>
  <si>
    <t>Taranaki</t>
  </si>
  <si>
    <t>Manawatu</t>
  </si>
  <si>
    <t>Wellington</t>
  </si>
  <si>
    <t>TNM</t>
  </si>
  <si>
    <t>West Coast</t>
  </si>
  <si>
    <t>Canterbury</t>
  </si>
  <si>
    <t>Otago</t>
  </si>
  <si>
    <t>Southland</t>
  </si>
  <si>
    <t>Million VKTs</t>
  </si>
  <si>
    <t>Converged?</t>
  </si>
  <si>
    <t>Current Multiplier</t>
  </si>
  <si>
    <t>Recommended Multiplier</t>
  </si>
  <si>
    <t>Note: Values in row 24 will always turn to "YES" immediately after the row paste.</t>
  </si>
  <si>
    <t>To converge the model, start by setting row 22 and column J to 1.0's.</t>
  </si>
  <si>
    <t>Desired Total - All Regions</t>
  </si>
  <si>
    <r>
      <t xml:space="preserve">Desired Total - All Vehicles </t>
    </r>
    <r>
      <rPr>
        <sz val="12"/>
        <color rgb="FF000000"/>
        <rFont val="Calibri"/>
        <family val="2"/>
      </rPr>
      <t xml:space="preserve"> </t>
    </r>
  </si>
  <si>
    <t>Actual Total - All Vehicles</t>
  </si>
  <si>
    <t>Actual Total - All Regions</t>
  </si>
  <si>
    <t>Total - All Regions</t>
  </si>
  <si>
    <t>2012/13</t>
  </si>
  <si>
    <t>2017/18</t>
  </si>
  <si>
    <t>2022/23</t>
  </si>
  <si>
    <t>2027/28</t>
  </si>
  <si>
    <t>2032/33</t>
  </si>
  <si>
    <t>2037/38</t>
  </si>
  <si>
    <t>2042/43</t>
  </si>
  <si>
    <t>Projected</t>
  </si>
  <si>
    <t xml:space="preserve">National Freight Demand Study - Billion Tonne-KM </t>
  </si>
  <si>
    <t xml:space="preserve">Projected Public Transport Bus Million Passenger-KM </t>
  </si>
  <si>
    <t xml:space="preserve">Total - Check </t>
  </si>
  <si>
    <t>Assumed Annual Growth Rate:</t>
  </si>
  <si>
    <t>2013/14</t>
  </si>
  <si>
    <t>2014/15</t>
  </si>
  <si>
    <t>Actual</t>
  </si>
  <si>
    <t>Check: Should Be Zero</t>
  </si>
  <si>
    <t>Total Household Light Vehicle Driver Person-KM (Millions)</t>
  </si>
  <si>
    <t>Motorcycle</t>
  </si>
  <si>
    <t>Heavy Truck</t>
  </si>
  <si>
    <t>Heavy Bus</t>
  </si>
  <si>
    <t>Total - All Vehicles</t>
  </si>
  <si>
    <t>Number of Vehicles</t>
  </si>
  <si>
    <t>Vehicle Kilometres Travelled (Millions)</t>
  </si>
  <si>
    <t>All Vehicle Types - Number of Vehicles</t>
  </si>
  <si>
    <t>All Vehicle Types - Vehicle Kilometres Travelled (Millions)</t>
  </si>
  <si>
    <t>Household Light Vehicles - Vehicle Kilometres Travelled (Millions)</t>
  </si>
  <si>
    <t>Heavy Truck - Vehicle Kilometres Travelled (Millions)</t>
  </si>
  <si>
    <t>Heavy Bus - Vehicle Kilometres Travelled (Millions)</t>
  </si>
  <si>
    <t>All Light Vehicles - Number of Vehicles</t>
  </si>
  <si>
    <t>Heavy Truck - Number of Vehicles</t>
  </si>
  <si>
    <t>Heavy Bus - Number of Vehicles</t>
  </si>
  <si>
    <t>Motorcycle - Number of Vehicles</t>
  </si>
  <si>
    <t>Motorcycle - Vehicle Kilometres Travelled (Millions)</t>
  </si>
  <si>
    <t>Household Car+SUV - Vehicle Kilometres Travelled (Millions)</t>
  </si>
  <si>
    <t>Household Van+Ute - Vehicle Kilometres Travelled (Millions)</t>
  </si>
  <si>
    <t>Household Light Vehicles - Number of Vehicles</t>
  </si>
  <si>
    <t>Household Car+SUV - Number of Vehicles</t>
  </si>
  <si>
    <t>Household Van+Ute - Number of Vehicles</t>
  </si>
  <si>
    <t>Household Motorcycles - Vehicle Kilometres Travelled</t>
  </si>
  <si>
    <t>More below</t>
  </si>
  <si>
    <t>Sum of Above--Should be 100%</t>
  </si>
  <si>
    <t>Assumed Growth of Overseas Tourism as Measured by Total Visitor Days</t>
  </si>
  <si>
    <t>Check: 2012/13 Household Light Driver Person-KM/Light Vehicle VKT:</t>
  </si>
  <si>
    <t>2014/15 Fraction Household VKT -- Cars+SUVs:</t>
  </si>
  <si>
    <t>2014/15 Fraction Household VKT--Vans+Utes:</t>
  </si>
  <si>
    <t>2014/15 Fraction Household Vehicles -- Cars+SUVs:</t>
  </si>
  <si>
    <t>2014/15 Fraction Household Vehicles--Vans+Utes:</t>
  </si>
  <si>
    <t>Check: 2012/13 Household Light Vehicles/Light Vehicles:</t>
  </si>
  <si>
    <t>Van+Ute</t>
  </si>
  <si>
    <t>Car+SUV</t>
  </si>
  <si>
    <r>
      <t>Heavy Truck</t>
    </r>
    <r>
      <rPr>
        <sz val="12"/>
        <color rgb="FF000000"/>
        <rFont val="Calibri"/>
        <family val="2"/>
      </rPr>
      <t xml:space="preserve"> </t>
    </r>
  </si>
  <si>
    <r>
      <t>Heavy Bus</t>
    </r>
    <r>
      <rPr>
        <sz val="12"/>
        <color rgb="FF000000"/>
        <rFont val="Calibri"/>
        <family val="2"/>
      </rPr>
      <t xml:space="preserve"> </t>
    </r>
  </si>
  <si>
    <r>
      <t>Motorcycle</t>
    </r>
    <r>
      <rPr>
        <sz val="12"/>
        <color rgb="FF000000"/>
        <rFont val="Calibri"/>
        <family val="2"/>
      </rPr>
      <t xml:space="preserve"> </t>
    </r>
  </si>
  <si>
    <t>NZTA 2014/15 PT Bus Kilometres (1)</t>
  </si>
  <si>
    <t>(1)</t>
  </si>
  <si>
    <t>As per e-mail from Nick Hunter as NZTA to Stuart Badger dated 29 February 2016</t>
  </si>
  <si>
    <t>Estimated 2014/15 All Bus Kilometres</t>
  </si>
  <si>
    <t>Ratio 2014/15 PT Bus to All Bus Kilometres</t>
  </si>
  <si>
    <t xml:space="preserve">http://www.transport.govt.nz/ourwork/tmif/transport-volume/tv020/   </t>
  </si>
  <si>
    <t>(2)</t>
  </si>
  <si>
    <t>NZTA Bus Passenger Boardings 2012/13 (Millions) (2)</t>
  </si>
  <si>
    <t>excludes school services</t>
  </si>
  <si>
    <t>Household Travel Survey 2012/13 PT Bus  Passenger Boardings (Millions) (3)</t>
  </si>
  <si>
    <t>(3)</t>
  </si>
  <si>
    <t>MoT tabulation, includes school services</t>
  </si>
  <si>
    <t>Assumed Fraction of Heavy Bus VKT That Is Public Transport</t>
  </si>
  <si>
    <t>Calculation of Assumed Fraction of Heavy Bus VKT That Is Public Transport</t>
  </si>
  <si>
    <t>Assumed Fraction of Heavy Bus VKT That Is Public Transport w/50% Cap Except in Wellington</t>
  </si>
  <si>
    <t xml:space="preserve">Heavy Truck </t>
  </si>
  <si>
    <t xml:space="preserve">Heavy Bus </t>
  </si>
  <si>
    <t xml:space="preserve">Motorcycle </t>
  </si>
  <si>
    <t>Check - All Regions</t>
  </si>
  <si>
    <t>Region Missing</t>
  </si>
  <si>
    <t>Actual Total + Missing</t>
  </si>
  <si>
    <t>Check - Actual Total + Missing</t>
  </si>
  <si>
    <t>Motorcycle Number of Vehicles Data Reconcilliation</t>
  </si>
  <si>
    <t>Adjustment Factor</t>
  </si>
  <si>
    <t>Bus Number of Vehicles Data Reconcilliation</t>
  </si>
  <si>
    <t>Check - Van + Ute - Vehicle Kilometres Travelled (Millions)</t>
  </si>
  <si>
    <t>Check - Car + SUV - Vehicle Kilometres Travelled (Millions)</t>
  </si>
  <si>
    <t>Household Car+SUV Number of Vehicles Data Reconcilliation</t>
  </si>
  <si>
    <t>Household Van+Ute Number of Vehicles Data Reconcilliation</t>
  </si>
  <si>
    <t>Index of Tonnes per Truckload</t>
  </si>
  <si>
    <t>NA</t>
  </si>
  <si>
    <t>Total Household Taxi/Vehicle Share Person-KM (Millions)</t>
  </si>
  <si>
    <t>Assumed Fraction ofTaxi/Vehicle Share VKT That Is Household:</t>
  </si>
  <si>
    <t>Assumed Fraction ofTaxi/Vehicle Share VKT That Is Tourist:</t>
  </si>
  <si>
    <t>Assumed Fraction ofTaxi/Vehicle Share VKT That Is Commercial:</t>
  </si>
  <si>
    <t>Car+SUV excluding Taxi/Vehicle Share</t>
  </si>
  <si>
    <t>Van+Ute excluding Taxi/Vehicle Share</t>
  </si>
  <si>
    <t>Car+SUV Taxi/Vehicle Share only</t>
  </si>
  <si>
    <t>Van+Ute Taxi/Vehicle Share only</t>
  </si>
  <si>
    <t>Commercially-Owned Light Vehicles Excluding Taxi/Vehicle Share - Vehicle Kilometres Travelled (Millions)</t>
  </si>
  <si>
    <t>Commercially-Owned Light Vehicles Excluding Taxi/Vehicle Share - Number of Vehicles</t>
  </si>
  <si>
    <t>Taxi/Vehicle Share Light Vehicles - Number of Vehicles</t>
  </si>
  <si>
    <t>Taxi/Vehicle Share Light Vehicles - Vehicle Kilometres Travelled (Millions)</t>
  </si>
  <si>
    <t>Commercially-Owned Car+SUV Excluding Taxi/Vehicle Share - Number of Vehicles</t>
  </si>
  <si>
    <t>Taxi/Vehicle Share Car+SUV - Vehicle Kilometres Travelled (Millions)</t>
  </si>
  <si>
    <t>Taxi/Vehicle Share Car+SUV - Number of Vehicles</t>
  </si>
  <si>
    <t>Commercially-Owned Car+SUV Excluding Taxi/Vehicle Share - Vehicle Kilometres Travelled (Millions)</t>
  </si>
  <si>
    <t>Commercially-Owned Van+Ute Excluding Taxi/Vehicle Share - Number of Vehicles</t>
  </si>
  <si>
    <t>Taxi/Vehicle Share Van+Ute - Vehicle Kilometres Travelled (Millions)</t>
  </si>
  <si>
    <t>Taxi/Vehicle Share Van+Ute - Number of Vehicles</t>
  </si>
  <si>
    <t>Commercially-Owned Van+Ute Excluding Taxi/Vehicle Share - Vehicle Kilometres Travelled (Millions)</t>
  </si>
  <si>
    <t>Commercially-Owned Van+Ute Excluding Taxi/Vehicle Share Number of Vehicles Data Reconcilliation</t>
  </si>
  <si>
    <t>Taxi/Vehicle Share Van+Ute Number of Vehicles Data Reconcilliation</t>
  </si>
  <si>
    <t>Commercially-Owned Car+SUV Excluding Taxi/Vehicle Share Number of Vehicles Data Reconcilliation</t>
  </si>
  <si>
    <t>Taxi/Vehicle Share Car+SUV Number of Vehicles Data Reconcilliation</t>
  </si>
  <si>
    <t>All Household Light Vehicles After Diversion to Taxi/Vehicle Sharing - Number of Vehicles</t>
  </si>
  <si>
    <t>Assumed Percentage Share of Household Vehicles in Scenario With No Diversion to Taxi/Vehicle Sharing Diverted in This Scenario</t>
  </si>
  <si>
    <t>Assumed Percentage Share of Commercial Vehicles in Scenario With No Diversion to Taxi/Vehicle Sharing Diverted in This Scenario</t>
  </si>
  <si>
    <t>Commercially-Owned Car+SUV Excluding Taxi/Vehicle Share in Scenario Without Diversion - Vehicle Kilometres Travelled (Millions)</t>
  </si>
  <si>
    <t>Commercially-Owned Van+Ute Excluding Taxi/Vehicle Share in Scenario Without Diversion - Vehicle Kilometres Travelled (Millions)</t>
  </si>
  <si>
    <t>Assume Household Car+SUV occupancy is as per Household Travel Model projection?</t>
  </si>
  <si>
    <t>Assume Household Van+Ute occupancy is as per Household Travel Model projection?</t>
  </si>
  <si>
    <t xml:space="preserve">Assume Taxi/Vehicle Share occupancy is the same as light vehicles in the Household Travel Model </t>
  </si>
  <si>
    <t>Household Light Vehicle Occupancy as per Household Travel Model</t>
  </si>
  <si>
    <t>Check: Should Be Zero If Household Travel Survey Vehicle Occupancies Used</t>
  </si>
  <si>
    <t>Diverted Household Taxi/Vehicle Share Person-KM (Millions)</t>
  </si>
  <si>
    <t>Traditional Taxi Household Taxi/Vehicle Share Person-KM (Millions)</t>
  </si>
  <si>
    <t>Diverted Household Taxi/Vehicle Share Vehicle Kilometres Travelled (Millions)</t>
  </si>
  <si>
    <t>Total Household Light Vehicle Passenger Person-KM (Millions)</t>
  </si>
  <si>
    <t>Actual Taxi/Vehicle Share Occupancy Used in Model</t>
  </si>
  <si>
    <t>Diverted Commercial Taxi/Vehicle Share Car+SUV Vehicle Kilometres Travelled (Millions)</t>
  </si>
  <si>
    <t>Traditional Household Taxi/Vehicle Share Growth in Vehicle Kilometres Travelled (Millions)</t>
  </si>
  <si>
    <t>Traditional Tourist Taxi/Vehicle Share Growth in Vehicle Kilometres Travelled (Millions)</t>
  </si>
  <si>
    <t>Traditional Commercial Taxi/Vehicle Share Growth in Vehicle Kilometres Travelled (Millions)</t>
  </si>
  <si>
    <t>Diverted Commercial Taxi/Vehicle Share Van+Ute Vehicle Kilometres Travelled (Millions)</t>
  </si>
  <si>
    <t>below amounts indicated by the Household Travel Survey, to account for the fact that Household Travel Survey travel by private light vehicles</t>
  </si>
  <si>
    <t>is this amount larger than indicated by vehicle register odometer statistics; this is always done for private light vehicles to assure consistency</t>
  </si>
  <si>
    <t>of VKTs shown here with vehicle register statistics</t>
  </si>
  <si>
    <t>Assumed Taxi/Vehicle Share Occupancy - Not Used Unless Yellow</t>
  </si>
  <si>
    <t>Adjustment Factor for Household Travel Survey VKT Indicating Less than Vehicle Register VKT</t>
  </si>
  <si>
    <t>All Light Vehicles including Taxi/Vehicle Share - Vehicle Kilometres Travelled (Millions)</t>
  </si>
  <si>
    <t>All Light Vehicles - Number of Vehicles including Taxi/Vehicle Share</t>
  </si>
  <si>
    <t>Car+SUV including Taxi/Vehicle Share - Vehicle Kilometres Travelled (Millions)</t>
  </si>
  <si>
    <t>Car+SUV including Taxi/Vehicle Share - Number of Vehicles</t>
  </si>
  <si>
    <t>Van+Ute including Taxi/Vehicle Share - Vehicle Kilometres Travelled (Millions)</t>
  </si>
  <si>
    <t>Van+Ute inlcuding Taxi/Vehicle Share - Number of Vehicles</t>
  </si>
  <si>
    <t>Assumed Household Car+SUV Occupancy - Not Used Unless Yellow</t>
  </si>
  <si>
    <t>Assumed Household Van+Ute Occupancy - Not Used Unless Yellow</t>
  </si>
  <si>
    <t>In estimating household travel diverted from private light vehicles to taxi/vehicle share, reduce the taxi/vehicle share VKTs by an average of  ---&gt;</t>
  </si>
  <si>
    <t>Note: Assumes 0.5% per year growth, as per estimate of Stuart Badger.</t>
  </si>
  <si>
    <t>All Household Light Vehicles in Scenario Without Diversion to Taxi/Vehicle Sharing - Number of Vehicles -  Original Values</t>
  </si>
  <si>
    <t>All Household Light Vehicles in Scenario Without Diversion to Taxi/Vehicle Sharing - Number of Vehicles - Updated Values</t>
  </si>
  <si>
    <t>&lt;-- Enter Region Number Here in N-S Order</t>
  </si>
  <si>
    <t>Total</t>
  </si>
  <si>
    <t>Check: Total Above - Summary (Should Be Zero)</t>
  </si>
  <si>
    <t>This workbook was copied from X:\Transport Outlook\Scenarios\base\Model Results\2018 Model Update\VKT and Vehicle Numbers Model base 20180510.xlsx</t>
  </si>
  <si>
    <t>2047/48</t>
  </si>
  <si>
    <t>2052/53</t>
  </si>
  <si>
    <t>2057/58</t>
  </si>
  <si>
    <t>2015/16</t>
  </si>
  <si>
    <t>2016/17</t>
  </si>
  <si>
    <r>
      <t xml:space="preserve">Desired Total - All Vehicles </t>
    </r>
    <r>
      <rPr>
        <b/>
        <sz val="12"/>
        <color rgb="FF000000"/>
        <rFont val="Calibri"/>
        <family val="2"/>
      </rPr>
      <t xml:space="preserve"> (1)</t>
    </r>
  </si>
  <si>
    <t>(1) See e-mail from Amin Kianpisheh at NZTA to Ralph Samuelson dated 30 January 2019</t>
  </si>
  <si>
    <r>
      <t>Then successively copy and paste special the</t>
    </r>
    <r>
      <rPr>
        <b/>
        <i/>
        <sz val="10"/>
        <color theme="1"/>
        <rFont val="Arial"/>
        <family val="2"/>
      </rPr>
      <t xml:space="preserve"> values</t>
    </r>
    <r>
      <rPr>
        <i/>
        <sz val="10"/>
        <color theme="1"/>
        <rFont val="Arial"/>
        <family val="2"/>
      </rPr>
      <t xml:space="preserve"> (not the formulas!) in row 23 into row 22 and</t>
    </r>
    <r>
      <rPr>
        <b/>
        <i/>
        <sz val="10"/>
        <color theme="1"/>
        <rFont val="Arial"/>
        <family val="2"/>
      </rPr>
      <t xml:space="preserve"> values</t>
    </r>
    <r>
      <rPr>
        <i/>
        <sz val="10"/>
        <color theme="1"/>
        <rFont val="Arial"/>
        <family val="2"/>
      </rPr>
      <t xml:space="preserve"> in column k into column j until all values in row 24 turn to "YES" after the column paste.</t>
    </r>
  </si>
  <si>
    <t xml:space="preserve">Actual </t>
  </si>
  <si>
    <t>2018/19</t>
  </si>
  <si>
    <t>Initial results</t>
  </si>
  <si>
    <t>Average of 2012-2019</t>
  </si>
  <si>
    <t>All Van+Ute</t>
  </si>
  <si>
    <t>Adjusting VKT for LCV (Van+Ute)</t>
  </si>
  <si>
    <t>Annual VKT per vehicle - Initial</t>
  </si>
  <si>
    <t>Annual VKT per vehicle - Adjusted</t>
  </si>
  <si>
    <t>Keep this unchanged in future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</si>
</sst>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0.0%"/>
    <numFmt numFmtId="167" formatCode="#,##0.0"/>
    <numFmt numFmtId="168" formatCode="0.0"/>
  </numFmts>
  <fonts count="12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rgb="FF000000"/>
      <name val="Calibri"/>
      <family val="2"/>
    </font>
    <font>
      <sz val="11"/>
      <color theme="1"/>
      <name val="Arial"/>
      <family val="2"/>
    </font>
    <font>
      <sz val="10"/>
      <color theme="0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22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horizontal="left" vertical="top" wrapText="1" readingOrder="1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0" fontId="5" fillId="0" borderId="0" xfId="0" applyFont="1"/>
    <xf numFmtId="0" fontId="1" fillId="2" borderId="7" xfId="0" applyFont="1" applyFill="1" applyBorder="1"/>
    <xf numFmtId="165" fontId="0" fillId="0" borderId="7" xfId="0" applyNumberFormat="1" applyBorder="1"/>
    <xf numFmtId="0" fontId="0" fillId="0" borderId="7" xfId="0" applyBorder="1"/>
    <xf numFmtId="165" fontId="0" fillId="0" borderId="8" xfId="0" applyNumberFormat="1" applyBorder="1"/>
    <xf numFmtId="0" fontId="0" fillId="0" borderId="8" xfId="0" applyBorder="1"/>
    <xf numFmtId="165" fontId="0" fillId="0" borderId="9" xfId="0" applyNumberFormat="1" applyBorder="1"/>
    <xf numFmtId="0" fontId="0" fillId="0" borderId="9" xfId="0" applyBorder="1"/>
    <xf numFmtId="165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0" xfId="0" applyFont="1"/>
    <xf numFmtId="0" fontId="1" fillId="2" borderId="4" xfId="0" applyFont="1" applyFill="1" applyBorder="1" applyAlignment="1">
      <alignment wrapText="1"/>
    </xf>
    <xf numFmtId="165" fontId="0" fillId="0" borderId="13" xfId="0" applyNumberFormat="1" applyBorder="1"/>
    <xf numFmtId="0" fontId="2" fillId="0" borderId="8" xfId="0" applyFont="1" applyBorder="1" applyAlignment="1">
      <alignment horizontal="left" vertical="top" wrapText="1" readingOrder="1"/>
    </xf>
    <xf numFmtId="0" fontId="1" fillId="2" borderId="14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5" xfId="0" applyFont="1" applyFill="1" applyBorder="1"/>
    <xf numFmtId="0" fontId="1" fillId="2" borderId="12" xfId="0" applyFont="1" applyFill="1" applyBorder="1"/>
    <xf numFmtId="165" fontId="0" fillId="0" borderId="16" xfId="0" applyNumberFormat="1" applyBorder="1"/>
    <xf numFmtId="165" fontId="0" fillId="0" borderId="17" xfId="0" applyNumberFormat="1" applyBorder="1"/>
    <xf numFmtId="0" fontId="2" fillId="0" borderId="7" xfId="0" applyFont="1" applyBorder="1" applyAlignment="1">
      <alignment horizontal="left" vertical="top" wrapText="1" readingOrder="1"/>
    </xf>
    <xf numFmtId="0" fontId="1" fillId="2" borderId="7" xfId="0" applyFont="1" applyFill="1" applyBorder="1" applyAlignment="1">
      <alignment wrapText="1"/>
    </xf>
    <xf numFmtId="0" fontId="1" fillId="0" borderId="11" xfId="0" applyFont="1" applyBorder="1"/>
    <xf numFmtId="0" fontId="4" fillId="0" borderId="19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1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3" fontId="0" fillId="0" borderId="11" xfId="0" applyNumberFormat="1" applyBorder="1"/>
    <xf numFmtId="3" fontId="0" fillId="0" borderId="19" xfId="0" applyNumberFormat="1" applyBorder="1"/>
    <xf numFmtId="3" fontId="0" fillId="0" borderId="20" xfId="0" applyNumberFormat="1" applyBorder="1"/>
    <xf numFmtId="3" fontId="0" fillId="0" borderId="12" xfId="0" applyNumberFormat="1" applyBorder="1"/>
    <xf numFmtId="3" fontId="0" fillId="0" borderId="0" xfId="0" applyNumberFormat="1" applyBorder="1"/>
    <xf numFmtId="3" fontId="0" fillId="0" borderId="17" xfId="0" applyNumberFormat="1" applyBorder="1"/>
    <xf numFmtId="3" fontId="0" fillId="0" borderId="21" xfId="0" applyNumberFormat="1" applyBorder="1"/>
    <xf numFmtId="3" fontId="0" fillId="0" borderId="18" xfId="0" applyNumberFormat="1" applyBorder="1"/>
    <xf numFmtId="3" fontId="0" fillId="0" borderId="22" xfId="0" applyNumberFormat="1" applyBorder="1"/>
    <xf numFmtId="3" fontId="0" fillId="0" borderId="23" xfId="0" applyNumberFormat="1" applyBorder="1"/>
    <xf numFmtId="3" fontId="0" fillId="0" borderId="24" xfId="0" applyNumberFormat="1" applyBorder="1"/>
    <xf numFmtId="0" fontId="1" fillId="2" borderId="0" xfId="0" applyFont="1" applyFill="1" applyBorder="1"/>
    <xf numFmtId="166" fontId="0" fillId="0" borderId="0" xfId="0" applyNumberFormat="1"/>
    <xf numFmtId="167" fontId="0" fillId="0" borderId="11" xfId="0" applyNumberFormat="1" applyBorder="1"/>
    <xf numFmtId="167" fontId="0" fillId="0" borderId="19" xfId="0" applyNumberFormat="1" applyBorder="1"/>
    <xf numFmtId="167" fontId="0" fillId="0" borderId="20" xfId="0" applyNumberFormat="1" applyBorder="1"/>
    <xf numFmtId="167" fontId="0" fillId="0" borderId="12" xfId="0" applyNumberFormat="1" applyBorder="1"/>
    <xf numFmtId="167" fontId="0" fillId="0" borderId="0" xfId="0" applyNumberFormat="1" applyBorder="1"/>
    <xf numFmtId="167" fontId="0" fillId="0" borderId="17" xfId="0" applyNumberFormat="1" applyBorder="1"/>
    <xf numFmtId="167" fontId="0" fillId="0" borderId="21" xfId="0" applyNumberFormat="1" applyBorder="1"/>
    <xf numFmtId="167" fontId="0" fillId="0" borderId="18" xfId="0" applyNumberFormat="1" applyBorder="1"/>
    <xf numFmtId="167" fontId="0" fillId="0" borderId="22" xfId="0" applyNumberFormat="1" applyBorder="1"/>
    <xf numFmtId="167" fontId="0" fillId="0" borderId="13" xfId="0" applyNumberFormat="1" applyBorder="1"/>
    <xf numFmtId="167" fontId="0" fillId="0" borderId="23" xfId="0" applyNumberFormat="1" applyBorder="1"/>
    <xf numFmtId="167" fontId="0" fillId="0" borderId="24" xfId="0" applyNumberFormat="1" applyBorder="1"/>
    <xf numFmtId="0" fontId="1" fillId="2" borderId="25" xfId="0" applyFont="1" applyFill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6" fontId="0" fillId="0" borderId="11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0" fontId="0" fillId="0" borderId="25" xfId="0" applyBorder="1"/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0" xfId="0" applyFill="1" applyBorder="1"/>
    <xf numFmtId="9" fontId="0" fillId="0" borderId="7" xfId="0" applyNumberFormat="1" applyBorder="1"/>
    <xf numFmtId="3" fontId="0" fillId="0" borderId="25" xfId="0" applyNumberFormat="1" applyBorder="1"/>
    <xf numFmtId="2" fontId="0" fillId="0" borderId="21" xfId="0" applyNumberFormat="1" applyBorder="1"/>
    <xf numFmtId="2" fontId="0" fillId="0" borderId="18" xfId="0" applyNumberFormat="1" applyBorder="1"/>
    <xf numFmtId="2" fontId="0" fillId="0" borderId="22" xfId="0" applyNumberFormat="1" applyBorder="1"/>
    <xf numFmtId="2" fontId="0" fillId="0" borderId="11" xfId="0" applyNumberFormat="1" applyBorder="1"/>
    <xf numFmtId="2" fontId="0" fillId="0" borderId="19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168" fontId="0" fillId="0" borderId="11" xfId="0" applyNumberFormat="1" applyBorder="1"/>
    <xf numFmtId="168" fontId="0" fillId="0" borderId="19" xfId="0" applyNumberFormat="1" applyBorder="1"/>
    <xf numFmtId="168" fontId="0" fillId="0" borderId="20" xfId="0" applyNumberFormat="1" applyBorder="1"/>
    <xf numFmtId="168" fontId="0" fillId="0" borderId="12" xfId="0" applyNumberFormat="1" applyBorder="1"/>
    <xf numFmtId="168" fontId="0" fillId="0" borderId="0" xfId="0" applyNumberFormat="1" applyBorder="1"/>
    <xf numFmtId="168" fontId="0" fillId="0" borderId="21" xfId="0" applyNumberFormat="1" applyBorder="1"/>
    <xf numFmtId="168" fontId="0" fillId="0" borderId="18" xfId="0" applyNumberFormat="1" applyBorder="1"/>
    <xf numFmtId="168" fontId="0" fillId="0" borderId="13" xfId="0" applyNumberFormat="1" applyBorder="1"/>
    <xf numFmtId="168" fontId="0" fillId="0" borderId="23" xfId="0" applyNumberFormat="1" applyBorder="1"/>
    <xf numFmtId="168" fontId="0" fillId="0" borderId="24" xfId="0" applyNumberFormat="1" applyBorder="1"/>
    <xf numFmtId="168" fontId="0" fillId="0" borderId="26" xfId="0" applyNumberFormat="1" applyBorder="1"/>
    <xf numFmtId="0" fontId="4" fillId="0" borderId="20" xfId="0" applyFont="1" applyBorder="1" applyAlignment="1">
      <alignment horizontal="center"/>
    </xf>
    <xf numFmtId="1" fontId="0" fillId="0" borderId="0" xfId="0" applyNumberFormat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22" xfId="0" applyNumberFormat="1" applyBorder="1"/>
    <xf numFmtId="1" fontId="0" fillId="0" borderId="23" xfId="0" applyNumberFormat="1" applyBorder="1"/>
    <xf numFmtId="1" fontId="0" fillId="0" borderId="24" xfId="0" applyNumberFormat="1" applyBorder="1"/>
    <xf numFmtId="1" fontId="0" fillId="0" borderId="25" xfId="0" applyNumberFormat="1" applyBorder="1"/>
    <xf numFmtId="0" fontId="0" fillId="0" borderId="0" xfId="0" quotePrefix="1"/>
    <xf numFmtId="0" fontId="8" fillId="0" borderId="0" xfId="2" applyAlignment="1" applyProtection="1"/>
    <xf numFmtId="0" fontId="0" fillId="0" borderId="18" xfId="0" applyBorder="1"/>
    <xf numFmtId="0" fontId="4" fillId="0" borderId="23" xfId="0" applyFont="1" applyBorder="1" applyAlignment="1">
      <alignment wrapText="1"/>
    </xf>
    <xf numFmtId="0" fontId="4" fillId="0" borderId="24" xfId="0" applyFont="1" applyBorder="1" applyAlignment="1">
      <alignment wrapText="1"/>
    </xf>
    <xf numFmtId="164" fontId="0" fillId="0" borderId="0" xfId="1" applyFont="1"/>
    <xf numFmtId="0" fontId="1" fillId="0" borderId="25" xfId="0" applyFont="1" applyBorder="1"/>
    <xf numFmtId="0" fontId="0" fillId="0" borderId="23" xfId="0" applyBorder="1"/>
    <xf numFmtId="0" fontId="0" fillId="0" borderId="24" xfId="0" applyBorder="1"/>
    <xf numFmtId="164" fontId="0" fillId="0" borderId="23" xfId="1" applyFont="1" applyBorder="1"/>
    <xf numFmtId="164" fontId="0" fillId="0" borderId="24" xfId="1" applyFont="1" applyBorder="1"/>
    <xf numFmtId="9" fontId="0" fillId="0" borderId="0" xfId="0" applyNumberFormat="1" applyBorder="1"/>
    <xf numFmtId="9" fontId="0" fillId="0" borderId="19" xfId="0" applyNumberFormat="1" applyBorder="1"/>
    <xf numFmtId="0" fontId="0" fillId="0" borderId="22" xfId="0" applyBorder="1"/>
    <xf numFmtId="9" fontId="4" fillId="0" borderId="20" xfId="0" applyNumberFormat="1" applyFont="1" applyBorder="1"/>
    <xf numFmtId="9" fontId="4" fillId="0" borderId="17" xfId="0" applyNumberFormat="1" applyFont="1" applyBorder="1"/>
    <xf numFmtId="0" fontId="0" fillId="0" borderId="0" xfId="0" applyBorder="1"/>
    <xf numFmtId="0" fontId="4" fillId="0" borderId="25" xfId="0" applyFont="1" applyBorder="1" applyAlignment="1">
      <alignment horizontal="center"/>
    </xf>
    <xf numFmtId="0" fontId="1" fillId="2" borderId="9" xfId="0" applyFont="1" applyFill="1" applyBorder="1" applyAlignment="1">
      <alignment wrapText="1"/>
    </xf>
    <xf numFmtId="4" fontId="0" fillId="0" borderId="25" xfId="0" applyNumberFormat="1" applyBorder="1"/>
    <xf numFmtId="4" fontId="0" fillId="0" borderId="23" xfId="0" applyNumberFormat="1" applyBorder="1"/>
    <xf numFmtId="4" fontId="0" fillId="0" borderId="24" xfId="0" applyNumberFormat="1" applyBorder="1"/>
    <xf numFmtId="0" fontId="4" fillId="0" borderId="20" xfId="0" applyFont="1" applyBorder="1"/>
    <xf numFmtId="0" fontId="1" fillId="0" borderId="0" xfId="0" applyFont="1" applyFill="1" applyBorder="1"/>
    <xf numFmtId="167" fontId="0" fillId="0" borderId="19" xfId="0" applyNumberFormat="1" applyFill="1" applyBorder="1"/>
    <xf numFmtId="0" fontId="1" fillId="0" borderId="19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" fontId="0" fillId="0" borderId="0" xfId="0" applyNumberFormat="1"/>
    <xf numFmtId="167" fontId="0" fillId="0" borderId="25" xfId="0" applyNumberFormat="1" applyBorder="1"/>
    <xf numFmtId="0" fontId="2" fillId="0" borderId="27" xfId="0" applyFont="1" applyBorder="1" applyAlignment="1">
      <alignment horizontal="left" vertical="top" wrapText="1" readingOrder="1"/>
    </xf>
    <xf numFmtId="165" fontId="0" fillId="0" borderId="11" xfId="0" applyNumberFormat="1" applyBorder="1"/>
    <xf numFmtId="165" fontId="0" fillId="0" borderId="12" xfId="0" applyNumberFormat="1" applyBorder="1"/>
    <xf numFmtId="165" fontId="0" fillId="0" borderId="21" xfId="0" applyNumberFormat="1" applyBorder="1"/>
    <xf numFmtId="165" fontId="0" fillId="0" borderId="25" xfId="0" applyNumberFormat="1" applyBorder="1"/>
    <xf numFmtId="0" fontId="2" fillId="0" borderId="28" xfId="0" applyFont="1" applyBorder="1" applyAlignment="1">
      <alignment horizontal="left" vertical="top" wrapText="1" readingOrder="1"/>
    </xf>
    <xf numFmtId="165" fontId="0" fillId="0" borderId="20" xfId="0" applyNumberFormat="1" applyBorder="1"/>
    <xf numFmtId="165" fontId="0" fillId="0" borderId="22" xfId="0" applyNumberFormat="1" applyBorder="1"/>
    <xf numFmtId="165" fontId="0" fillId="0" borderId="29" xfId="0" applyNumberFormat="1" applyBorder="1"/>
    <xf numFmtId="165" fontId="0" fillId="0" borderId="24" xfId="0" applyNumberFormat="1" applyBorder="1"/>
    <xf numFmtId="0" fontId="1" fillId="2" borderId="25" xfId="0" applyFont="1" applyFill="1" applyBorder="1"/>
    <xf numFmtId="3" fontId="0" fillId="0" borderId="0" xfId="0" applyNumberFormat="1"/>
    <xf numFmtId="4" fontId="0" fillId="3" borderId="23" xfId="0" applyNumberFormat="1" applyFill="1" applyBorder="1"/>
    <xf numFmtId="4" fontId="0" fillId="3" borderId="24" xfId="0" applyNumberFormat="1" applyFill="1" applyBorder="1"/>
    <xf numFmtId="9" fontId="0" fillId="3" borderId="7" xfId="0" applyNumberFormat="1" applyFill="1" applyBorder="1"/>
    <xf numFmtId="166" fontId="0" fillId="0" borderId="12" xfId="0" applyNumberFormat="1" applyBorder="1"/>
    <xf numFmtId="166" fontId="0" fillId="0" borderId="0" xfId="0" applyNumberFormat="1" applyBorder="1"/>
    <xf numFmtId="166" fontId="0" fillId="0" borderId="21" xfId="0" applyNumberFormat="1" applyBorder="1"/>
    <xf numFmtId="166" fontId="0" fillId="0" borderId="18" xfId="0" applyNumberFormat="1" applyBorder="1"/>
    <xf numFmtId="4" fontId="0" fillId="0" borderId="11" xfId="0" applyNumberFormat="1" applyBorder="1"/>
    <xf numFmtId="0" fontId="1" fillId="0" borderId="19" xfId="0" applyFont="1" applyFill="1" applyBorder="1"/>
    <xf numFmtId="4" fontId="0" fillId="0" borderId="19" xfId="0" applyNumberFormat="1" applyFill="1" applyBorder="1"/>
    <xf numFmtId="4" fontId="0" fillId="0" borderId="19" xfId="0" applyNumberFormat="1" applyBorder="1"/>
    <xf numFmtId="4" fontId="0" fillId="0" borderId="20" xfId="0" applyNumberFormat="1" applyBorder="1"/>
    <xf numFmtId="4" fontId="0" fillId="0" borderId="12" xfId="0" applyNumberFormat="1" applyBorder="1"/>
    <xf numFmtId="4" fontId="0" fillId="0" borderId="0" xfId="0" applyNumberFormat="1" applyBorder="1"/>
    <xf numFmtId="4" fontId="0" fillId="0" borderId="17" xfId="0" applyNumberFormat="1" applyBorder="1"/>
    <xf numFmtId="4" fontId="0" fillId="0" borderId="21" xfId="0" applyNumberFormat="1" applyBorder="1"/>
    <xf numFmtId="4" fontId="0" fillId="0" borderId="18" xfId="0" applyNumberFormat="1" applyBorder="1"/>
    <xf numFmtId="4" fontId="0" fillId="0" borderId="22" xfId="0" applyNumberFormat="1" applyBorder="1"/>
    <xf numFmtId="2" fontId="0" fillId="0" borderId="19" xfId="0" applyNumberFormat="1" applyFill="1" applyBorder="1"/>
    <xf numFmtId="2" fontId="0" fillId="0" borderId="0" xfId="0" applyNumberFormat="1" applyFill="1" applyBorder="1"/>
    <xf numFmtId="2" fontId="0" fillId="0" borderId="18" xfId="0" applyNumberFormat="1" applyFill="1" applyBorder="1"/>
    <xf numFmtId="167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166" fontId="0" fillId="0" borderId="0" xfId="0" applyNumberFormat="1" applyFill="1" applyBorder="1"/>
    <xf numFmtId="0" fontId="1" fillId="0" borderId="18" xfId="0" applyFont="1" applyFill="1" applyBorder="1"/>
    <xf numFmtId="167" fontId="0" fillId="0" borderId="18" xfId="0" applyNumberFormat="1" applyFill="1" applyBorder="1"/>
    <xf numFmtId="167" fontId="0" fillId="0" borderId="0" xfId="0" applyNumberFormat="1"/>
    <xf numFmtId="168" fontId="0" fillId="0" borderId="19" xfId="0" applyNumberFormat="1" applyFill="1" applyBorder="1"/>
    <xf numFmtId="0" fontId="0" fillId="3" borderId="0" xfId="0" applyFill="1"/>
    <xf numFmtId="0" fontId="4" fillId="0" borderId="12" xfId="0" applyFont="1" applyBorder="1" applyAlignment="1">
      <alignment horizontal="center"/>
    </xf>
    <xf numFmtId="0" fontId="0" fillId="0" borderId="0" xfId="0" applyFill="1"/>
    <xf numFmtId="166" fontId="4" fillId="0" borderId="0" xfId="0" applyNumberFormat="1" applyFont="1" applyAlignment="1">
      <alignment horizontal="left"/>
    </xf>
    <xf numFmtId="166" fontId="0" fillId="0" borderId="19" xfId="0" applyNumberFormat="1" applyFill="1" applyBorder="1"/>
    <xf numFmtId="166" fontId="0" fillId="0" borderId="18" xfId="0" applyNumberFormat="1" applyFill="1" applyBorder="1"/>
    <xf numFmtId="0" fontId="1" fillId="0" borderId="0" xfId="0" applyFont="1" applyBorder="1"/>
    <xf numFmtId="0" fontId="4" fillId="0" borderId="0" xfId="0" applyFont="1" applyBorder="1"/>
    <xf numFmtId="0" fontId="4" fillId="0" borderId="7" xfId="0" applyFont="1" applyBorder="1"/>
    <xf numFmtId="3" fontId="4" fillId="0" borderId="19" xfId="0" applyNumberFormat="1" applyFont="1" applyBorder="1" applyAlignment="1">
      <alignment horizontal="center"/>
    </xf>
    <xf numFmtId="3" fontId="4" fillId="0" borderId="18" xfId="0" applyNumberFormat="1" applyFont="1" applyBorder="1" applyAlignment="1">
      <alignment horizontal="center"/>
    </xf>
    <xf numFmtId="3" fontId="4" fillId="0" borderId="23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0" fillId="0" borderId="12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13" xfId="0" applyNumberFormat="1" applyBorder="1"/>
    <xf numFmtId="3" fontId="4" fillId="0" borderId="7" xfId="0" applyNumberFormat="1" applyFont="1" applyBorder="1"/>
    <xf numFmtId="0" fontId="0" fillId="0" borderId="0" xfId="0" applyAlignment="1">
      <alignment horizontal="left" indent="13"/>
    </xf>
    <xf numFmtId="166" fontId="0" fillId="0" borderId="17" xfId="0" applyNumberFormat="1" applyBorder="1"/>
    <xf numFmtId="166" fontId="0" fillId="0" borderId="22" xfId="0" applyNumberFormat="1" applyBorder="1"/>
    <xf numFmtId="3" fontId="0" fillId="0" borderId="17" xfId="0" applyNumberFormat="1" applyBorder="1" applyAlignment="1">
      <alignment horizontal="right"/>
    </xf>
    <xf numFmtId="0" fontId="4" fillId="0" borderId="19" xfId="0" applyFont="1" applyBorder="1"/>
    <xf numFmtId="1" fontId="0" fillId="0" borderId="20" xfId="0" applyNumberFormat="1" applyBorder="1"/>
    <xf numFmtId="167" fontId="0" fillId="0" borderId="20" xfId="0" applyNumberFormat="1" applyFill="1" applyBorder="1"/>
    <xf numFmtId="167" fontId="0" fillId="0" borderId="17" xfId="0" applyNumberFormat="1" applyFill="1" applyBorder="1"/>
    <xf numFmtId="167" fontId="0" fillId="0" borderId="22" xfId="0" applyNumberFormat="1" applyFill="1" applyBorder="1"/>
    <xf numFmtId="167" fontId="0" fillId="0" borderId="23" xfId="0" applyNumberFormat="1" applyFill="1" applyBorder="1"/>
    <xf numFmtId="167" fontId="0" fillId="0" borderId="24" xfId="0" applyNumberFormat="1" applyFill="1" applyBorder="1"/>
    <xf numFmtId="3" fontId="0" fillId="0" borderId="0" xfId="0" applyNumberFormat="1" applyFill="1" applyBorder="1"/>
    <xf numFmtId="3" fontId="0" fillId="0" borderId="18" xfId="0" applyNumberFormat="1" applyFill="1" applyBorder="1"/>
    <xf numFmtId="4" fontId="0" fillId="0" borderId="20" xfId="0" applyNumberFormat="1" applyFill="1" applyBorder="1"/>
    <xf numFmtId="4" fontId="0" fillId="0" borderId="0" xfId="0" applyNumberFormat="1" applyFill="1" applyBorder="1"/>
    <xf numFmtId="4" fontId="0" fillId="0" borderId="17" xfId="0" applyNumberFormat="1" applyFill="1" applyBorder="1"/>
    <xf numFmtId="4" fontId="0" fillId="0" borderId="18" xfId="0" applyNumberFormat="1" applyFill="1" applyBorder="1"/>
    <xf numFmtId="4" fontId="0" fillId="0" borderId="22" xfId="0" applyNumberFormat="1" applyFill="1" applyBorder="1"/>
    <xf numFmtId="3" fontId="0" fillId="0" borderId="19" xfId="0" applyNumberFormat="1" applyFill="1" applyBorder="1"/>
    <xf numFmtId="1" fontId="0" fillId="0" borderId="19" xfId="0" applyNumberFormat="1" applyBorder="1"/>
    <xf numFmtId="166" fontId="0" fillId="0" borderId="24" xfId="0" applyNumberFormat="1" applyFont="1" applyBorder="1"/>
    <xf numFmtId="0" fontId="10" fillId="0" borderId="0" xfId="0" applyFont="1"/>
    <xf numFmtId="2" fontId="11" fillId="0" borderId="11" xfId="0" applyNumberFormat="1" applyFont="1" applyBorder="1"/>
    <xf numFmtId="2" fontId="11" fillId="0" borderId="19" xfId="0" applyNumberFormat="1" applyFont="1" applyBorder="1"/>
    <xf numFmtId="2" fontId="11" fillId="0" borderId="12" xfId="0" applyNumberFormat="1" applyFont="1" applyBorder="1"/>
    <xf numFmtId="2" fontId="11" fillId="0" borderId="0" xfId="0" applyNumberFormat="1" applyFont="1" applyBorder="1"/>
    <xf numFmtId="2" fontId="11" fillId="0" borderId="21" xfId="0" applyNumberFormat="1" applyFont="1" applyBorder="1"/>
    <xf numFmtId="2" fontId="11" fillId="0" borderId="18" xfId="0" applyNumberFormat="1" applyFont="1" applyBorder="1"/>
    <xf numFmtId="3" fontId="0" fillId="3" borderId="0" xfId="0" applyNumberFormat="1" applyFill="1" applyBorder="1"/>
    <xf numFmtId="0" fontId="1" fillId="0" borderId="0" xfId="0" applyFont="1"/>
    <xf numFmtId="167" fontId="0" fillId="0" borderId="26" xfId="0" applyNumberFormat="1" applyBorder="1"/>
    <xf numFmtId="3" fontId="4" fillId="3" borderId="0" xfId="0" applyNumberFormat="1" applyFont="1" applyFill="1"/>
    <xf numFmtId="0" fontId="1" fillId="3" borderId="0" xfId="0" applyFont="1" applyFill="1"/>
    <xf numFmtId="0" fontId="1" fillId="0" borderId="25" xfId="0" applyFont="1" applyBorder="1" applyAlignment="1">
      <alignment wrapText="1"/>
    </xf>
    <xf numFmtId="0" fontId="0" fillId="0" borderId="23" xfId="0" applyBorder="1" applyAlignment="1">
      <alignment wrapText="1"/>
    </xf>
    <xf numFmtId="0" fontId="1" fillId="0" borderId="11" xfId="0" applyFont="1" applyBorder="1" applyAlignment="1">
      <alignment wrapText="1"/>
    </xf>
    <xf numFmtId="0" fontId="0" fillId="0" borderId="19" xfId="0" applyBorder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externalLink" Target="externalLinks/externalLink9.xml"/><Relationship Id="rId47" Type="http://schemas.openxmlformats.org/officeDocument/2006/relationships/externalLink" Target="externalLinks/externalLink14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4.xml"/><Relationship Id="rId40" Type="http://schemas.openxmlformats.org/officeDocument/2006/relationships/externalLink" Target="externalLinks/externalLink7.xml"/><Relationship Id="rId45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1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43" Type="http://schemas.openxmlformats.org/officeDocument/2006/relationships/externalLink" Target="externalLinks/externalLink10.xml"/><Relationship Id="rId48" Type="http://schemas.openxmlformats.org/officeDocument/2006/relationships/externalLink" Target="externalLinks/externalLink15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5.xml"/><Relationship Id="rId46" Type="http://schemas.openxmlformats.org/officeDocument/2006/relationships/externalLink" Target="externalLinks/externalLink13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314325</xdr:colOff>
      <xdr:row>42</xdr:row>
      <xdr:rowOff>0</xdr:rowOff>
    </xdr:from>
    <xdr:to>
      <xdr:col>24</xdr:col>
      <xdr:colOff>314325</xdr:colOff>
      <xdr:row>43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>
          <a:off x="14716125" y="8039100"/>
          <a:ext cx="0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266700</xdr:colOff>
      <xdr:row>42</xdr:row>
      <xdr:rowOff>0</xdr:rowOff>
    </xdr:from>
    <xdr:to>
      <xdr:col>20</xdr:col>
      <xdr:colOff>266700</xdr:colOff>
      <xdr:row>43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17106900" y="8258175"/>
          <a:ext cx="0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42</xdr:row>
      <xdr:rowOff>0</xdr:rowOff>
    </xdr:from>
    <xdr:to>
      <xdr:col>20</xdr:col>
      <xdr:colOff>266700</xdr:colOff>
      <xdr:row>43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>
          <a:off x="14668500" y="8039100"/>
          <a:ext cx="0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Transport%20Outlook/VFEM_2/Fleets/12_13%20flee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Transport%20Outlook/Version%203%20Models%20(2020)/Base/trip_summary_region_postprocess%20-%20Version%203%20base%20-%20202004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Transport%20Outlook/Scenarios/base/Model%20Results/vehicle_summary_region_tables%20base%202016101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Transport%20Outlook/Version%203%20Models%20(2020)/Base/Population%20and%20GDP%20Updated%20-%20Version%203%20base%20-%202020102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Transport%20Outlook/Scenarios/base/Assumptions/Population%20and%20GDP%20base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Transport%20Outlook/Scenarios/base/Model%20Results/vehicle_summary_tables%20base%20201610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Transport%20Outlook/Version%203%20Models%20(2020)/Base/Road%20Freight%20TonneKM%20by%20Region%20Version%202%20Base%2020201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Transport%20Outlook/VFEM_2/Fleets/13_14%20fle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Transport%20Outlook/VFEM_2/Fleets/14_15%20flee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Transport%20Outlook/VKT%20and%20Vehicle%20Numbers%20Modelling/15_16%20fleet%20VFEM_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Transport%20Outlook/VFEM_3/Fleets/16_17%20fleet_v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Transport%20Outlook/VFEM_3/Fleets/17_18%20fleet_v3%20(202009_exclude%20others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Transport%20Outlook/VFEM_3/Fleets/18_19%20fleet_v3%20(202009_exclude%20others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Transport%20Outlook/VKT%20and%20Vehicle%20Numbers%20Modelling/RAMM%20Data%20by%20Region%202018102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Transport%20Outlook/VKT%20and%20Vehicle%20Numbers%20Modelling/NZTA%20RAMM-based%20VKT%20till%202019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_13 fleet"/>
    </sheetNames>
    <sheetDataSet>
      <sheetData sheetId="0">
        <row r="8">
          <cell r="D8">
            <v>114</v>
          </cell>
        </row>
        <row r="9">
          <cell r="D9">
            <v>351</v>
          </cell>
        </row>
        <row r="10">
          <cell r="D10">
            <v>2015</v>
          </cell>
        </row>
        <row r="11">
          <cell r="D11">
            <v>536</v>
          </cell>
        </row>
        <row r="12">
          <cell r="D12">
            <v>539</v>
          </cell>
        </row>
        <row r="13">
          <cell r="D13">
            <v>71</v>
          </cell>
        </row>
        <row r="14">
          <cell r="D14">
            <v>259</v>
          </cell>
        </row>
        <row r="15">
          <cell r="D15">
            <v>104</v>
          </cell>
        </row>
        <row r="16">
          <cell r="D16">
            <v>320</v>
          </cell>
        </row>
        <row r="17">
          <cell r="D17">
            <v>666</v>
          </cell>
        </row>
        <row r="18">
          <cell r="D18">
            <v>236</v>
          </cell>
        </row>
        <row r="19">
          <cell r="D19">
            <v>91</v>
          </cell>
        </row>
        <row r="20">
          <cell r="D20">
            <v>1208</v>
          </cell>
        </row>
        <row r="21">
          <cell r="D21">
            <v>473</v>
          </cell>
        </row>
        <row r="22">
          <cell r="D22">
            <v>300</v>
          </cell>
        </row>
        <row r="23">
          <cell r="D23">
            <v>47</v>
          </cell>
        </row>
        <row r="24">
          <cell r="D24">
            <v>104</v>
          </cell>
        </row>
        <row r="25">
          <cell r="D25">
            <v>243</v>
          </cell>
        </row>
        <row r="26">
          <cell r="D26">
            <v>182</v>
          </cell>
        </row>
        <row r="27">
          <cell r="D27">
            <v>167</v>
          </cell>
        </row>
        <row r="28">
          <cell r="D28">
            <v>28</v>
          </cell>
        </row>
        <row r="29">
          <cell r="D29">
            <v>56</v>
          </cell>
        </row>
        <row r="30">
          <cell r="D30">
            <v>75</v>
          </cell>
        </row>
        <row r="31">
          <cell r="D31">
            <v>104</v>
          </cell>
        </row>
        <row r="32">
          <cell r="D32">
            <v>47</v>
          </cell>
        </row>
        <row r="33">
          <cell r="D33">
            <v>79</v>
          </cell>
        </row>
        <row r="34">
          <cell r="D34">
            <v>43</v>
          </cell>
        </row>
        <row r="35">
          <cell r="D35">
            <v>350</v>
          </cell>
        </row>
        <row r="36">
          <cell r="D36">
            <v>86</v>
          </cell>
        </row>
        <row r="37">
          <cell r="D37">
            <v>80</v>
          </cell>
        </row>
        <row r="38">
          <cell r="D38">
            <v>1</v>
          </cell>
        </row>
        <row r="39">
          <cell r="D39">
            <v>46</v>
          </cell>
        </row>
        <row r="40">
          <cell r="D40">
            <v>521</v>
          </cell>
        </row>
        <row r="41">
          <cell r="D41">
            <v>160</v>
          </cell>
        </row>
        <row r="42">
          <cell r="D42">
            <v>119</v>
          </cell>
        </row>
        <row r="43">
          <cell r="D43">
            <v>5</v>
          </cell>
        </row>
        <row r="44">
          <cell r="D44">
            <v>49</v>
          </cell>
        </row>
        <row r="45">
          <cell r="D45">
            <v>18</v>
          </cell>
        </row>
        <row r="46">
          <cell r="D46">
            <v>38</v>
          </cell>
        </row>
        <row r="47">
          <cell r="D47">
            <v>142</v>
          </cell>
        </row>
        <row r="48">
          <cell r="D48">
            <v>54</v>
          </cell>
        </row>
        <row r="49">
          <cell r="D49">
            <v>18</v>
          </cell>
        </row>
        <row r="50">
          <cell r="D50">
            <v>259</v>
          </cell>
        </row>
        <row r="51">
          <cell r="D51">
            <v>161</v>
          </cell>
        </row>
        <row r="52">
          <cell r="D52">
            <v>30</v>
          </cell>
        </row>
        <row r="53">
          <cell r="D53">
            <v>1</v>
          </cell>
        </row>
        <row r="54">
          <cell r="D54">
            <v>77</v>
          </cell>
        </row>
        <row r="55">
          <cell r="D55">
            <v>3068</v>
          </cell>
        </row>
        <row r="56">
          <cell r="D56">
            <v>182</v>
          </cell>
        </row>
        <row r="57">
          <cell r="D57">
            <v>197</v>
          </cell>
        </row>
        <row r="58">
          <cell r="D58">
            <v>36</v>
          </cell>
        </row>
        <row r="59">
          <cell r="D59">
            <v>124</v>
          </cell>
        </row>
        <row r="60">
          <cell r="D60">
            <v>65</v>
          </cell>
        </row>
        <row r="61">
          <cell r="D61">
            <v>118</v>
          </cell>
        </row>
        <row r="62">
          <cell r="D62">
            <v>1164</v>
          </cell>
        </row>
        <row r="63">
          <cell r="D63">
            <v>112</v>
          </cell>
        </row>
        <row r="64">
          <cell r="D64">
            <v>11</v>
          </cell>
        </row>
        <row r="65">
          <cell r="D65">
            <v>654</v>
          </cell>
        </row>
        <row r="66">
          <cell r="D66">
            <v>317</v>
          </cell>
        </row>
        <row r="67">
          <cell r="D67">
            <v>66</v>
          </cell>
        </row>
        <row r="68">
          <cell r="D68">
            <v>293</v>
          </cell>
        </row>
        <row r="69">
          <cell r="D69">
            <v>7061</v>
          </cell>
        </row>
        <row r="70">
          <cell r="D70">
            <v>110571</v>
          </cell>
        </row>
        <row r="71">
          <cell r="D71">
            <v>23370</v>
          </cell>
        </row>
        <row r="72">
          <cell r="D72">
            <v>17278</v>
          </cell>
        </row>
        <row r="73">
          <cell r="D73">
            <v>1781</v>
          </cell>
        </row>
        <row r="74">
          <cell r="D74">
            <v>8433</v>
          </cell>
        </row>
        <row r="75">
          <cell r="D75">
            <v>5336</v>
          </cell>
        </row>
        <row r="76">
          <cell r="D76">
            <v>11554</v>
          </cell>
        </row>
        <row r="77">
          <cell r="D77">
            <v>25024</v>
          </cell>
        </row>
        <row r="78">
          <cell r="D78">
            <v>9654</v>
          </cell>
        </row>
        <row r="79">
          <cell r="D79">
            <v>1776</v>
          </cell>
        </row>
        <row r="80">
          <cell r="D80">
            <v>45401</v>
          </cell>
        </row>
        <row r="81">
          <cell r="D81">
            <v>12828</v>
          </cell>
        </row>
        <row r="82">
          <cell r="D82">
            <v>5194</v>
          </cell>
        </row>
        <row r="83">
          <cell r="D83">
            <v>11221</v>
          </cell>
        </row>
        <row r="84">
          <cell r="D84">
            <v>84138</v>
          </cell>
        </row>
        <row r="85">
          <cell r="D85">
            <v>786563</v>
          </cell>
        </row>
        <row r="86">
          <cell r="D86">
            <v>228927</v>
          </cell>
        </row>
        <row r="87">
          <cell r="D87">
            <v>172318</v>
          </cell>
        </row>
        <row r="88">
          <cell r="D88">
            <v>21206</v>
          </cell>
        </row>
        <row r="89">
          <cell r="D89">
            <v>84757</v>
          </cell>
        </row>
        <row r="90">
          <cell r="D90">
            <v>63736</v>
          </cell>
        </row>
        <row r="91">
          <cell r="D91">
            <v>126973</v>
          </cell>
        </row>
        <row r="92">
          <cell r="D92">
            <v>242478</v>
          </cell>
        </row>
        <row r="93">
          <cell r="D93">
            <v>88059</v>
          </cell>
        </row>
        <row r="94">
          <cell r="D94">
            <v>18321</v>
          </cell>
        </row>
        <row r="95">
          <cell r="D95">
            <v>369174</v>
          </cell>
        </row>
        <row r="96">
          <cell r="D96">
            <v>110232</v>
          </cell>
        </row>
        <row r="97">
          <cell r="D97">
            <v>60587</v>
          </cell>
        </row>
        <row r="98">
          <cell r="D98">
            <v>209</v>
          </cell>
        </row>
        <row r="99">
          <cell r="D99">
            <v>105</v>
          </cell>
        </row>
        <row r="100">
          <cell r="D100">
            <v>1585</v>
          </cell>
        </row>
        <row r="101">
          <cell r="D101">
            <v>489</v>
          </cell>
        </row>
        <row r="102">
          <cell r="D102">
            <v>383</v>
          </cell>
        </row>
        <row r="103">
          <cell r="D103">
            <v>45</v>
          </cell>
        </row>
        <row r="104">
          <cell r="D104">
            <v>163</v>
          </cell>
        </row>
        <row r="105">
          <cell r="D105">
            <v>206</v>
          </cell>
        </row>
        <row r="106">
          <cell r="D106">
            <v>353</v>
          </cell>
        </row>
        <row r="107">
          <cell r="D107">
            <v>624</v>
          </cell>
        </row>
        <row r="108">
          <cell r="D108">
            <v>261</v>
          </cell>
        </row>
        <row r="109">
          <cell r="D109">
            <v>46</v>
          </cell>
        </row>
        <row r="110">
          <cell r="D110">
            <v>878</v>
          </cell>
        </row>
        <row r="111">
          <cell r="D111">
            <v>306</v>
          </cell>
        </row>
        <row r="112">
          <cell r="D112">
            <v>147</v>
          </cell>
        </row>
        <row r="113">
          <cell r="D113">
            <v>5792</v>
          </cell>
        </row>
        <row r="114">
          <cell r="D114">
            <v>3854</v>
          </cell>
        </row>
        <row r="115">
          <cell r="D115">
            <v>30417</v>
          </cell>
        </row>
        <row r="116">
          <cell r="D116">
            <v>12148</v>
          </cell>
        </row>
        <row r="117">
          <cell r="D117">
            <v>9722</v>
          </cell>
        </row>
        <row r="118">
          <cell r="D118">
            <v>1171</v>
          </cell>
        </row>
        <row r="119">
          <cell r="D119">
            <v>4487</v>
          </cell>
        </row>
        <row r="120">
          <cell r="D120">
            <v>4993</v>
          </cell>
        </row>
        <row r="121">
          <cell r="D121">
            <v>8527</v>
          </cell>
        </row>
        <row r="122">
          <cell r="D122">
            <v>14964</v>
          </cell>
        </row>
        <row r="123">
          <cell r="D123">
            <v>7473</v>
          </cell>
        </row>
        <row r="124">
          <cell r="D124">
            <v>1695</v>
          </cell>
        </row>
        <row r="125">
          <cell r="D125">
            <v>22313</v>
          </cell>
        </row>
        <row r="126">
          <cell r="D126">
            <v>6781</v>
          </cell>
        </row>
        <row r="127">
          <cell r="D127">
            <v>3811</v>
          </cell>
        </row>
        <row r="128">
          <cell r="D128">
            <v>6335</v>
          </cell>
        </row>
        <row r="129">
          <cell r="D129">
            <v>3025</v>
          </cell>
        </row>
        <row r="130">
          <cell r="D130">
            <v>20288</v>
          </cell>
        </row>
        <row r="131">
          <cell r="D131">
            <v>8085</v>
          </cell>
        </row>
        <row r="132">
          <cell r="D132">
            <v>6368</v>
          </cell>
        </row>
        <row r="133">
          <cell r="D133">
            <v>926</v>
          </cell>
        </row>
        <row r="134">
          <cell r="D134">
            <v>3050</v>
          </cell>
        </row>
        <row r="135">
          <cell r="D135">
            <v>2432</v>
          </cell>
        </row>
        <row r="136">
          <cell r="D136">
            <v>4865</v>
          </cell>
        </row>
        <row r="137">
          <cell r="D137">
            <v>4872</v>
          </cell>
        </row>
        <row r="138">
          <cell r="D138">
            <v>3185</v>
          </cell>
        </row>
        <row r="139">
          <cell r="D139">
            <v>970</v>
          </cell>
        </row>
        <row r="140">
          <cell r="D140">
            <v>14111</v>
          </cell>
        </row>
        <row r="141">
          <cell r="D141">
            <v>3661</v>
          </cell>
        </row>
        <row r="142">
          <cell r="D142">
            <v>2559</v>
          </cell>
        </row>
        <row r="143">
          <cell r="D143">
            <v>3661</v>
          </cell>
        </row>
        <row r="144">
          <cell r="D144">
            <v>3302</v>
          </cell>
        </row>
        <row r="145">
          <cell r="D145">
            <v>8992</v>
          </cell>
        </row>
        <row r="146">
          <cell r="D146">
            <v>7377</v>
          </cell>
        </row>
        <row r="147">
          <cell r="D147">
            <v>4984</v>
          </cell>
        </row>
        <row r="148">
          <cell r="D148">
            <v>855</v>
          </cell>
        </row>
        <row r="149">
          <cell r="D149">
            <v>2335</v>
          </cell>
        </row>
        <row r="150">
          <cell r="D150">
            <v>2280</v>
          </cell>
        </row>
        <row r="151">
          <cell r="D151">
            <v>4220</v>
          </cell>
        </row>
        <row r="152">
          <cell r="D152">
            <v>2767</v>
          </cell>
        </row>
        <row r="153">
          <cell r="D153">
            <v>3269</v>
          </cell>
        </row>
        <row r="154">
          <cell r="D154">
            <v>742</v>
          </cell>
        </row>
        <row r="155">
          <cell r="D155">
            <v>9497</v>
          </cell>
        </row>
        <row r="156">
          <cell r="D156">
            <v>2698</v>
          </cell>
        </row>
        <row r="157">
          <cell r="D157">
            <v>2137</v>
          </cell>
        </row>
        <row r="158">
          <cell r="D158">
            <v>0</v>
          </cell>
        </row>
        <row r="159">
          <cell r="D159">
            <v>57</v>
          </cell>
        </row>
        <row r="160">
          <cell r="D160">
            <v>268</v>
          </cell>
        </row>
        <row r="161">
          <cell r="D161">
            <v>169</v>
          </cell>
        </row>
        <row r="162">
          <cell r="D162">
            <v>135</v>
          </cell>
        </row>
        <row r="163">
          <cell r="D163">
            <v>6</v>
          </cell>
        </row>
        <row r="164">
          <cell r="D164">
            <v>44</v>
          </cell>
        </row>
        <row r="165">
          <cell r="D165">
            <v>23</v>
          </cell>
        </row>
        <row r="166">
          <cell r="D166">
            <v>68</v>
          </cell>
        </row>
        <row r="167">
          <cell r="D167">
            <v>61</v>
          </cell>
        </row>
        <row r="168">
          <cell r="D168">
            <v>53</v>
          </cell>
        </row>
        <row r="169">
          <cell r="D169">
            <v>37</v>
          </cell>
        </row>
        <row r="170">
          <cell r="D170">
            <v>250</v>
          </cell>
        </row>
        <row r="171">
          <cell r="D171">
            <v>182</v>
          </cell>
        </row>
        <row r="172">
          <cell r="D172">
            <v>69</v>
          </cell>
        </row>
        <row r="173">
          <cell r="D173">
            <v>0</v>
          </cell>
        </row>
        <row r="174">
          <cell r="D174">
            <v>22</v>
          </cell>
        </row>
        <row r="175">
          <cell r="D175">
            <v>396</v>
          </cell>
        </row>
        <row r="176">
          <cell r="D176">
            <v>42</v>
          </cell>
        </row>
        <row r="177">
          <cell r="D177">
            <v>68</v>
          </cell>
        </row>
        <row r="178">
          <cell r="D178">
            <v>11</v>
          </cell>
        </row>
        <row r="179">
          <cell r="D179">
            <v>28</v>
          </cell>
        </row>
        <row r="180">
          <cell r="D180">
            <v>9</v>
          </cell>
        </row>
        <row r="181">
          <cell r="D181">
            <v>34</v>
          </cell>
        </row>
        <row r="182">
          <cell r="D182">
            <v>83</v>
          </cell>
        </row>
        <row r="183">
          <cell r="D183">
            <v>41</v>
          </cell>
        </row>
        <row r="184">
          <cell r="D184">
            <v>14</v>
          </cell>
        </row>
        <row r="185">
          <cell r="D185">
            <v>122</v>
          </cell>
        </row>
        <row r="186">
          <cell r="D186">
            <v>112</v>
          </cell>
        </row>
        <row r="187">
          <cell r="D187">
            <v>29</v>
          </cell>
        </row>
        <row r="188">
          <cell r="D188">
            <v>134</v>
          </cell>
        </row>
        <row r="189">
          <cell r="D189">
            <v>5944</v>
          </cell>
        </row>
        <row r="190">
          <cell r="D190">
            <v>43388</v>
          </cell>
        </row>
        <row r="191">
          <cell r="D191">
            <v>16522</v>
          </cell>
        </row>
        <row r="192">
          <cell r="D192">
            <v>13539</v>
          </cell>
        </row>
        <row r="193">
          <cell r="D193">
            <v>2090</v>
          </cell>
        </row>
        <row r="194">
          <cell r="D194">
            <v>6565</v>
          </cell>
        </row>
        <row r="195">
          <cell r="D195">
            <v>4418</v>
          </cell>
        </row>
        <row r="196">
          <cell r="D196">
            <v>8547</v>
          </cell>
        </row>
        <row r="197">
          <cell r="D197">
            <v>13193</v>
          </cell>
        </row>
        <row r="198">
          <cell r="D198">
            <v>7231</v>
          </cell>
        </row>
        <row r="199">
          <cell r="D199">
            <v>2026</v>
          </cell>
        </row>
        <row r="200">
          <cell r="D200">
            <v>28632</v>
          </cell>
        </row>
        <row r="201">
          <cell r="D201">
            <v>8393</v>
          </cell>
        </row>
        <row r="202">
          <cell r="D202">
            <v>4989</v>
          </cell>
        </row>
        <row r="203">
          <cell r="D203">
            <v>1984</v>
          </cell>
        </row>
        <row r="204">
          <cell r="D204">
            <v>14901</v>
          </cell>
        </row>
        <row r="205">
          <cell r="D205">
            <v>46704</v>
          </cell>
        </row>
        <row r="206">
          <cell r="D206">
            <v>30654</v>
          </cell>
        </row>
        <row r="207">
          <cell r="D207">
            <v>24552</v>
          </cell>
        </row>
        <row r="208">
          <cell r="D208">
            <v>4667</v>
          </cell>
        </row>
        <row r="209">
          <cell r="D209">
            <v>12764</v>
          </cell>
        </row>
        <row r="210">
          <cell r="D210">
            <v>9675</v>
          </cell>
        </row>
        <row r="211">
          <cell r="D211">
            <v>19545</v>
          </cell>
        </row>
        <row r="212">
          <cell r="D212">
            <v>19067</v>
          </cell>
        </row>
        <row r="213">
          <cell r="D213">
            <v>15308</v>
          </cell>
        </row>
        <row r="214">
          <cell r="D214">
            <v>3953</v>
          </cell>
        </row>
        <row r="215">
          <cell r="D215">
            <v>40233</v>
          </cell>
        </row>
        <row r="216">
          <cell r="D216">
            <v>14433</v>
          </cell>
        </row>
        <row r="217">
          <cell r="D217">
            <v>11279</v>
          </cell>
        </row>
        <row r="226">
          <cell r="D226">
            <v>5685760.4100000001</v>
          </cell>
        </row>
        <row r="227">
          <cell r="D227">
            <v>7848471.8099999996</v>
          </cell>
        </row>
        <row r="228">
          <cell r="D228">
            <v>81168326.439999998</v>
          </cell>
        </row>
        <row r="229">
          <cell r="D229">
            <v>12941796.98</v>
          </cell>
        </row>
        <row r="230">
          <cell r="D230">
            <v>13166583.68</v>
          </cell>
        </row>
        <row r="231">
          <cell r="D231">
            <v>1019445.59</v>
          </cell>
        </row>
        <row r="232">
          <cell r="D232">
            <v>4633212.38</v>
          </cell>
        </row>
        <row r="233">
          <cell r="D233">
            <v>2136875.87</v>
          </cell>
        </row>
        <row r="234">
          <cell r="D234">
            <v>5989132.8600000003</v>
          </cell>
        </row>
        <row r="235">
          <cell r="D235">
            <v>22038328.48</v>
          </cell>
        </row>
        <row r="236">
          <cell r="D236">
            <v>5157174.26</v>
          </cell>
        </row>
        <row r="237">
          <cell r="D237">
            <v>1658506.46</v>
          </cell>
        </row>
        <row r="238">
          <cell r="D238">
            <v>39856031.25</v>
          </cell>
        </row>
        <row r="239">
          <cell r="D239">
            <v>14136593.859999999</v>
          </cell>
        </row>
        <row r="240">
          <cell r="D240">
            <v>6266223.0300000003</v>
          </cell>
        </row>
        <row r="241">
          <cell r="D241">
            <v>25676.720000000001</v>
          </cell>
        </row>
        <row r="242">
          <cell r="D242">
            <v>1134292.23</v>
          </cell>
        </row>
        <row r="243">
          <cell r="D243">
            <v>3973239.85</v>
          </cell>
        </row>
        <row r="244">
          <cell r="D244">
            <v>2531951.38</v>
          </cell>
        </row>
        <row r="245">
          <cell r="D245">
            <v>1986430.39</v>
          </cell>
        </row>
        <row r="246">
          <cell r="D246">
            <v>398727.1</v>
          </cell>
        </row>
        <row r="247">
          <cell r="D247">
            <v>396802.06</v>
          </cell>
        </row>
        <row r="248">
          <cell r="D248">
            <v>1114290.02</v>
          </cell>
        </row>
        <row r="249">
          <cell r="D249">
            <v>1112250.56</v>
          </cell>
        </row>
        <row r="250">
          <cell r="D250">
            <v>529910.18000000005</v>
          </cell>
        </row>
        <row r="251">
          <cell r="D251">
            <v>905550.92</v>
          </cell>
        </row>
        <row r="252">
          <cell r="D252">
            <v>786585.49</v>
          </cell>
        </row>
        <row r="253">
          <cell r="D253">
            <v>4718191.53</v>
          </cell>
        </row>
        <row r="254">
          <cell r="D254">
            <v>956366.17</v>
          </cell>
        </row>
        <row r="255">
          <cell r="D255">
            <v>980884.82</v>
          </cell>
        </row>
        <row r="256">
          <cell r="D256">
            <v>0</v>
          </cell>
        </row>
        <row r="257">
          <cell r="D257">
            <v>1509247</v>
          </cell>
        </row>
        <row r="258">
          <cell r="D258">
            <v>15140425.1</v>
          </cell>
        </row>
        <row r="259">
          <cell r="D259">
            <v>4236510.6500000004</v>
          </cell>
        </row>
        <row r="260">
          <cell r="D260">
            <v>2834442.79</v>
          </cell>
        </row>
        <row r="261">
          <cell r="D261">
            <v>69219.520000000004</v>
          </cell>
        </row>
        <row r="262">
          <cell r="D262">
            <v>1077298.75</v>
          </cell>
        </row>
        <row r="263">
          <cell r="D263">
            <v>609368.05000000005</v>
          </cell>
        </row>
        <row r="264">
          <cell r="D264">
            <v>908539.27</v>
          </cell>
        </row>
        <row r="265">
          <cell r="D265">
            <v>4346187.97</v>
          </cell>
        </row>
        <row r="266">
          <cell r="D266">
            <v>1072871.31</v>
          </cell>
        </row>
        <row r="267">
          <cell r="D267">
            <v>356433.56</v>
          </cell>
        </row>
        <row r="268">
          <cell r="D268">
            <v>7394090.1600000001</v>
          </cell>
        </row>
        <row r="269">
          <cell r="D269">
            <v>4369836.58</v>
          </cell>
        </row>
        <row r="270">
          <cell r="D270">
            <v>407618.56</v>
          </cell>
        </row>
        <row r="271">
          <cell r="D271">
            <v>0</v>
          </cell>
        </row>
        <row r="272">
          <cell r="D272">
            <v>2674113.91</v>
          </cell>
        </row>
        <row r="273">
          <cell r="D273">
            <v>113968393.63</v>
          </cell>
        </row>
        <row r="274">
          <cell r="D274">
            <v>6247760.6500000004</v>
          </cell>
        </row>
        <row r="275">
          <cell r="D275">
            <v>6427113.3399999999</v>
          </cell>
        </row>
        <row r="276">
          <cell r="D276">
            <v>931832.69</v>
          </cell>
        </row>
        <row r="277">
          <cell r="D277">
            <v>3787611.25</v>
          </cell>
        </row>
        <row r="278">
          <cell r="D278">
            <v>2504880.2200000002</v>
          </cell>
        </row>
        <row r="279">
          <cell r="D279">
            <v>4264630.38</v>
          </cell>
        </row>
        <row r="280">
          <cell r="D280">
            <v>46292764.229999997</v>
          </cell>
        </row>
        <row r="281">
          <cell r="D281">
            <v>3394418.59</v>
          </cell>
        </row>
        <row r="282">
          <cell r="D282">
            <v>445624.45</v>
          </cell>
        </row>
        <row r="283">
          <cell r="D283">
            <v>20396374.489999998</v>
          </cell>
        </row>
        <row r="284">
          <cell r="D284">
            <v>10392349.289999999</v>
          </cell>
        </row>
        <row r="285">
          <cell r="D285">
            <v>2017096</v>
          </cell>
        </row>
        <row r="286">
          <cell r="D286">
            <v>781792.55</v>
          </cell>
        </row>
        <row r="287">
          <cell r="D287">
            <v>134174310.23999999</v>
          </cell>
        </row>
        <row r="288">
          <cell r="D288">
            <v>1830535535.1900001</v>
          </cell>
        </row>
        <row r="289">
          <cell r="D289">
            <v>450834402.19</v>
          </cell>
        </row>
        <row r="290">
          <cell r="D290">
            <v>323619580.36000001</v>
          </cell>
        </row>
        <row r="291">
          <cell r="D291">
            <v>26319102.870000001</v>
          </cell>
        </row>
        <row r="292">
          <cell r="D292">
            <v>138814911.25</v>
          </cell>
        </row>
        <row r="293">
          <cell r="D293">
            <v>88737869.049999997</v>
          </cell>
        </row>
        <row r="294">
          <cell r="D294">
            <v>197354701.61000001</v>
          </cell>
        </row>
        <row r="295">
          <cell r="D295">
            <v>421592272.56999999</v>
          </cell>
        </row>
        <row r="296">
          <cell r="D296">
            <v>140309346.78</v>
          </cell>
        </row>
        <row r="297">
          <cell r="D297">
            <v>32892664.719999999</v>
          </cell>
        </row>
        <row r="298">
          <cell r="D298">
            <v>780188222.34000003</v>
          </cell>
        </row>
        <row r="299">
          <cell r="D299">
            <v>229806353.11000001</v>
          </cell>
        </row>
        <row r="300">
          <cell r="D300">
            <v>91451602</v>
          </cell>
        </row>
        <row r="301">
          <cell r="D301">
            <v>448312.62</v>
          </cell>
        </row>
        <row r="302">
          <cell r="D302">
            <v>957811314.77999997</v>
          </cell>
        </row>
        <row r="303">
          <cell r="D303">
            <v>8417825889.8299999</v>
          </cell>
        </row>
        <row r="304">
          <cell r="D304">
            <v>2646601275.1199999</v>
          </cell>
        </row>
        <row r="305">
          <cell r="D305">
            <v>1901723288.48</v>
          </cell>
        </row>
        <row r="306">
          <cell r="D306">
            <v>205201433.69</v>
          </cell>
        </row>
        <row r="307">
          <cell r="D307">
            <v>866879139.61000001</v>
          </cell>
        </row>
        <row r="308">
          <cell r="D308">
            <v>664879612.57000005</v>
          </cell>
        </row>
        <row r="309">
          <cell r="D309">
            <v>1310668406.05</v>
          </cell>
        </row>
        <row r="310">
          <cell r="D310">
            <v>2519819692.8200002</v>
          </cell>
        </row>
        <row r="311">
          <cell r="D311">
            <v>787259193.21000004</v>
          </cell>
        </row>
        <row r="312">
          <cell r="D312">
            <v>188371159.03999999</v>
          </cell>
        </row>
        <row r="313">
          <cell r="D313">
            <v>3589695292.25</v>
          </cell>
        </row>
        <row r="314">
          <cell r="D314">
            <v>1057357491.11</v>
          </cell>
        </row>
        <row r="315">
          <cell r="D315">
            <v>606488124.41999996</v>
          </cell>
        </row>
        <row r="316">
          <cell r="D316">
            <v>3361268.06</v>
          </cell>
        </row>
        <row r="317">
          <cell r="D317">
            <v>396226.62</v>
          </cell>
        </row>
        <row r="318">
          <cell r="D318">
            <v>6660942.8700000001</v>
          </cell>
        </row>
        <row r="319">
          <cell r="D319">
            <v>1967242.7</v>
          </cell>
        </row>
        <row r="320">
          <cell r="D320">
            <v>1579017.29</v>
          </cell>
        </row>
        <row r="321">
          <cell r="D321">
            <v>104856.4</v>
          </cell>
        </row>
        <row r="322">
          <cell r="D322">
            <v>637570.22</v>
          </cell>
        </row>
        <row r="323">
          <cell r="D323">
            <v>562463.56999999995</v>
          </cell>
        </row>
        <row r="324">
          <cell r="D324">
            <v>1236609.8600000001</v>
          </cell>
        </row>
        <row r="325">
          <cell r="D325">
            <v>2407475.8199999998</v>
          </cell>
        </row>
        <row r="326">
          <cell r="D326">
            <v>626435.71</v>
          </cell>
        </row>
        <row r="327">
          <cell r="D327">
            <v>159007.16</v>
          </cell>
        </row>
        <row r="328">
          <cell r="D328">
            <v>4470226.33</v>
          </cell>
        </row>
        <row r="329">
          <cell r="D329">
            <v>902216.87</v>
          </cell>
        </row>
        <row r="330">
          <cell r="D330">
            <v>340157.68</v>
          </cell>
        </row>
        <row r="331">
          <cell r="D331">
            <v>16246102</v>
          </cell>
        </row>
        <row r="332">
          <cell r="D332">
            <v>10641550.85</v>
          </cell>
        </row>
        <row r="333">
          <cell r="D333">
            <v>88238509.219999999</v>
          </cell>
        </row>
        <row r="334">
          <cell r="D334">
            <v>33833844.890000001</v>
          </cell>
        </row>
        <row r="335">
          <cell r="D335">
            <v>27232381.640000001</v>
          </cell>
        </row>
        <row r="336">
          <cell r="D336">
            <v>2443242.5</v>
          </cell>
        </row>
        <row r="337">
          <cell r="D337">
            <v>11800602.210000001</v>
          </cell>
        </row>
        <row r="338">
          <cell r="D338">
            <v>11777136.710000001</v>
          </cell>
        </row>
        <row r="339">
          <cell r="D339">
            <v>20958494.710000001</v>
          </cell>
        </row>
        <row r="340">
          <cell r="D340">
            <v>42248511.75</v>
          </cell>
        </row>
        <row r="341">
          <cell r="D341">
            <v>18155011.760000002</v>
          </cell>
        </row>
        <row r="342">
          <cell r="D342">
            <v>3994561.36</v>
          </cell>
        </row>
        <row r="343">
          <cell r="D343">
            <v>50643771.5</v>
          </cell>
        </row>
        <row r="344">
          <cell r="D344">
            <v>14560872.98</v>
          </cell>
        </row>
        <row r="345">
          <cell r="D345">
            <v>7191735.5599999996</v>
          </cell>
        </row>
        <row r="346">
          <cell r="D346">
            <v>19121998.850000001</v>
          </cell>
        </row>
        <row r="347">
          <cell r="D347">
            <v>88312441.709999993</v>
          </cell>
        </row>
        <row r="348">
          <cell r="D348">
            <v>544063441.79999995</v>
          </cell>
        </row>
        <row r="349">
          <cell r="D349">
            <v>213646050.21000001</v>
          </cell>
        </row>
        <row r="350">
          <cell r="D350">
            <v>208403691.16</v>
          </cell>
        </row>
        <row r="351">
          <cell r="D351">
            <v>24392035.050000001</v>
          </cell>
        </row>
        <row r="352">
          <cell r="D352">
            <v>83300150.980000004</v>
          </cell>
        </row>
        <row r="353">
          <cell r="D353">
            <v>68595732.090000004</v>
          </cell>
        </row>
        <row r="354">
          <cell r="D354">
            <v>131869267.95</v>
          </cell>
        </row>
        <row r="355">
          <cell r="D355">
            <v>111319130.44</v>
          </cell>
        </row>
        <row r="356">
          <cell r="D356">
            <v>79184296.359999999</v>
          </cell>
        </row>
        <row r="357">
          <cell r="D357">
            <v>25731989.760000002</v>
          </cell>
        </row>
        <row r="358">
          <cell r="D358">
            <v>346834174.13</v>
          </cell>
        </row>
        <row r="359">
          <cell r="D359">
            <v>91122421.25</v>
          </cell>
        </row>
        <row r="360">
          <cell r="D360">
            <v>73623092.209999993</v>
          </cell>
        </row>
        <row r="361">
          <cell r="D361">
            <v>15759400.199999999</v>
          </cell>
        </row>
        <row r="362">
          <cell r="D362">
            <v>30942785.530000001</v>
          </cell>
        </row>
        <row r="363">
          <cell r="D363">
            <v>112146403.44</v>
          </cell>
        </row>
        <row r="364">
          <cell r="D364">
            <v>61863352.509999998</v>
          </cell>
        </row>
        <row r="365">
          <cell r="D365">
            <v>42228123.640000001</v>
          </cell>
        </row>
        <row r="366">
          <cell r="D366">
            <v>8046296.7300000004</v>
          </cell>
        </row>
        <row r="367">
          <cell r="D367">
            <v>19129484.920000002</v>
          </cell>
        </row>
        <row r="368">
          <cell r="D368">
            <v>18792659.390000001</v>
          </cell>
        </row>
        <row r="369">
          <cell r="D369">
            <v>38222843.850000001</v>
          </cell>
        </row>
        <row r="370">
          <cell r="D370">
            <v>27846579.77</v>
          </cell>
        </row>
        <row r="371">
          <cell r="D371">
            <v>22397280.920000002</v>
          </cell>
        </row>
        <row r="372">
          <cell r="D372">
            <v>4462503.55</v>
          </cell>
        </row>
        <row r="373">
          <cell r="D373">
            <v>76709629.849999994</v>
          </cell>
        </row>
        <row r="374">
          <cell r="D374">
            <v>20206993.460000001</v>
          </cell>
        </row>
        <row r="375">
          <cell r="D375">
            <v>17304171.199999999</v>
          </cell>
        </row>
        <row r="376">
          <cell r="D376">
            <v>0</v>
          </cell>
        </row>
        <row r="377">
          <cell r="D377">
            <v>1323281.22</v>
          </cell>
        </row>
        <row r="378">
          <cell r="D378">
            <v>9485263.5</v>
          </cell>
        </row>
        <row r="379">
          <cell r="D379">
            <v>4344348.41</v>
          </cell>
        </row>
        <row r="380">
          <cell r="D380">
            <v>3532371.41</v>
          </cell>
        </row>
        <row r="381">
          <cell r="D381">
            <v>110140.88</v>
          </cell>
        </row>
        <row r="382">
          <cell r="D382">
            <v>1088607.0900000001</v>
          </cell>
        </row>
        <row r="383">
          <cell r="D383">
            <v>553230.64</v>
          </cell>
        </row>
        <row r="384">
          <cell r="D384">
            <v>1529283.88</v>
          </cell>
        </row>
        <row r="385">
          <cell r="D385">
            <v>2385016.33</v>
          </cell>
        </row>
        <row r="386">
          <cell r="D386">
            <v>1088503.55</v>
          </cell>
        </row>
        <row r="387">
          <cell r="D387">
            <v>603106.88</v>
          </cell>
        </row>
        <row r="388">
          <cell r="D388">
            <v>5709649.8300000001</v>
          </cell>
        </row>
        <row r="389">
          <cell r="D389">
            <v>4362772.9400000004</v>
          </cell>
        </row>
        <row r="390">
          <cell r="D390">
            <v>1331727.26</v>
          </cell>
        </row>
        <row r="391">
          <cell r="D391">
            <v>0</v>
          </cell>
        </row>
        <row r="392">
          <cell r="D392">
            <v>727607.7</v>
          </cell>
        </row>
        <row r="393">
          <cell r="D393">
            <v>15678036.699999999</v>
          </cell>
        </row>
        <row r="394">
          <cell r="D394">
            <v>1106205.0900000001</v>
          </cell>
        </row>
        <row r="395">
          <cell r="D395">
            <v>1907905.46</v>
          </cell>
        </row>
        <row r="396">
          <cell r="D396">
            <v>344069.31</v>
          </cell>
        </row>
        <row r="397">
          <cell r="D397">
            <v>1336553.82</v>
          </cell>
        </row>
        <row r="398">
          <cell r="D398">
            <v>166784.49</v>
          </cell>
        </row>
        <row r="399">
          <cell r="D399">
            <v>966079.88</v>
          </cell>
        </row>
        <row r="400">
          <cell r="D400">
            <v>3538255.94</v>
          </cell>
        </row>
        <row r="401">
          <cell r="D401">
            <v>1309119.78</v>
          </cell>
        </row>
        <row r="402">
          <cell r="D402">
            <v>295148.34000000003</v>
          </cell>
        </row>
        <row r="403">
          <cell r="D403">
            <v>3628174.61</v>
          </cell>
        </row>
        <row r="404">
          <cell r="D404">
            <v>3096942.21</v>
          </cell>
        </row>
        <row r="405">
          <cell r="D405">
            <v>577676.9</v>
          </cell>
        </row>
        <row r="406">
          <cell r="D406">
            <v>213192.41</v>
          </cell>
        </row>
        <row r="407">
          <cell r="D407">
            <v>118218877.13</v>
          </cell>
        </row>
        <row r="408">
          <cell r="D408">
            <v>828360653.04999995</v>
          </cell>
        </row>
        <row r="409">
          <cell r="D409">
            <v>332534961.61000001</v>
          </cell>
        </row>
        <row r="410">
          <cell r="D410">
            <v>274537646.45999998</v>
          </cell>
        </row>
        <row r="411">
          <cell r="D411">
            <v>40530935.18</v>
          </cell>
        </row>
        <row r="412">
          <cell r="D412">
            <v>118517760.29000001</v>
          </cell>
        </row>
        <row r="413">
          <cell r="D413">
            <v>79019211.469999999</v>
          </cell>
        </row>
        <row r="414">
          <cell r="D414">
            <v>160363412.81999999</v>
          </cell>
        </row>
        <row r="415">
          <cell r="D415">
            <v>246364990.41999999</v>
          </cell>
        </row>
        <row r="416">
          <cell r="D416">
            <v>120335634.58</v>
          </cell>
        </row>
        <row r="417">
          <cell r="D417">
            <v>41157253.780000001</v>
          </cell>
        </row>
        <row r="418">
          <cell r="D418">
            <v>532615320.54000002</v>
          </cell>
        </row>
        <row r="419">
          <cell r="D419">
            <v>156340643.66</v>
          </cell>
        </row>
        <row r="420">
          <cell r="D420">
            <v>98059007.049999997</v>
          </cell>
        </row>
        <row r="421">
          <cell r="D421">
            <v>134635.51999999999</v>
          </cell>
        </row>
        <row r="422">
          <cell r="D422">
            <v>178988119.78</v>
          </cell>
        </row>
        <row r="423">
          <cell r="D423">
            <v>569114934.99000001</v>
          </cell>
        </row>
        <row r="424">
          <cell r="D424">
            <v>373687782.70999998</v>
          </cell>
        </row>
        <row r="425">
          <cell r="D425">
            <v>282905851.70999998</v>
          </cell>
        </row>
        <row r="426">
          <cell r="D426">
            <v>53063729.020000003</v>
          </cell>
        </row>
        <row r="427">
          <cell r="D427">
            <v>143368029.52000001</v>
          </cell>
        </row>
        <row r="428">
          <cell r="D428">
            <v>109062705.48</v>
          </cell>
        </row>
        <row r="429">
          <cell r="D429">
            <v>225671111.44</v>
          </cell>
        </row>
        <row r="430">
          <cell r="D430">
            <v>220038726.28999999</v>
          </cell>
        </row>
        <row r="431">
          <cell r="D431">
            <v>150699126.75</v>
          </cell>
        </row>
        <row r="432">
          <cell r="D432">
            <v>42098624.969999999</v>
          </cell>
        </row>
        <row r="433">
          <cell r="D433">
            <v>445390332.16000003</v>
          </cell>
        </row>
        <row r="434">
          <cell r="D434">
            <v>155255915.59999999</v>
          </cell>
        </row>
        <row r="435">
          <cell r="D435">
            <v>129017175.65000001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Total Trip Tables"/>
      <sheetName val="Total Distance Tables"/>
      <sheetName val="Total Duration Tables"/>
      <sheetName val="Total Trip Tables Sup #2"/>
      <sheetName val="Total Trip Tables Sup #1"/>
      <sheetName val="Total Trip Tables Original"/>
      <sheetName val="Total Distance Tables Sup #2"/>
      <sheetName val="Total Distance Tables Sup #1"/>
      <sheetName val="Total Distance Tables Original"/>
      <sheetName val="Total Duration Tables Sup #2"/>
      <sheetName val="Total Duration Tables Sup #1"/>
      <sheetName val="Total Duration Tables Original"/>
      <sheetName val="Original Population"/>
      <sheetName val="Updated Population"/>
      <sheetName val="Formatted Trip Summary"/>
      <sheetName val="Unformatted Trip Summary"/>
      <sheetName val="Active Mode Assumptions"/>
      <sheetName val="PT Assumptions"/>
      <sheetName val="Other Assumptions"/>
    </sheetNames>
    <sheetDataSet>
      <sheetData sheetId="0"/>
      <sheetData sheetId="1">
        <row r="12">
          <cell r="B12">
            <v>3.6339219343</v>
          </cell>
        </row>
        <row r="23">
          <cell r="B23">
            <v>53.530078000000003</v>
          </cell>
        </row>
        <row r="34">
          <cell r="B34">
            <v>5.7199103379</v>
          </cell>
        </row>
        <row r="45">
          <cell r="B45">
            <v>7.4672006229000001</v>
          </cell>
        </row>
        <row r="56">
          <cell r="B56">
            <v>0.39415976190000002</v>
          </cell>
        </row>
        <row r="67">
          <cell r="B67">
            <v>4.5218645043999999</v>
          </cell>
        </row>
        <row r="78">
          <cell r="B78">
            <v>1.2787514622</v>
          </cell>
        </row>
        <row r="89">
          <cell r="B89">
            <v>5.2110099151</v>
          </cell>
        </row>
        <row r="100">
          <cell r="B100">
            <v>23.4</v>
          </cell>
        </row>
        <row r="111">
          <cell r="B111">
            <v>2.0764681202999999</v>
          </cell>
        </row>
        <row r="122">
          <cell r="B122">
            <v>0.50805546800000001</v>
          </cell>
        </row>
        <row r="133">
          <cell r="B133">
            <v>20.502079716000001</v>
          </cell>
        </row>
        <row r="144">
          <cell r="B144">
            <v>4.2627057848999996</v>
          </cell>
        </row>
        <row r="155">
          <cell r="B155">
            <v>2.6369167839999998</v>
          </cell>
        </row>
        <row r="166">
          <cell r="B166">
            <v>135.14312241190001</v>
          </cell>
        </row>
      </sheetData>
      <sheetData sheetId="2">
        <row r="7">
          <cell r="B7">
            <v>1011.4273062</v>
          </cell>
          <cell r="C7">
            <v>1113.0435938903649</v>
          </cell>
          <cell r="D7">
            <v>1174.5033597104523</v>
          </cell>
          <cell r="E7">
            <v>1149.9848959890051</v>
          </cell>
          <cell r="F7">
            <v>1115.1427119570308</v>
          </cell>
          <cell r="G7">
            <v>1066.6962222693239</v>
          </cell>
          <cell r="H7">
            <v>1011.9691959483551</v>
          </cell>
          <cell r="I7">
            <v>953.9363153627321</v>
          </cell>
          <cell r="J7">
            <v>892.39218993144846</v>
          </cell>
          <cell r="K7">
            <v>828.78063131384749</v>
          </cell>
        </row>
        <row r="8">
          <cell r="B8">
            <v>666.23785996000004</v>
          </cell>
          <cell r="C8">
            <v>703.63323756138959</v>
          </cell>
          <cell r="D8">
            <v>725.31196246841682</v>
          </cell>
          <cell r="E8">
            <v>700.41741403491619</v>
          </cell>
          <cell r="F8">
            <v>668.64891358529042</v>
          </cell>
          <cell r="G8">
            <v>632.53755460716218</v>
          </cell>
          <cell r="H8">
            <v>592.86507241311529</v>
          </cell>
          <cell r="I8">
            <v>559.48234791662503</v>
          </cell>
          <cell r="J8">
            <v>523.96559199600983</v>
          </cell>
          <cell r="K8">
            <v>487.15583738691299</v>
          </cell>
        </row>
        <row r="9">
          <cell r="B9">
            <v>0.75976041549999995</v>
          </cell>
          <cell r="C9">
            <v>0.87128215527108333</v>
          </cell>
          <cell r="D9">
            <v>0.96646345537772127</v>
          </cell>
          <cell r="E9">
            <v>98.441921322491353</v>
          </cell>
          <cell r="F9">
            <v>199.32445759454282</v>
          </cell>
          <cell r="G9">
            <v>301.04613997711596</v>
          </cell>
          <cell r="H9">
            <v>402.44149055337368</v>
          </cell>
          <cell r="I9">
            <v>505.70911075354621</v>
          </cell>
          <cell r="J9">
            <v>608.24605623361356</v>
          </cell>
          <cell r="K9">
            <v>709.81344952431652</v>
          </cell>
        </row>
        <row r="10">
          <cell r="B10">
            <v>9.2423909657000003</v>
          </cell>
          <cell r="C10">
            <v>10.168949176576222</v>
          </cell>
          <cell r="D10">
            <v>10.714947066419496</v>
          </cell>
          <cell r="E10">
            <v>10.849328511214793</v>
          </cell>
          <cell r="F10">
            <v>10.856805044446965</v>
          </cell>
          <cell r="G10">
            <v>10.667298862322809</v>
          </cell>
          <cell r="H10">
            <v>10.419139628645247</v>
          </cell>
          <cell r="I10">
            <v>10.54115380082138</v>
          </cell>
          <cell r="J10">
            <v>10.631058567204535</v>
          </cell>
          <cell r="K10">
            <v>10.699067031195289</v>
          </cell>
        </row>
        <row r="12">
          <cell r="B12">
            <v>44.734594063999999</v>
          </cell>
          <cell r="C12">
            <v>43.775664264412086</v>
          </cell>
          <cell r="D12">
            <v>43.044171393129709</v>
          </cell>
          <cell r="E12">
            <v>42.40417785850746</v>
          </cell>
          <cell r="F12">
            <v>41.052458203573821</v>
          </cell>
          <cell r="G12">
            <v>40.159852245824261</v>
          </cell>
          <cell r="H12">
            <v>39.071100623678952</v>
          </cell>
          <cell r="I12">
            <v>39.333320806577142</v>
          </cell>
          <cell r="J12">
            <v>39.471200729643499</v>
          </cell>
          <cell r="K12">
            <v>39.524371990916123</v>
          </cell>
        </row>
        <row r="18">
          <cell r="B18">
            <v>9374.4733825999992</v>
          </cell>
          <cell r="C18">
            <v>10945.554801256165</v>
          </cell>
          <cell r="D18">
            <v>12000.095158621771</v>
          </cell>
          <cell r="E18">
            <v>12102.331915672416</v>
          </cell>
          <cell r="F18">
            <v>12153.306679373074</v>
          </cell>
          <cell r="G18">
            <v>12024.643096259997</v>
          </cell>
          <cell r="H18">
            <v>11797.276507561795</v>
          </cell>
          <cell r="I18">
            <v>11506.862735824061</v>
          </cell>
          <cell r="J18">
            <v>11136.45772669627</v>
          </cell>
          <cell r="K18">
            <v>10696.2848385219</v>
          </cell>
        </row>
        <row r="19">
          <cell r="B19">
            <v>4814.6436660999998</v>
          </cell>
          <cell r="C19">
            <v>5375.4985516388751</v>
          </cell>
          <cell r="D19">
            <v>5684.9881900547743</v>
          </cell>
          <cell r="E19">
            <v>5588.0205095849515</v>
          </cell>
          <cell r="F19">
            <v>5493.0124360401223</v>
          </cell>
          <cell r="G19">
            <v>5344.9869701894431</v>
          </cell>
          <cell r="H19">
            <v>5151.1272856474861</v>
          </cell>
          <cell r="I19">
            <v>5009.4782035068456</v>
          </cell>
          <cell r="J19">
            <v>4832.8496961553064</v>
          </cell>
          <cell r="K19">
            <v>4624.9337129503847</v>
          </cell>
        </row>
        <row r="20">
          <cell r="B20">
            <v>41.157157814999998</v>
          </cell>
          <cell r="C20">
            <v>50.253598862249895</v>
          </cell>
          <cell r="D20">
            <v>58.57560361687387</v>
          </cell>
          <cell r="E20">
            <v>997.4191850918204</v>
          </cell>
          <cell r="F20">
            <v>2034.4772272169362</v>
          </cell>
          <cell r="G20">
            <v>3145.6459778807948</v>
          </cell>
          <cell r="H20">
            <v>4324.2220062171336</v>
          </cell>
          <cell r="I20">
            <v>5596.1251925027309</v>
          </cell>
          <cell r="J20">
            <v>6938.0685049124168</v>
          </cell>
          <cell r="K20">
            <v>8347.2852774487037</v>
          </cell>
        </row>
        <row r="21">
          <cell r="B21">
            <v>43.570185572</v>
          </cell>
          <cell r="C21">
            <v>51.041189444655664</v>
          </cell>
          <cell r="D21">
            <v>56.514218448360459</v>
          </cell>
          <cell r="E21">
            <v>59.527379236476094</v>
          </cell>
          <cell r="F21">
            <v>61.936393196576304</v>
          </cell>
          <cell r="G21">
            <v>63.191510203753779</v>
          </cell>
          <cell r="H21">
            <v>64.070076325220157</v>
          </cell>
          <cell r="I21">
            <v>67.286919263762243</v>
          </cell>
          <cell r="J21">
            <v>70.443044348525518</v>
          </cell>
          <cell r="K21">
            <v>73.591325571454732</v>
          </cell>
        </row>
        <row r="23">
          <cell r="B23">
            <v>438.79018300000001</v>
          </cell>
          <cell r="C23">
            <v>486.44452630950911</v>
          </cell>
          <cell r="D23">
            <v>659.14450785705458</v>
          </cell>
          <cell r="E23">
            <v>831.84448940459993</v>
          </cell>
          <cell r="F23">
            <v>937.96868805772499</v>
          </cell>
          <cell r="G23">
            <v>1044.0928867108501</v>
          </cell>
          <cell r="H23">
            <v>1150.217085363975</v>
          </cell>
          <cell r="I23">
            <v>1256.3412840171</v>
          </cell>
          <cell r="J23">
            <v>1368.0635351474684</v>
          </cell>
          <cell r="K23">
            <v>1489.7208744234135</v>
          </cell>
        </row>
        <row r="29">
          <cell r="B29">
            <v>3709.9843593000001</v>
          </cell>
          <cell r="C29">
            <v>4201.522234621285</v>
          </cell>
          <cell r="D29">
            <v>4499.1447838043487</v>
          </cell>
          <cell r="E29">
            <v>4464.4837181094481</v>
          </cell>
          <cell r="F29">
            <v>4393.169291637988</v>
          </cell>
          <cell r="G29">
            <v>4266.8869174517185</v>
          </cell>
          <cell r="H29">
            <v>4114.5991489209227</v>
          </cell>
          <cell r="I29">
            <v>3942.4798661894433</v>
          </cell>
          <cell r="J29">
            <v>3748.8298168027281</v>
          </cell>
          <cell r="K29">
            <v>3538.9092063919338</v>
          </cell>
        </row>
        <row r="30">
          <cell r="B30">
            <v>1955.0668243</v>
          </cell>
          <cell r="C30">
            <v>2124.886470229389</v>
          </cell>
          <cell r="D30">
            <v>2222.7746715581102</v>
          </cell>
          <cell r="E30">
            <v>2175.358983629083</v>
          </cell>
          <cell r="F30">
            <v>2107.3687009452751</v>
          </cell>
          <cell r="G30">
            <v>2024.1914440388073</v>
          </cell>
          <cell r="H30">
            <v>1928.4616103325534</v>
          </cell>
          <cell r="I30">
            <v>1849.8281498024055</v>
          </cell>
          <cell r="J30">
            <v>1760.911892889183</v>
          </cell>
          <cell r="K30">
            <v>1664.1506228673302</v>
          </cell>
        </row>
        <row r="31">
          <cell r="B31">
            <v>2.4426175743999998</v>
          </cell>
          <cell r="C31">
            <v>2.8826686285321461</v>
          </cell>
          <cell r="D31">
            <v>3.2449092330585461</v>
          </cell>
          <cell r="E31">
            <v>353.04612931612559</v>
          </cell>
          <cell r="F31">
            <v>726.16789554219611</v>
          </cell>
          <cell r="G31">
            <v>1114.3321314086511</v>
          </cell>
          <cell r="H31">
            <v>1515.1589643448724</v>
          </cell>
          <cell r="I31">
            <v>1935.247382388043</v>
          </cell>
          <cell r="J31">
            <v>2365.8672495202559</v>
          </cell>
          <cell r="K31">
            <v>2806.2594862081196</v>
          </cell>
        </row>
        <row r="32">
          <cell r="B32">
            <v>38.030338682999997</v>
          </cell>
          <cell r="C32">
            <v>43.06049535590035</v>
          </cell>
          <cell r="D32">
            <v>46.04412121296555</v>
          </cell>
          <cell r="E32">
            <v>47.248760469455824</v>
          </cell>
          <cell r="F32">
            <v>47.979750036311074</v>
          </cell>
          <cell r="G32">
            <v>47.866678425161403</v>
          </cell>
          <cell r="H32">
            <v>47.522639050839928</v>
          </cell>
          <cell r="I32">
            <v>48.870491270148733</v>
          </cell>
          <cell r="J32">
            <v>50.098523712838649</v>
          </cell>
          <cell r="K32">
            <v>51.248857613723921</v>
          </cell>
        </row>
        <row r="34">
          <cell r="B34">
            <v>54.303948532</v>
          </cell>
          <cell r="C34">
            <v>54.686199269744542</v>
          </cell>
          <cell r="D34">
            <v>54.568317274941258</v>
          </cell>
          <cell r="E34">
            <v>54.480145464987459</v>
          </cell>
          <cell r="F34">
            <v>53.522594838227334</v>
          </cell>
          <cell r="G34">
            <v>53.163429193695293</v>
          </cell>
          <cell r="H34">
            <v>52.573439214473844</v>
          </cell>
          <cell r="I34">
            <v>53.797391718814715</v>
          </cell>
          <cell r="J34">
            <v>54.874529134792979</v>
          </cell>
          <cell r="K34">
            <v>55.852846256031242</v>
          </cell>
        </row>
        <row r="40">
          <cell r="B40">
            <v>1972.0747595</v>
          </cell>
          <cell r="C40">
            <v>2202.4261091894841</v>
          </cell>
          <cell r="D40">
            <v>2342.3656494592965</v>
          </cell>
          <cell r="E40">
            <v>2308.8245529998385</v>
          </cell>
          <cell r="F40">
            <v>2257.3629230926776</v>
          </cell>
          <cell r="G40">
            <v>2177.5975562549547</v>
          </cell>
          <cell r="H40">
            <v>2085.6934802201063</v>
          </cell>
          <cell r="I40">
            <v>1984.9469310653926</v>
          </cell>
          <cell r="J40">
            <v>1874.6992506846777</v>
          </cell>
          <cell r="K40">
            <v>1757.768855368809</v>
          </cell>
        </row>
        <row r="41">
          <cell r="B41">
            <v>1385.2330090999999</v>
          </cell>
          <cell r="C41">
            <v>1484.7055833780921</v>
          </cell>
          <cell r="D41">
            <v>1542.5174672277992</v>
          </cell>
          <cell r="E41">
            <v>1499.5486296087083</v>
          </cell>
          <cell r="F41">
            <v>1443.3574681922848</v>
          </cell>
          <cell r="G41">
            <v>1376.9811717584339</v>
          </cell>
          <cell r="H41">
            <v>1302.9983905973763</v>
          </cell>
          <cell r="I41">
            <v>1241.4256940906569</v>
          </cell>
          <cell r="J41">
            <v>1173.7711659973318</v>
          </cell>
          <cell r="K41">
            <v>1101.7800551840251</v>
          </cell>
        </row>
        <row r="42">
          <cell r="B42">
            <v>0.98369936449999995</v>
          </cell>
          <cell r="C42">
            <v>1.1448405928655205</v>
          </cell>
          <cell r="D42">
            <v>1.2799201963946412</v>
          </cell>
          <cell r="E42">
            <v>201.84365659883633</v>
          </cell>
          <cell r="F42">
            <v>412.70391544897382</v>
          </cell>
          <cell r="G42">
            <v>628.88005361106104</v>
          </cell>
          <cell r="H42">
            <v>848.86036106597123</v>
          </cell>
          <cell r="I42">
            <v>1077.1656813268089</v>
          </cell>
          <cell r="J42">
            <v>1308.2109478182083</v>
          </cell>
          <cell r="K42">
            <v>1541.4926132443704</v>
          </cell>
        </row>
        <row r="43">
          <cell r="B43">
            <v>35.608960758999999</v>
          </cell>
          <cell r="C43">
            <v>39.760470256214312</v>
          </cell>
          <cell r="D43">
            <v>42.225686600052057</v>
          </cell>
          <cell r="E43">
            <v>43.041551574729141</v>
          </cell>
          <cell r="F43">
            <v>43.426941077357505</v>
          </cell>
          <cell r="G43">
            <v>43.030618577329342</v>
          </cell>
          <cell r="H43">
            <v>42.432763012149017</v>
          </cell>
          <cell r="I43">
            <v>43.341499316315762</v>
          </cell>
          <cell r="J43">
            <v>44.130476703808405</v>
          </cell>
          <cell r="K43">
            <v>44.838837421749226</v>
          </cell>
        </row>
        <row r="45">
          <cell r="B45">
            <v>52.669440211999998</v>
          </cell>
          <cell r="C45">
            <v>52.305627781649427</v>
          </cell>
          <cell r="D45">
            <v>51.837169649710418</v>
          </cell>
          <cell r="E45">
            <v>51.408383135741104</v>
          </cell>
          <cell r="F45">
            <v>50.18068741430065</v>
          </cell>
          <cell r="G45">
            <v>49.50573027794357</v>
          </cell>
          <cell r="H45">
            <v>48.625640799459923</v>
          </cell>
          <cell r="I45">
            <v>49.42158092028631</v>
          </cell>
          <cell r="J45">
            <v>50.07058720429486</v>
          </cell>
          <cell r="K45">
            <v>50.61901056795206</v>
          </cell>
        </row>
        <row r="51">
          <cell r="B51">
            <v>241.40144318</v>
          </cell>
          <cell r="C51">
            <v>256.38669616322198</v>
          </cell>
          <cell r="D51">
            <v>264.74006817017136</v>
          </cell>
          <cell r="E51">
            <v>254.98896210861528</v>
          </cell>
          <cell r="F51">
            <v>243.70735181680345</v>
          </cell>
          <cell r="G51">
            <v>229.55572786790603</v>
          </cell>
          <cell r="H51">
            <v>214.71599979783102</v>
          </cell>
          <cell r="I51">
            <v>199.55666384253789</v>
          </cell>
          <cell r="J51">
            <v>184.05700520206918</v>
          </cell>
          <cell r="K51">
            <v>168.5333764026401</v>
          </cell>
        </row>
        <row r="52">
          <cell r="B52">
            <v>174.74236519999999</v>
          </cell>
          <cell r="C52">
            <v>178.1120782795166</v>
          </cell>
          <cell r="D52">
            <v>179.66106374071808</v>
          </cell>
          <cell r="E52">
            <v>170.66713324779872</v>
          </cell>
          <cell r="F52">
            <v>160.58317374656517</v>
          </cell>
          <cell r="G52">
            <v>149.58822382661114</v>
          </cell>
          <cell r="H52">
            <v>138.2345788126556</v>
          </cell>
          <cell r="I52">
            <v>128.61657931706796</v>
          </cell>
          <cell r="J52">
            <v>118.75805401632311</v>
          </cell>
          <cell r="K52">
            <v>108.86241211309982</v>
          </cell>
        </row>
        <row r="53">
          <cell r="B53">
            <v>0.1174510768</v>
          </cell>
          <cell r="C53">
            <v>0.12999219689436925</v>
          </cell>
          <cell r="D53">
            <v>0.14109967137812021</v>
          </cell>
          <cell r="E53">
            <v>22.554083792987402</v>
          </cell>
          <cell r="F53">
            <v>45.080469459925567</v>
          </cell>
          <cell r="G53">
            <v>67.072421923345203</v>
          </cell>
          <cell r="H53">
            <v>88.407081703853095</v>
          </cell>
          <cell r="I53">
            <v>109.55858260018466</v>
          </cell>
          <cell r="J53">
            <v>129.94294258384545</v>
          </cell>
          <cell r="K53">
            <v>149.52926688544488</v>
          </cell>
        </row>
        <row r="54">
          <cell r="B54">
            <v>0.95186353219999997</v>
          </cell>
          <cell r="C54">
            <v>1.0107518694816831</v>
          </cell>
          <cell r="D54">
            <v>1.0421748962122819</v>
          </cell>
          <cell r="E54">
            <v>1.0380476016591977</v>
          </cell>
          <cell r="F54">
            <v>1.023824185034113</v>
          </cell>
          <cell r="G54">
            <v>0.99057418172506617</v>
          </cell>
          <cell r="H54">
            <v>0.953924795672348</v>
          </cell>
          <cell r="I54">
            <v>0.95152492160407331</v>
          </cell>
          <cell r="J54">
            <v>0.94614623645549989</v>
          </cell>
          <cell r="K54">
            <v>0.93880934049183107</v>
          </cell>
        </row>
        <row r="56">
          <cell r="B56">
            <v>4.8778387282000004</v>
          </cell>
          <cell r="C56">
            <v>4.6067517078632774</v>
          </cell>
          <cell r="D56">
            <v>4.4325997123120198</v>
          </cell>
          <cell r="E56">
            <v>4.2955288609824418</v>
          </cell>
          <cell r="F56">
            <v>4.0987940470971456</v>
          </cell>
          <cell r="G56">
            <v>3.948373532762397</v>
          </cell>
          <cell r="H56">
            <v>3.7873157074021599</v>
          </cell>
          <cell r="I56">
            <v>3.7591202273158206</v>
          </cell>
          <cell r="J56">
            <v>3.7192526197681022</v>
          </cell>
          <cell r="K56">
            <v>3.6718933244308287</v>
          </cell>
        </row>
        <row r="62">
          <cell r="B62">
            <v>1001.7566771</v>
          </cell>
          <cell r="C62">
            <v>1070.8422136513325</v>
          </cell>
          <cell r="D62">
            <v>1107.4173817181668</v>
          </cell>
          <cell r="E62">
            <v>1069.5667920302867</v>
          </cell>
          <cell r="F62">
            <v>1023.9236178325236</v>
          </cell>
          <cell r="G62">
            <v>967.51651936247458</v>
          </cell>
          <cell r="H62">
            <v>907.22473602574303</v>
          </cell>
          <cell r="I62">
            <v>845.27287109918939</v>
          </cell>
          <cell r="J62">
            <v>781.56169724685697</v>
          </cell>
          <cell r="K62">
            <v>717.4259109478246</v>
          </cell>
        </row>
        <row r="63">
          <cell r="B63">
            <v>607.82570181000006</v>
          </cell>
          <cell r="C63">
            <v>623.56514980766099</v>
          </cell>
          <cell r="D63">
            <v>629.94711730603649</v>
          </cell>
          <cell r="E63">
            <v>600.06029274144498</v>
          </cell>
          <cell r="F63">
            <v>565.53232516189712</v>
          </cell>
          <cell r="G63">
            <v>528.47704427654003</v>
          </cell>
          <cell r="H63">
            <v>489.5822182954663</v>
          </cell>
          <cell r="I63">
            <v>456.65279208423863</v>
          </cell>
          <cell r="J63">
            <v>422.70020195563478</v>
          </cell>
          <cell r="K63">
            <v>388.4432293252483</v>
          </cell>
        </row>
        <row r="64">
          <cell r="B64">
            <v>1.7589425135000001</v>
          </cell>
          <cell r="C64">
            <v>1.9593839218579061</v>
          </cell>
          <cell r="D64">
            <v>2.1300506037102349</v>
          </cell>
          <cell r="E64">
            <v>90.162885783097636</v>
          </cell>
          <cell r="F64">
            <v>179.02160351233553</v>
          </cell>
          <cell r="G64">
            <v>266.50350681158028</v>
          </cell>
          <cell r="H64">
            <v>351.78537334398339</v>
          </cell>
          <cell r="I64">
            <v>436.53570335811065</v>
          </cell>
          <cell r="J64">
            <v>518.64168715347978</v>
          </cell>
          <cell r="K64">
            <v>597.96139993838415</v>
          </cell>
        </row>
        <row r="65">
          <cell r="B65">
            <v>3.0321841239</v>
          </cell>
          <cell r="C65">
            <v>3.2406568598664962</v>
          </cell>
          <cell r="D65">
            <v>3.3464995003583162</v>
          </cell>
          <cell r="E65">
            <v>3.3424298097727942</v>
          </cell>
          <cell r="F65">
            <v>3.3020436632042034</v>
          </cell>
          <cell r="G65">
            <v>3.2049093996194458</v>
          </cell>
          <cell r="H65">
            <v>3.0940199556458654</v>
          </cell>
          <cell r="I65">
            <v>3.0939219993710809</v>
          </cell>
          <cell r="J65">
            <v>3.0840945191609705</v>
          </cell>
          <cell r="K65">
            <v>3.0677999462922809</v>
          </cell>
        </row>
        <row r="67">
          <cell r="B67">
            <v>39.591997026999998</v>
          </cell>
          <cell r="C67">
            <v>37.634174096705294</v>
          </cell>
          <cell r="D67">
            <v>36.266676661492831</v>
          </cell>
          <cell r="E67">
            <v>35.242017096199206</v>
          </cell>
          <cell r="F67">
            <v>33.683143361699791</v>
          </cell>
          <cell r="G67">
            <v>32.549631344464785</v>
          </cell>
          <cell r="H67">
            <v>31.299656504261826</v>
          </cell>
          <cell r="I67">
            <v>31.144007735886053</v>
          </cell>
          <cell r="J67">
            <v>30.890446129216475</v>
          </cell>
          <cell r="K67">
            <v>30.573050866629668</v>
          </cell>
        </row>
        <row r="73">
          <cell r="B73">
            <v>933.36875414999997</v>
          </cell>
          <cell r="C73">
            <v>1007.1599126267363</v>
          </cell>
          <cell r="D73">
            <v>1050.1751530058386</v>
          </cell>
          <cell r="E73">
            <v>1023.8304109406012</v>
          </cell>
          <cell r="F73">
            <v>990.52267519615827</v>
          </cell>
          <cell r="G73">
            <v>947.29906273191011</v>
          </cell>
          <cell r="H73">
            <v>900.33581911087242</v>
          </cell>
          <cell r="I73">
            <v>850.25168820753299</v>
          </cell>
          <cell r="J73">
            <v>796.8466780724342</v>
          </cell>
          <cell r="K73">
            <v>741.39471145671973</v>
          </cell>
        </row>
        <row r="74">
          <cell r="B74">
            <v>656.25872372000003</v>
          </cell>
          <cell r="C74">
            <v>679.61006238883851</v>
          </cell>
          <cell r="D74">
            <v>692.24449842666991</v>
          </cell>
          <cell r="E74">
            <v>665.61028099652003</v>
          </cell>
          <cell r="F74">
            <v>633.95628558633257</v>
          </cell>
          <cell r="G74">
            <v>599.59756870495517</v>
          </cell>
          <cell r="H74">
            <v>563.01543139911462</v>
          </cell>
          <cell r="I74">
            <v>532.28191020385486</v>
          </cell>
          <cell r="J74">
            <v>499.40049849575547</v>
          </cell>
          <cell r="K74">
            <v>465.16282456311291</v>
          </cell>
        </row>
        <row r="75">
          <cell r="B75">
            <v>1.1335038904000001</v>
          </cell>
          <cell r="C75">
            <v>1.2745968627652697</v>
          </cell>
          <cell r="D75">
            <v>1.3970780871291077</v>
          </cell>
          <cell r="E75">
            <v>90.432587059996209</v>
          </cell>
          <cell r="F75">
            <v>182.11374677202289</v>
          </cell>
          <cell r="G75">
            <v>274.6778717333919</v>
          </cell>
          <cell r="H75">
            <v>367.61118983296728</v>
          </cell>
          <cell r="I75">
            <v>462.62589694881103</v>
          </cell>
          <cell r="J75">
            <v>557.31818462028787</v>
          </cell>
          <cell r="K75">
            <v>651.46698002003961</v>
          </cell>
        </row>
        <row r="76">
          <cell r="B76">
            <v>7.0100687938000004</v>
          </cell>
          <cell r="C76">
            <v>7.5627839566320754</v>
          </cell>
          <cell r="D76">
            <v>7.874389002939659</v>
          </cell>
          <cell r="E76">
            <v>7.9388593713285784</v>
          </cell>
          <cell r="F76">
            <v>7.9260237837911109</v>
          </cell>
          <cell r="G76">
            <v>7.7861035225611985</v>
          </cell>
          <cell r="H76">
            <v>7.6188329985661944</v>
          </cell>
          <cell r="I76">
            <v>7.722103727645198</v>
          </cell>
          <cell r="J76">
            <v>7.8021604421772777</v>
          </cell>
          <cell r="K76">
            <v>7.8663843039997632</v>
          </cell>
        </row>
        <row r="78">
          <cell r="B78">
            <v>14.084735078</v>
          </cell>
          <cell r="C78">
            <v>13.514674809036247</v>
          </cell>
          <cell r="D78">
            <v>13.1313212266351</v>
          </cell>
          <cell r="E78">
            <v>12.880452920306872</v>
          </cell>
          <cell r="F78">
            <v>12.441127397342347</v>
          </cell>
          <cell r="G78">
            <v>12.168164017416238</v>
          </cell>
          <cell r="H78">
            <v>11.859857726030752</v>
          </cell>
          <cell r="I78">
            <v>11.961215999932602</v>
          </cell>
          <cell r="J78">
            <v>12.025023724508154</v>
          </cell>
          <cell r="K78">
            <v>12.063170523556442</v>
          </cell>
        </row>
        <row r="84">
          <cell r="B84">
            <v>1782.4745101999999</v>
          </cell>
          <cell r="C84">
            <v>1908.3688640784865</v>
          </cell>
          <cell r="D84">
            <v>1967.6265509154196</v>
          </cell>
          <cell r="E84">
            <v>1894.6110863988736</v>
          </cell>
          <cell r="F84">
            <v>1810.1686378092743</v>
          </cell>
          <cell r="G84">
            <v>1707.7657004107891</v>
          </cell>
          <cell r="H84">
            <v>1599.2192043823384</v>
          </cell>
          <cell r="I84">
            <v>1488.0353878597055</v>
          </cell>
          <cell r="J84">
            <v>1374.0508713660997</v>
          </cell>
          <cell r="K84">
            <v>1259.620783885633</v>
          </cell>
        </row>
        <row r="85">
          <cell r="B85">
            <v>885.65568203999999</v>
          </cell>
          <cell r="C85">
            <v>910.00430106687747</v>
          </cell>
          <cell r="D85">
            <v>916.55852714146886</v>
          </cell>
          <cell r="E85">
            <v>870.42593801533098</v>
          </cell>
          <cell r="F85">
            <v>818.7167586840776</v>
          </cell>
          <cell r="G85">
            <v>763.87236051301397</v>
          </cell>
          <cell r="H85">
            <v>706.71371564169522</v>
          </cell>
          <cell r="I85">
            <v>658.30509624808076</v>
          </cell>
          <cell r="J85">
            <v>608.55070613686246</v>
          </cell>
          <cell r="K85">
            <v>558.4895957132801</v>
          </cell>
        </row>
        <row r="86">
          <cell r="B86">
            <v>5.6344181790999999</v>
          </cell>
          <cell r="C86">
            <v>6.2862656178764578</v>
          </cell>
          <cell r="D86">
            <v>6.8133015071856491</v>
          </cell>
          <cell r="E86">
            <v>152.82388138305578</v>
          </cell>
          <cell r="F86">
            <v>299.78569209757393</v>
          </cell>
          <cell r="G86">
            <v>444.13030360782898</v>
          </cell>
          <cell r="H86">
            <v>584.68222424785245</v>
          </cell>
          <cell r="I86">
            <v>723.56156515067687</v>
          </cell>
          <cell r="J86">
            <v>857.69212279971146</v>
          </cell>
          <cell r="K86">
            <v>986.86369297740714</v>
          </cell>
        </row>
        <row r="87">
          <cell r="B87">
            <v>3.8744282972000001</v>
          </cell>
          <cell r="C87">
            <v>4.1472561809390456</v>
          </cell>
          <cell r="D87">
            <v>4.2698545292987413</v>
          </cell>
          <cell r="E87">
            <v>4.2517276359418705</v>
          </cell>
          <cell r="F87">
            <v>4.1920385097516979</v>
          </cell>
          <cell r="G87">
            <v>4.0623433842835119</v>
          </cell>
          <cell r="H87">
            <v>3.9165817878555673</v>
          </cell>
          <cell r="I87">
            <v>3.9112598128779124</v>
          </cell>
          <cell r="J87">
            <v>3.893661566178408</v>
          </cell>
          <cell r="K87">
            <v>3.8679492911639808</v>
          </cell>
        </row>
        <row r="89">
          <cell r="B89">
            <v>39.768452936000003</v>
          </cell>
          <cell r="C89">
            <v>37.860769348958677</v>
          </cell>
          <cell r="D89">
            <v>36.375527910889502</v>
          </cell>
          <cell r="E89">
            <v>35.240586482154747</v>
          </cell>
          <cell r="F89">
            <v>33.615091326607882</v>
          </cell>
          <cell r="G89">
            <v>32.43292950197624</v>
          </cell>
          <cell r="H89">
            <v>31.146043866694029</v>
          </cell>
          <cell r="I89">
            <v>30.950027100929834</v>
          </cell>
          <cell r="J89">
            <v>30.657301938060794</v>
          </cell>
          <cell r="K89">
            <v>30.302031481617163</v>
          </cell>
        </row>
        <row r="95">
          <cell r="B95">
            <v>3481.4296611999998</v>
          </cell>
          <cell r="C95">
            <v>3792.7377630597539</v>
          </cell>
          <cell r="D95">
            <v>3961.3289254672682</v>
          </cell>
          <cell r="E95">
            <v>3857.6002433025947</v>
          </cell>
          <cell r="F95">
            <v>3734.3851327734587</v>
          </cell>
          <cell r="G95">
            <v>3570.7834202016065</v>
          </cell>
          <cell r="H95">
            <v>3387.9056731434598</v>
          </cell>
          <cell r="I95">
            <v>3193.803817841128</v>
          </cell>
          <cell r="J95">
            <v>2987.220237977122</v>
          </cell>
          <cell r="K95">
            <v>2773.1945193249844</v>
          </cell>
        </row>
        <row r="96">
          <cell r="B96">
            <v>2005.8850408000001</v>
          </cell>
          <cell r="C96">
            <v>2097.0831683828196</v>
          </cell>
          <cell r="D96">
            <v>2133.771274611694</v>
          </cell>
          <cell r="E96">
            <v>2044.9574840609969</v>
          </cell>
          <cell r="F96">
            <v>1945.8441390682067</v>
          </cell>
          <cell r="G96">
            <v>1837.0505770552491</v>
          </cell>
          <cell r="H96">
            <v>1718.6950772682246</v>
          </cell>
          <cell r="I96">
            <v>1619.2136346620873</v>
          </cell>
          <cell r="J96">
            <v>1513.1932313264297</v>
          </cell>
          <cell r="K96">
            <v>1403.2964335593374</v>
          </cell>
        </row>
        <row r="97">
          <cell r="B97">
            <v>19.359252680000001</v>
          </cell>
          <cell r="C97">
            <v>21.979585420461127</v>
          </cell>
          <cell r="D97">
            <v>24.209552550333033</v>
          </cell>
          <cell r="E97">
            <v>336.93967137356333</v>
          </cell>
          <cell r="F97">
            <v>659.23505907998981</v>
          </cell>
          <cell r="G97">
            <v>983.85457059822363</v>
          </cell>
          <cell r="H97">
            <v>1307.5275475377844</v>
          </cell>
          <cell r="I97">
            <v>1635.3567795319029</v>
          </cell>
          <cell r="J97">
            <v>1959.8077941606898</v>
          </cell>
          <cell r="K97">
            <v>2279.9135148626342</v>
          </cell>
        </row>
        <row r="98">
          <cell r="B98">
            <v>24.444631151999999</v>
          </cell>
          <cell r="C98">
            <v>26.627106835526124</v>
          </cell>
          <cell r="D98">
            <v>27.859837739011599</v>
          </cell>
          <cell r="E98">
            <v>28.121874942901538</v>
          </cell>
          <cell r="F98">
            <v>28.136474242848251</v>
          </cell>
          <cell r="G98">
            <v>27.678209980861634</v>
          </cell>
          <cell r="H98">
            <v>27.084643769029721</v>
          </cell>
          <cell r="I98">
            <v>27.452832006609832</v>
          </cell>
          <cell r="J98">
            <v>27.738517482701695</v>
          </cell>
          <cell r="K98">
            <v>27.967933380140934</v>
          </cell>
        </row>
        <row r="100">
          <cell r="B100">
            <v>164.37</v>
          </cell>
          <cell r="C100">
            <v>171.7</v>
          </cell>
          <cell r="D100">
            <v>192.7</v>
          </cell>
          <cell r="E100">
            <v>207.58</v>
          </cell>
          <cell r="F100">
            <v>213.28000000000003</v>
          </cell>
          <cell r="G100">
            <v>218.98</v>
          </cell>
          <cell r="H100">
            <v>224.67999999999998</v>
          </cell>
          <cell r="I100">
            <v>230.39720711920958</v>
          </cell>
          <cell r="J100">
            <v>236.24195214964192</v>
          </cell>
          <cell r="K100">
            <v>242.23496739957</v>
          </cell>
        </row>
        <row r="106">
          <cell r="B106">
            <v>1012.1329009999999</v>
          </cell>
          <cell r="C106">
            <v>1092.2632777995841</v>
          </cell>
          <cell r="D106">
            <v>1140.7221776058159</v>
          </cell>
          <cell r="E106">
            <v>1109.5502388131681</v>
          </cell>
          <cell r="F106">
            <v>1070.2491818289316</v>
          </cell>
          <cell r="G106">
            <v>1018.3480480803144</v>
          </cell>
          <cell r="H106">
            <v>960.03193508891297</v>
          </cell>
          <cell r="I106">
            <v>899.33430030691625</v>
          </cell>
          <cell r="J106">
            <v>836.10616907855217</v>
          </cell>
          <cell r="K106">
            <v>771.73763095601225</v>
          </cell>
        </row>
        <row r="107">
          <cell r="B107">
            <v>528.66856442999995</v>
          </cell>
          <cell r="C107">
            <v>547.53617167092091</v>
          </cell>
          <cell r="D107">
            <v>558.60108195741577</v>
          </cell>
          <cell r="E107">
            <v>535.87448690211431</v>
          </cell>
          <cell r="F107">
            <v>508.86655504499822</v>
          </cell>
          <cell r="G107">
            <v>478.8429571471292</v>
          </cell>
          <cell r="H107">
            <v>445.99045391341156</v>
          </cell>
          <cell r="I107">
            <v>418.25339489150082</v>
          </cell>
          <cell r="J107">
            <v>389.27789770330446</v>
          </cell>
          <cell r="K107">
            <v>359.70734510655643</v>
          </cell>
        </row>
        <row r="108">
          <cell r="B108">
            <v>2.5483198348</v>
          </cell>
          <cell r="C108">
            <v>2.8658165188259326</v>
          </cell>
          <cell r="D108">
            <v>3.1461937383927321</v>
          </cell>
          <cell r="E108">
            <v>90.00443937760123</v>
          </cell>
          <cell r="F108">
            <v>179.07749249903833</v>
          </cell>
          <cell r="G108">
            <v>267.99034110126149</v>
          </cell>
          <cell r="H108">
            <v>355.42598396164885</v>
          </cell>
          <cell r="I108">
            <v>443.10226498571848</v>
          </cell>
          <cell r="J108">
            <v>529.04476627362703</v>
          </cell>
          <cell r="K108">
            <v>613.08562479905993</v>
          </cell>
        </row>
        <row r="109">
          <cell r="B109">
            <v>34.127286998000002</v>
          </cell>
          <cell r="C109">
            <v>36.821866232551095</v>
          </cell>
          <cell r="D109">
            <v>38.399910515730724</v>
          </cell>
          <cell r="E109">
            <v>38.625334658624389</v>
          </cell>
          <cell r="F109">
            <v>38.447761034205435</v>
          </cell>
          <cell r="G109">
            <v>37.577207401515913</v>
          </cell>
          <cell r="H109">
            <v>36.472438942978052</v>
          </cell>
          <cell r="I109">
            <v>36.669457598693704</v>
          </cell>
          <cell r="J109">
            <v>36.753333768795997</v>
          </cell>
          <cell r="K109">
            <v>36.761273988754944</v>
          </cell>
        </row>
        <row r="111">
          <cell r="B111">
            <v>19.807462209000001</v>
          </cell>
          <cell r="C111">
            <v>19.007735081562252</v>
          </cell>
          <cell r="D111">
            <v>18.497900571915267</v>
          </cell>
          <cell r="E111">
            <v>18.10280817389172</v>
          </cell>
          <cell r="F111">
            <v>17.43315890538188</v>
          </cell>
          <cell r="G111">
            <v>16.964069837130658</v>
          </cell>
          <cell r="H111">
            <v>16.400477755718519</v>
          </cell>
          <cell r="I111">
            <v>16.407592325698438</v>
          </cell>
          <cell r="J111">
            <v>16.363208800566682</v>
          </cell>
          <cell r="K111">
            <v>16.284616284924816</v>
          </cell>
        </row>
        <row r="117">
          <cell r="B117">
            <v>226.22434741999999</v>
          </cell>
          <cell r="C117">
            <v>229.30868742310201</v>
          </cell>
          <cell r="D117">
            <v>232.46602439870051</v>
          </cell>
          <cell r="E117">
            <v>219.85548210533702</v>
          </cell>
          <cell r="F117">
            <v>206.28836254845461</v>
          </cell>
          <cell r="G117">
            <v>191.03465313775982</v>
          </cell>
          <cell r="H117">
            <v>175.73921755348587</v>
          </cell>
          <cell r="I117">
            <v>160.63892020432047</v>
          </cell>
          <cell r="J117">
            <v>145.71932576653955</v>
          </cell>
          <cell r="K117">
            <v>131.22935183993863</v>
          </cell>
        </row>
        <row r="118">
          <cell r="B118">
            <v>160.37072223999999</v>
          </cell>
          <cell r="C118">
            <v>156.00761120178166</v>
          </cell>
          <cell r="D118">
            <v>154.49739893170599</v>
          </cell>
          <cell r="E118">
            <v>144.10969696789033</v>
          </cell>
          <cell r="F118">
            <v>133.11700210036983</v>
          </cell>
          <cell r="G118">
            <v>121.91266339680752</v>
          </cell>
          <cell r="H118">
            <v>110.80219601485926</v>
          </cell>
          <cell r="I118">
            <v>101.39321398213531</v>
          </cell>
          <cell r="J118">
            <v>92.077870713760262</v>
          </cell>
          <cell r="K118">
            <v>83.013821827890737</v>
          </cell>
        </row>
        <row r="119">
          <cell r="B119">
            <v>1.6916956777000001</v>
          </cell>
          <cell r="C119">
            <v>1.7869321426360312</v>
          </cell>
          <cell r="D119">
            <v>1.9042833460769777</v>
          </cell>
          <cell r="E119">
            <v>21.158856579552442</v>
          </cell>
          <cell r="F119">
            <v>39.784173593067564</v>
          </cell>
          <cell r="G119">
            <v>57.332165135828504</v>
          </cell>
          <cell r="H119">
            <v>73.76681944645081</v>
          </cell>
          <cell r="I119">
            <v>89.416423422689405</v>
          </cell>
          <cell r="J119">
            <v>103.92158755288044</v>
          </cell>
          <cell r="K119">
            <v>117.30411309720213</v>
          </cell>
        </row>
        <row r="120">
          <cell r="B120">
            <v>0.29466348679999999</v>
          </cell>
          <cell r="C120">
            <v>0.29862195124231178</v>
          </cell>
          <cell r="D120">
            <v>0.30229612000545841</v>
          </cell>
          <cell r="E120">
            <v>0.2956550766468185</v>
          </cell>
          <cell r="F120">
            <v>0.28627513990462355</v>
          </cell>
          <cell r="G120">
            <v>0.27230974156491417</v>
          </cell>
          <cell r="H120">
            <v>0.2579114195201368</v>
          </cell>
          <cell r="I120">
            <v>0.25302117139355956</v>
          </cell>
          <cell r="J120">
            <v>0.24744302779100011</v>
          </cell>
          <cell r="K120">
            <v>0.24147635812697249</v>
          </cell>
        </row>
        <row r="122">
          <cell r="B122">
            <v>6.0600083682000001</v>
          </cell>
          <cell r="C122">
            <v>5.4621815671156266</v>
          </cell>
          <cell r="D122">
            <v>5.1599397475806184</v>
          </cell>
          <cell r="E122">
            <v>4.9099702846351976</v>
          </cell>
          <cell r="F122">
            <v>4.5994775055431942</v>
          </cell>
          <cell r="G122">
            <v>4.3560068783579071</v>
          </cell>
          <cell r="H122">
            <v>4.1094347998140277</v>
          </cell>
          <cell r="I122">
            <v>4.0115948180816146</v>
          </cell>
          <cell r="J122">
            <v>3.903613253031935</v>
          </cell>
          <cell r="K122">
            <v>3.7903683961876764</v>
          </cell>
        </row>
        <row r="128">
          <cell r="B128">
            <v>3777.041205</v>
          </cell>
          <cell r="C128">
            <v>4303.8751245061658</v>
          </cell>
          <cell r="D128">
            <v>4650.1832613889947</v>
          </cell>
          <cell r="E128">
            <v>4625.6951947417838</v>
          </cell>
          <cell r="F128">
            <v>4568.1022952198146</v>
          </cell>
          <cell r="G128">
            <v>4455.3852781229716</v>
          </cell>
          <cell r="H128">
            <v>4313.2787920905839</v>
          </cell>
          <cell r="I128">
            <v>4149.1138131235475</v>
          </cell>
          <cell r="J128">
            <v>3960.841422139184</v>
          </cell>
          <cell r="K128">
            <v>3753.7644418577588</v>
          </cell>
        </row>
        <row r="129">
          <cell r="B129">
            <v>2033.7115475000001</v>
          </cell>
          <cell r="C129">
            <v>2224.0104900290562</v>
          </cell>
          <cell r="D129">
            <v>2347.3813143181319</v>
          </cell>
          <cell r="E129">
            <v>2302.9515887737884</v>
          </cell>
          <cell r="F129">
            <v>2238.9609102943136</v>
          </cell>
          <cell r="G129">
            <v>2159.6024997274244</v>
          </cell>
          <cell r="H129">
            <v>2065.5661139905533</v>
          </cell>
          <cell r="I129">
            <v>1989.140006910608</v>
          </cell>
          <cell r="J129">
            <v>1900.979618904114</v>
          </cell>
          <cell r="K129">
            <v>1803.5921305521865</v>
          </cell>
        </row>
        <row r="130">
          <cell r="B130">
            <v>16.530142167000001</v>
          </cell>
          <cell r="C130">
            <v>19.628593667867509</v>
          </cell>
          <cell r="D130">
            <v>22.293800982316228</v>
          </cell>
          <cell r="E130">
            <v>389.32704011100651</v>
          </cell>
          <cell r="F130">
            <v>783.19940091977469</v>
          </cell>
          <cell r="G130">
            <v>1196.0988158538332</v>
          </cell>
          <cell r="H130">
            <v>1625.3279867048052</v>
          </cell>
          <cell r="I130">
            <v>2077.4113797333853</v>
          </cell>
          <cell r="J130">
            <v>2544.1600453278597</v>
          </cell>
          <cell r="K130">
            <v>3024.9403043547818</v>
          </cell>
        </row>
        <row r="131">
          <cell r="B131">
            <v>12.048552727000001</v>
          </cell>
          <cell r="C131">
            <v>13.726413029488894</v>
          </cell>
          <cell r="D131">
            <v>14.809463764552916</v>
          </cell>
          <cell r="E131">
            <v>15.234255452025836</v>
          </cell>
          <cell r="F131">
            <v>15.525332425517563</v>
          </cell>
          <cell r="G131">
            <v>15.553655290672346</v>
          </cell>
          <cell r="H131">
            <v>15.502637559360171</v>
          </cell>
          <cell r="I131">
            <v>16.005071334799027</v>
          </cell>
          <cell r="J131">
            <v>16.47182439110999</v>
          </cell>
          <cell r="K131">
            <v>16.91635653567775</v>
          </cell>
        </row>
        <row r="133">
          <cell r="B133">
            <v>174.53993166999999</v>
          </cell>
          <cell r="C133">
            <v>176.87296327000001</v>
          </cell>
          <cell r="D133">
            <v>174.21967068999999</v>
          </cell>
          <cell r="E133">
            <v>176.58415210000001</v>
          </cell>
          <cell r="F133">
            <v>174.93159184000001</v>
          </cell>
          <cell r="G133">
            <v>173.02374889999999</v>
          </cell>
          <cell r="H133">
            <v>170.2658198</v>
          </cell>
          <cell r="I133">
            <v>170.2658198</v>
          </cell>
          <cell r="J133">
            <v>170.2658198</v>
          </cell>
          <cell r="K133">
            <v>170.2658198</v>
          </cell>
        </row>
        <row r="139">
          <cell r="B139">
            <v>1192.1699989000001</v>
          </cell>
          <cell r="C139">
            <v>1326.9158294201511</v>
          </cell>
          <cell r="D139">
            <v>1405.9517622448946</v>
          </cell>
          <cell r="E139">
            <v>1375.8999131901842</v>
          </cell>
          <cell r="F139">
            <v>1337.343758317917</v>
          </cell>
          <cell r="G139">
            <v>1284.5628223047361</v>
          </cell>
          <cell r="H139">
            <v>1225.0085797935633</v>
          </cell>
          <cell r="I139">
            <v>1160.7761221020037</v>
          </cell>
          <cell r="J139">
            <v>1091.5461202686454</v>
          </cell>
          <cell r="K139">
            <v>1019.0210811487226</v>
          </cell>
        </row>
        <row r="140">
          <cell r="B140">
            <v>849.31688999999994</v>
          </cell>
          <cell r="C140">
            <v>907.22390425171136</v>
          </cell>
          <cell r="D140">
            <v>939.02668788620736</v>
          </cell>
          <cell r="E140">
            <v>906.3346425510905</v>
          </cell>
          <cell r="F140">
            <v>867.25674491482198</v>
          </cell>
          <cell r="G140">
            <v>823.83045919940366</v>
          </cell>
          <cell r="H140">
            <v>776.18391961077714</v>
          </cell>
          <cell r="I140">
            <v>736.2959480432869</v>
          </cell>
          <cell r="J140">
            <v>693.14809856433078</v>
          </cell>
          <cell r="K140">
            <v>647.81115884131884</v>
          </cell>
        </row>
        <row r="141">
          <cell r="B141">
            <v>7.2892681777000004</v>
          </cell>
          <cell r="C141">
            <v>8.4546137548543605</v>
          </cell>
          <cell r="D141">
            <v>9.4168433445800002</v>
          </cell>
          <cell r="E141">
            <v>130.365836304986</v>
          </cell>
          <cell r="F141">
            <v>255.94108219905624</v>
          </cell>
          <cell r="G141">
            <v>383.64914958359424</v>
          </cell>
          <cell r="H141">
            <v>512.446318519177</v>
          </cell>
          <cell r="I141">
            <v>644.6015352262441</v>
          </cell>
          <cell r="J141">
            <v>777.17051524003955</v>
          </cell>
          <cell r="K141">
            <v>909.85765207057284</v>
          </cell>
        </row>
        <row r="142">
          <cell r="B142">
            <v>18.503357486999999</v>
          </cell>
          <cell r="C142">
            <v>20.590645753018464</v>
          </cell>
          <cell r="D142">
            <v>21.785567446956744</v>
          </cell>
          <cell r="E142">
            <v>22.047545932302061</v>
          </cell>
          <cell r="F142">
            <v>22.114510639393984</v>
          </cell>
          <cell r="G142">
            <v>21.818844333276861</v>
          </cell>
          <cell r="H142">
            <v>21.422314220863498</v>
          </cell>
          <cell r="I142">
            <v>21.786121587151403</v>
          </cell>
          <cell r="J142">
            <v>22.086430339713825</v>
          </cell>
          <cell r="K142">
            <v>22.343549873447056</v>
          </cell>
        </row>
        <row r="144">
          <cell r="B144">
            <v>27.157477096000001</v>
          </cell>
          <cell r="C144">
            <v>26.878581943582802</v>
          </cell>
          <cell r="D144">
            <v>26.538288804301136</v>
          </cell>
          <cell r="E144">
            <v>26.130382158901256</v>
          </cell>
          <cell r="F144">
            <v>25.356784476800208</v>
          </cell>
          <cell r="G144">
            <v>24.908587745977144</v>
          </cell>
          <cell r="H144">
            <v>24.359585264764888</v>
          </cell>
          <cell r="I144">
            <v>24.650861682691598</v>
          </cell>
          <cell r="J144">
            <v>24.86618008790423</v>
          </cell>
          <cell r="K144">
            <v>25.029430072564445</v>
          </cell>
        </row>
        <row r="150">
          <cell r="B150">
            <v>657.74873722999996</v>
          </cell>
          <cell r="C150">
            <v>699.53944046746972</v>
          </cell>
          <cell r="D150">
            <v>715.60536958429316</v>
          </cell>
          <cell r="E150">
            <v>684.378162443919</v>
          </cell>
          <cell r="F150">
            <v>650.19767466821463</v>
          </cell>
          <cell r="G150">
            <v>610.00192053134595</v>
          </cell>
          <cell r="H150">
            <v>568.25837135413246</v>
          </cell>
          <cell r="I150">
            <v>526.00035311421527</v>
          </cell>
          <cell r="J150">
            <v>483.18174540859769</v>
          </cell>
          <cell r="K150">
            <v>440.63851465856482</v>
          </cell>
        </row>
        <row r="151">
          <cell r="B151">
            <v>380.70733008000002</v>
          </cell>
          <cell r="C151">
            <v>388.5822499920219</v>
          </cell>
          <cell r="D151">
            <v>388.31194404787141</v>
          </cell>
          <cell r="E151">
            <v>366.26677444809883</v>
          </cell>
          <cell r="F151">
            <v>342.57028308435463</v>
          </cell>
          <cell r="G151">
            <v>317.84350574172629</v>
          </cell>
          <cell r="H151">
            <v>292.53039425119812</v>
          </cell>
          <cell r="I151">
            <v>271.07509827511927</v>
          </cell>
          <cell r="J151">
            <v>249.28382949936938</v>
          </cell>
          <cell r="K151">
            <v>227.58694920473772</v>
          </cell>
        </row>
        <row r="152">
          <cell r="B152">
            <v>1.2430116738999999</v>
          </cell>
          <cell r="C152">
            <v>1.3776282709032792</v>
          </cell>
          <cell r="D152">
            <v>1.4814191703395134</v>
          </cell>
          <cell r="E152">
            <v>56.872635028727352</v>
          </cell>
          <cell r="F152">
            <v>111.95833570387855</v>
          </cell>
          <cell r="G152">
            <v>165.43701895084766</v>
          </cell>
          <cell r="H152">
            <v>216.93894959863078</v>
          </cell>
          <cell r="I152">
            <v>267.40670870577242</v>
          </cell>
          <cell r="J152">
            <v>315.59687245111155</v>
          </cell>
          <cell r="K152">
            <v>361.46196238696069</v>
          </cell>
        </row>
        <row r="153">
          <cell r="B153">
            <v>18.926640866</v>
          </cell>
          <cell r="C153">
            <v>20.125188865973378</v>
          </cell>
          <cell r="D153">
            <v>20.557637994451039</v>
          </cell>
          <cell r="E153">
            <v>20.331560991802242</v>
          </cell>
          <cell r="F153">
            <v>19.933375956174082</v>
          </cell>
          <cell r="G153">
            <v>19.209177301244821</v>
          </cell>
          <cell r="H153">
            <v>18.423590183087583</v>
          </cell>
          <cell r="I153">
            <v>18.302847470227114</v>
          </cell>
          <cell r="J153">
            <v>18.125714090962592</v>
          </cell>
          <cell r="K153">
            <v>17.912352495563635</v>
          </cell>
        </row>
        <row r="155">
          <cell r="B155">
            <v>30.182609224</v>
          </cell>
          <cell r="C155">
            <v>28.544386116197241</v>
          </cell>
          <cell r="D155">
            <v>27.209565754205244</v>
          </cell>
          <cell r="E155">
            <v>26.181865411486264</v>
          </cell>
          <cell r="F155">
            <v>24.833736045864828</v>
          </cell>
          <cell r="G155">
            <v>23.827061358023183</v>
          </cell>
          <cell r="H155">
            <v>22.762613605908872</v>
          </cell>
          <cell r="I155">
            <v>22.501693216349377</v>
          </cell>
          <cell r="J155">
            <v>22.172926996927956</v>
          </cell>
          <cell r="K155">
            <v>21.801971684335395</v>
          </cell>
        </row>
        <row r="161">
          <cell r="B161">
            <v>30373.708042980001</v>
          </cell>
          <cell r="C161">
            <v>34149.944548153297</v>
          </cell>
          <cell r="D161">
            <v>36512.325626095429</v>
          </cell>
          <cell r="E161">
            <v>36141.601568846076</v>
          </cell>
          <cell r="F161">
            <v>35553.870294072323</v>
          </cell>
          <cell r="G161">
            <v>34518.076944987806</v>
          </cell>
          <cell r="H161">
            <v>33261.256660992098</v>
          </cell>
          <cell r="I161">
            <v>31861.009786142728</v>
          </cell>
          <cell r="J161">
            <v>30293.510256641224</v>
          </cell>
          <cell r="K161">
            <v>28598.30385407529</v>
          </cell>
        </row>
        <row r="162">
          <cell r="B162">
            <v>17104.323927279998</v>
          </cell>
          <cell r="C162">
            <v>18400.459029878948</v>
          </cell>
          <cell r="D162">
            <v>19115.593199677016</v>
          </cell>
          <cell r="E162">
            <v>18570.603855562731</v>
          </cell>
          <cell r="F162">
            <v>17927.791696448912</v>
          </cell>
          <cell r="G162">
            <v>17159.315000182705</v>
          </cell>
          <cell r="H162">
            <v>16282.766458188489</v>
          </cell>
          <cell r="I162">
            <v>15571.442069934514</v>
          </cell>
          <cell r="J162">
            <v>14778.868354353714</v>
          </cell>
          <cell r="K162">
            <v>13923.986129195418</v>
          </cell>
        </row>
        <row r="163">
          <cell r="B163">
            <v>102.6492410403</v>
          </cell>
          <cell r="C163">
            <v>120.89579861386088</v>
          </cell>
          <cell r="D163">
            <v>137.00051950314634</v>
          </cell>
          <cell r="E163">
            <v>3031.3928091238477</v>
          </cell>
          <cell r="F163">
            <v>6107.8705516393111</v>
          </cell>
          <cell r="G163">
            <v>9296.6504681773586</v>
          </cell>
          <cell r="H163">
            <v>12574.602297078505</v>
          </cell>
          <cell r="I163">
            <v>16003.824206634625</v>
          </cell>
          <cell r="J163">
            <v>19513.68927664803</v>
          </cell>
          <cell r="K163">
            <v>23097.235337817998</v>
          </cell>
        </row>
        <row r="164">
          <cell r="B164">
            <v>249.6655534436</v>
          </cell>
          <cell r="C164">
            <v>278.1823957680661</v>
          </cell>
          <cell r="D164">
            <v>295.74660483731503</v>
          </cell>
          <cell r="E164">
            <v>301.8943112648812</v>
          </cell>
          <cell r="F164">
            <v>305.08754893451697</v>
          </cell>
          <cell r="G164">
            <v>302.90944060589305</v>
          </cell>
          <cell r="H164">
            <v>299.19151364943349</v>
          </cell>
          <cell r="I164">
            <v>306.18822528142101</v>
          </cell>
          <cell r="J164">
            <v>312.45242919742435</v>
          </cell>
          <cell r="K164">
            <v>318.26197315178234</v>
          </cell>
        </row>
        <row r="166">
          <cell r="B166">
            <v>1110.9386781444002</v>
          </cell>
          <cell r="C166">
            <v>1159.2942355663365</v>
          </cell>
          <cell r="D166">
            <v>1343.1256572541677</v>
          </cell>
          <cell r="E166">
            <v>1527.2849593523933</v>
          </cell>
          <cell r="F166">
            <v>1626.9973334201638</v>
          </cell>
          <cell r="G166">
            <v>1730.0804715444219</v>
          </cell>
          <cell r="H166">
            <v>1831.1580710321828</v>
          </cell>
          <cell r="I166">
            <v>1944.9427174888731</v>
          </cell>
          <cell r="J166">
            <v>2063.5855777158263</v>
          </cell>
          <cell r="K166">
            <v>2191.7344230721296</v>
          </cell>
        </row>
      </sheetData>
      <sheetData sheetId="3"/>
      <sheetData sheetId="4"/>
      <sheetData sheetId="5"/>
      <sheetData sheetId="6"/>
      <sheetData sheetId="7"/>
      <sheetData sheetId="8">
        <row r="7">
          <cell r="H7">
            <v>1257.66863481459</v>
          </cell>
          <cell r="I7">
            <v>1263.633625739187</v>
          </cell>
          <cell r="J7">
            <v>1265.5854667820811</v>
          </cell>
          <cell r="K7">
            <v>1264.8162966729096</v>
          </cell>
        </row>
        <row r="18">
          <cell r="H18">
            <v>15205.36134800935</v>
          </cell>
          <cell r="I18">
            <v>15858.817477890081</v>
          </cell>
          <cell r="J18">
            <v>16487.705327486743</v>
          </cell>
          <cell r="K18">
            <v>17104.693720949006</v>
          </cell>
        </row>
        <row r="29">
          <cell r="H29">
            <v>5113.5966540791251</v>
          </cell>
          <cell r="I29">
            <v>5222.4137476330106</v>
          </cell>
          <cell r="J29">
            <v>5316.5688663740139</v>
          </cell>
          <cell r="K29">
            <v>5400.7898683569583</v>
          </cell>
        </row>
        <row r="40">
          <cell r="H40">
            <v>2592.0860856361287</v>
          </cell>
          <cell r="I40">
            <v>2629.3638757722306</v>
          </cell>
          <cell r="J40">
            <v>2658.6876857764109</v>
          </cell>
          <cell r="K40">
            <v>2682.5611145497937</v>
          </cell>
        </row>
        <row r="51">
          <cell r="H51">
            <v>266.84762680500529</v>
          </cell>
          <cell r="I51">
            <v>264.34312921180333</v>
          </cell>
          <cell r="J51">
            <v>261.02858526929356</v>
          </cell>
          <cell r="K51">
            <v>257.20166827432371</v>
          </cell>
        </row>
        <row r="62">
          <cell r="H62">
            <v>1127.4929116377493</v>
          </cell>
          <cell r="I62">
            <v>1119.6923795063747</v>
          </cell>
          <cell r="J62">
            <v>1108.4063000429687</v>
          </cell>
          <cell r="K62">
            <v>1094.8759533433065</v>
          </cell>
        </row>
        <row r="73">
          <cell r="H73">
            <v>1118.9314111826322</v>
          </cell>
          <cell r="I73">
            <v>1126.2875794302988</v>
          </cell>
          <cell r="J73">
            <v>1130.0833718631284</v>
          </cell>
          <cell r="K73">
            <v>1131.4551497553812</v>
          </cell>
        </row>
        <row r="84">
          <cell r="H84">
            <v>1987.4990677556696</v>
          </cell>
          <cell r="I84">
            <v>1971.1290178468414</v>
          </cell>
          <cell r="J84">
            <v>1948.6710361660328</v>
          </cell>
          <cell r="K84">
            <v>1922.3288224784005</v>
          </cell>
        </row>
        <row r="95">
          <cell r="H95">
            <v>4254.8210375100234</v>
          </cell>
          <cell r="I95">
            <v>4282.9595685500763</v>
          </cell>
          <cell r="J95">
            <v>4297.560628524875</v>
          </cell>
          <cell r="K95">
            <v>4302.9442441126448</v>
          </cell>
        </row>
        <row r="106">
          <cell r="H106">
            <v>1193.1213499539178</v>
          </cell>
          <cell r="I106">
            <v>1191.304958566672</v>
          </cell>
          <cell r="J106">
            <v>1185.7609560141298</v>
          </cell>
          <cell r="K106">
            <v>1177.7619981797939</v>
          </cell>
        </row>
        <row r="117">
          <cell r="H117">
            <v>218.40753919070519</v>
          </cell>
          <cell r="I117">
            <v>212.79066317485501</v>
          </cell>
          <cell r="J117">
            <v>206.65830898137159</v>
          </cell>
          <cell r="K117">
            <v>200.27135835190964</v>
          </cell>
        </row>
        <row r="128">
          <cell r="H128">
            <v>5360.5144027527613</v>
          </cell>
          <cell r="I128">
            <v>5496.1318138813367</v>
          </cell>
          <cell r="J128">
            <v>5617.2425046356493</v>
          </cell>
          <cell r="K128">
            <v>5728.6841180233241</v>
          </cell>
        </row>
        <row r="139">
          <cell r="H139">
            <v>1522.4325743841675</v>
          </cell>
          <cell r="I139">
            <v>1537.6243845853403</v>
          </cell>
          <cell r="J139">
            <v>1548.024424373865</v>
          </cell>
          <cell r="K139">
            <v>1555.1455009836895</v>
          </cell>
        </row>
        <row r="150">
          <cell r="H150">
            <v>706.2277517777203</v>
          </cell>
          <cell r="I150">
            <v>696.76740746898656</v>
          </cell>
          <cell r="J150">
            <v>685.24556994441593</v>
          </cell>
          <cell r="K150">
            <v>672.46597377448336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formatted Vehicle Summary"/>
      <sheetName val="Formatted Vehicle Summary"/>
    </sheetNames>
    <sheetDataSet>
      <sheetData sheetId="0"/>
      <sheetData sheetId="1">
        <row r="3">
          <cell r="C3">
            <v>104978.65624</v>
          </cell>
        </row>
        <row r="4">
          <cell r="C4">
            <v>112725.10858</v>
          </cell>
        </row>
        <row r="5">
          <cell r="C5">
            <v>118192.87923999999</v>
          </cell>
        </row>
        <row r="6">
          <cell r="C6">
            <v>122597.50339</v>
          </cell>
        </row>
        <row r="7">
          <cell r="C7">
            <v>126436.5932</v>
          </cell>
        </row>
        <row r="8">
          <cell r="C8">
            <v>128707.14483</v>
          </cell>
        </row>
        <row r="9">
          <cell r="C9">
            <v>131048.52297000001</v>
          </cell>
        </row>
        <row r="10">
          <cell r="C10">
            <v>872467.79544999998</v>
          </cell>
        </row>
        <row r="11">
          <cell r="C11">
            <v>991425.19325999997</v>
          </cell>
        </row>
        <row r="12">
          <cell r="C12">
            <v>1092363.0636</v>
          </cell>
        </row>
        <row r="13">
          <cell r="C13">
            <v>1191429.4565000001</v>
          </cell>
        </row>
        <row r="14">
          <cell r="C14">
            <v>1286437.8879</v>
          </cell>
        </row>
        <row r="15">
          <cell r="C15">
            <v>1375166.5891</v>
          </cell>
        </row>
        <row r="16">
          <cell r="C16">
            <v>1465303.6472</v>
          </cell>
        </row>
        <row r="17">
          <cell r="C17">
            <v>266387.73346999998</v>
          </cell>
        </row>
        <row r="18">
          <cell r="C18">
            <v>290706.08827000001</v>
          </cell>
        </row>
        <row r="19">
          <cell r="C19">
            <v>309626.48051999998</v>
          </cell>
        </row>
        <row r="20">
          <cell r="C20">
            <v>326667.34383999999</v>
          </cell>
        </row>
        <row r="21">
          <cell r="C21">
            <v>342066.50334</v>
          </cell>
        </row>
        <row r="22">
          <cell r="C22">
            <v>354349.88686999999</v>
          </cell>
        </row>
        <row r="23">
          <cell r="C23">
            <v>366895.67537000001</v>
          </cell>
        </row>
        <row r="24">
          <cell r="C24">
            <v>183297.22020000001</v>
          </cell>
        </row>
        <row r="25">
          <cell r="C25">
            <v>196081.45480000001</v>
          </cell>
        </row>
        <row r="26">
          <cell r="C26">
            <v>207726.07616999999</v>
          </cell>
        </row>
        <row r="27">
          <cell r="C27">
            <v>217653.04881000001</v>
          </cell>
        </row>
        <row r="28">
          <cell r="C28">
            <v>226855.99028</v>
          </cell>
        </row>
        <row r="29">
          <cell r="C29">
            <v>234103.10308</v>
          </cell>
        </row>
        <row r="30">
          <cell r="C30">
            <v>241517.19534000001</v>
          </cell>
        </row>
        <row r="31">
          <cell r="C31">
            <v>26650.955902999998</v>
          </cell>
        </row>
        <row r="32">
          <cell r="C32">
            <v>28017.591043</v>
          </cell>
        </row>
        <row r="33">
          <cell r="C33">
            <v>28898.027237999999</v>
          </cell>
        </row>
        <row r="34">
          <cell r="C34">
            <v>29968.106521999998</v>
          </cell>
        </row>
        <row r="35">
          <cell r="C35">
            <v>30650.656811000001</v>
          </cell>
        </row>
        <row r="36">
          <cell r="C36">
            <v>31034.283262000001</v>
          </cell>
        </row>
        <row r="37">
          <cell r="C37">
            <v>31428.131594999999</v>
          </cell>
        </row>
        <row r="38">
          <cell r="C38">
            <v>103541.16636</v>
          </cell>
        </row>
        <row r="39">
          <cell r="C39">
            <v>109909.12807999999</v>
          </cell>
        </row>
        <row r="40">
          <cell r="C40">
            <v>114172.1563</v>
          </cell>
        </row>
        <row r="41">
          <cell r="C41">
            <v>117136.78001</v>
          </cell>
        </row>
        <row r="42">
          <cell r="C42">
            <v>119319.78318</v>
          </cell>
        </row>
        <row r="43">
          <cell r="C43">
            <v>120156.44047</v>
          </cell>
        </row>
        <row r="44">
          <cell r="C44">
            <v>121008.2726</v>
          </cell>
        </row>
        <row r="45">
          <cell r="C45">
            <v>74060.272580000004</v>
          </cell>
        </row>
        <row r="46">
          <cell r="C46">
            <v>79164.443431000007</v>
          </cell>
        </row>
        <row r="47">
          <cell r="C47">
            <v>82954.369107000006</v>
          </cell>
        </row>
        <row r="48">
          <cell r="C48">
            <v>86193.396317999999</v>
          </cell>
        </row>
        <row r="49">
          <cell r="C49">
            <v>88775.975330000001</v>
          </cell>
        </row>
        <row r="50">
          <cell r="C50">
            <v>91156.396726000006</v>
          </cell>
        </row>
        <row r="51">
          <cell r="C51">
            <v>93594.197478999995</v>
          </cell>
        </row>
        <row r="52">
          <cell r="C52">
            <v>146543.66057000001</v>
          </cell>
        </row>
        <row r="53">
          <cell r="C53">
            <v>153773.37458</v>
          </cell>
        </row>
        <row r="54">
          <cell r="C54">
            <v>158594.55492</v>
          </cell>
        </row>
        <row r="55">
          <cell r="C55">
            <v>162089.77103</v>
          </cell>
        </row>
        <row r="56">
          <cell r="C56">
            <v>165110.60261</v>
          </cell>
        </row>
        <row r="57">
          <cell r="C57">
            <v>166322.13686999999</v>
          </cell>
        </row>
        <row r="58">
          <cell r="C58">
            <v>167576.95542000001</v>
          </cell>
        </row>
        <row r="59">
          <cell r="C59">
            <v>272805.11940000003</v>
          </cell>
        </row>
        <row r="60">
          <cell r="C60">
            <v>290154.20328000002</v>
          </cell>
        </row>
        <row r="61">
          <cell r="C61">
            <v>303229.97907</v>
          </cell>
        </row>
        <row r="62">
          <cell r="C62">
            <v>314888.25624000002</v>
          </cell>
        </row>
        <row r="63">
          <cell r="C63">
            <v>323571.41970999999</v>
          </cell>
        </row>
        <row r="64">
          <cell r="C64">
            <v>331115.67515000002</v>
          </cell>
        </row>
        <row r="65">
          <cell r="C65">
            <v>338777.25312000001</v>
          </cell>
        </row>
        <row r="66">
          <cell r="C66">
            <v>99341.522463999994</v>
          </cell>
        </row>
        <row r="67">
          <cell r="C67">
            <v>105847.50096</v>
          </cell>
        </row>
        <row r="68">
          <cell r="C68">
            <v>111154.64261</v>
          </cell>
        </row>
        <row r="69">
          <cell r="C69">
            <v>115531.79485000001</v>
          </cell>
        </row>
        <row r="70">
          <cell r="C70">
            <v>118435.29201999999</v>
          </cell>
        </row>
        <row r="71">
          <cell r="C71">
            <v>119609.52265</v>
          </cell>
        </row>
        <row r="72">
          <cell r="C72">
            <v>120821.65517</v>
          </cell>
        </row>
        <row r="73">
          <cell r="C73">
            <v>22769.060554</v>
          </cell>
        </row>
        <row r="74">
          <cell r="C74">
            <v>24251.408837999999</v>
          </cell>
        </row>
        <row r="75">
          <cell r="C75">
            <v>24688.731014000001</v>
          </cell>
        </row>
        <row r="76">
          <cell r="C76">
            <v>25276.096098000002</v>
          </cell>
        </row>
        <row r="77">
          <cell r="C77">
            <v>25183.30646</v>
          </cell>
        </row>
        <row r="78">
          <cell r="C78">
            <v>25228.671904999999</v>
          </cell>
        </row>
        <row r="79">
          <cell r="C79">
            <v>25265.305412000002</v>
          </cell>
        </row>
        <row r="80">
          <cell r="C80">
            <v>392663.75485000003</v>
          </cell>
        </row>
        <row r="81">
          <cell r="C81">
            <v>437259.03168999997</v>
          </cell>
        </row>
        <row r="82">
          <cell r="C82">
            <v>466288.36839999998</v>
          </cell>
        </row>
        <row r="83">
          <cell r="C83">
            <v>494697.00962999999</v>
          </cell>
        </row>
        <row r="84">
          <cell r="C84">
            <v>520259.49572000001</v>
          </cell>
        </row>
        <row r="85">
          <cell r="C85">
            <v>542029.90388</v>
          </cell>
        </row>
        <row r="86">
          <cell r="C86">
            <v>564197.80842000002</v>
          </cell>
        </row>
        <row r="87">
          <cell r="C87">
            <v>135772.67147</v>
          </cell>
        </row>
        <row r="88">
          <cell r="C88">
            <v>145036.27674</v>
          </cell>
        </row>
        <row r="89">
          <cell r="C89">
            <v>151926.86116999999</v>
          </cell>
        </row>
        <row r="90">
          <cell r="C90">
            <v>158634.23055000001</v>
          </cell>
        </row>
        <row r="91">
          <cell r="C91">
            <v>164231.01399000001</v>
          </cell>
        </row>
        <row r="92">
          <cell r="C92">
            <v>168531.90977999999</v>
          </cell>
        </row>
        <row r="93">
          <cell r="C93">
            <v>172922.08097000001</v>
          </cell>
        </row>
        <row r="94">
          <cell r="C94">
            <v>68647.598836000005</v>
          </cell>
        </row>
        <row r="95">
          <cell r="C95">
            <v>72850.796711000003</v>
          </cell>
        </row>
        <row r="96">
          <cell r="C96">
            <v>74856.690931000005</v>
          </cell>
        </row>
        <row r="97">
          <cell r="C97">
            <v>76505.744191000005</v>
          </cell>
        </row>
        <row r="98">
          <cell r="C98">
            <v>77616.918718999994</v>
          </cell>
        </row>
        <row r="99">
          <cell r="C99">
            <v>77914.197616000005</v>
          </cell>
        </row>
        <row r="100">
          <cell r="C100">
            <v>78214.775836000001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Population"/>
      <sheetName val="GDP"/>
      <sheetName val="Regional GDP"/>
      <sheetName val="Tourism"/>
      <sheetName val="Other Assumptions"/>
    </sheetNames>
    <sheetDataSet>
      <sheetData sheetId="0"/>
      <sheetData sheetId="1">
        <row r="25">
          <cell r="I25">
            <v>176100</v>
          </cell>
          <cell r="K25">
            <v>183300</v>
          </cell>
          <cell r="L25">
            <v>188600</v>
          </cell>
          <cell r="M25">
            <v>192500</v>
          </cell>
          <cell r="N25">
            <v>195100</v>
          </cell>
          <cell r="O25">
            <v>196700</v>
          </cell>
        </row>
        <row r="26">
          <cell r="I26">
            <v>1699900</v>
          </cell>
          <cell r="K26">
            <v>1859300</v>
          </cell>
          <cell r="L26">
            <v>1990100</v>
          </cell>
          <cell r="M26">
            <v>2112000</v>
          </cell>
          <cell r="N26">
            <v>2222700</v>
          </cell>
          <cell r="O26">
            <v>2326200</v>
          </cell>
        </row>
        <row r="27">
          <cell r="I27">
            <v>467200</v>
          </cell>
          <cell r="K27">
            <v>493500</v>
          </cell>
          <cell r="L27">
            <v>514600</v>
          </cell>
          <cell r="M27">
            <v>533000</v>
          </cell>
          <cell r="N27">
            <v>548500</v>
          </cell>
          <cell r="O27">
            <v>562100</v>
          </cell>
        </row>
        <row r="28">
          <cell r="I28">
            <v>303500</v>
          </cell>
          <cell r="K28">
            <v>318400</v>
          </cell>
          <cell r="L28">
            <v>329800</v>
          </cell>
          <cell r="M28">
            <v>339400</v>
          </cell>
          <cell r="N28">
            <v>346900</v>
          </cell>
          <cell r="O28">
            <v>353100</v>
          </cell>
        </row>
        <row r="29">
          <cell r="I29">
            <v>48500</v>
          </cell>
          <cell r="K29">
            <v>49400</v>
          </cell>
          <cell r="L29">
            <v>50000</v>
          </cell>
          <cell r="M29">
            <v>50300</v>
          </cell>
          <cell r="N29">
            <v>50200</v>
          </cell>
          <cell r="O29">
            <v>49900</v>
          </cell>
        </row>
        <row r="30">
          <cell r="I30">
            <v>164100</v>
          </cell>
          <cell r="K30">
            <v>167400</v>
          </cell>
          <cell r="L30">
            <v>169900</v>
          </cell>
          <cell r="M30">
            <v>171200</v>
          </cell>
          <cell r="N30">
            <v>171400</v>
          </cell>
          <cell r="O30">
            <v>170800</v>
          </cell>
        </row>
        <row r="31">
          <cell r="I31">
            <v>119100</v>
          </cell>
          <cell r="K31">
            <v>122500</v>
          </cell>
          <cell r="L31">
            <v>125500</v>
          </cell>
          <cell r="M31">
            <v>127800</v>
          </cell>
          <cell r="N31">
            <v>129500</v>
          </cell>
          <cell r="O31">
            <v>130800</v>
          </cell>
        </row>
        <row r="32">
          <cell r="I32">
            <v>240500</v>
          </cell>
          <cell r="K32">
            <v>244600</v>
          </cell>
          <cell r="L32">
            <v>247500</v>
          </cell>
          <cell r="M32">
            <v>248900</v>
          </cell>
          <cell r="N32">
            <v>248800</v>
          </cell>
          <cell r="O32">
            <v>247600</v>
          </cell>
        </row>
        <row r="33">
          <cell r="I33">
            <v>515200</v>
          </cell>
          <cell r="K33">
            <v>532500</v>
          </cell>
          <cell r="L33">
            <v>546200</v>
          </cell>
          <cell r="M33">
            <v>557400</v>
          </cell>
          <cell r="N33">
            <v>565600</v>
          </cell>
          <cell r="O33">
            <v>571300</v>
          </cell>
        </row>
        <row r="34">
          <cell r="I34">
            <v>149100</v>
          </cell>
          <cell r="K34">
            <v>153600</v>
          </cell>
          <cell r="L34">
            <v>157000</v>
          </cell>
          <cell r="M34">
            <v>159400</v>
          </cell>
          <cell r="N34">
            <v>160700</v>
          </cell>
          <cell r="O34">
            <v>161000</v>
          </cell>
        </row>
        <row r="35">
          <cell r="I35">
            <v>32500</v>
          </cell>
          <cell r="K35">
            <v>32500</v>
          </cell>
          <cell r="L35">
            <v>32300</v>
          </cell>
          <cell r="M35">
            <v>31900</v>
          </cell>
          <cell r="N35">
            <v>31300</v>
          </cell>
          <cell r="O35">
            <v>30600</v>
          </cell>
        </row>
        <row r="36">
          <cell r="I36">
            <v>623200</v>
          </cell>
          <cell r="K36">
            <v>664200</v>
          </cell>
          <cell r="L36">
            <v>694300</v>
          </cell>
          <cell r="M36">
            <v>721700</v>
          </cell>
          <cell r="N36">
            <v>745800</v>
          </cell>
          <cell r="O36">
            <v>767300</v>
          </cell>
        </row>
        <row r="37">
          <cell r="I37">
            <v>225800</v>
          </cell>
          <cell r="K37">
            <v>236000</v>
          </cell>
          <cell r="L37">
            <v>242700</v>
          </cell>
          <cell r="M37">
            <v>248300</v>
          </cell>
          <cell r="N37">
            <v>252700</v>
          </cell>
          <cell r="O37">
            <v>256100</v>
          </cell>
        </row>
        <row r="38">
          <cell r="I38">
            <v>99200</v>
          </cell>
          <cell r="K38">
            <v>100100</v>
          </cell>
          <cell r="L38">
            <v>100600</v>
          </cell>
          <cell r="M38">
            <v>100600</v>
          </cell>
          <cell r="N38">
            <v>100000</v>
          </cell>
          <cell r="O38">
            <v>99000</v>
          </cell>
        </row>
      </sheetData>
      <sheetData sheetId="2"/>
      <sheetData sheetId="3">
        <row r="7">
          <cell r="I7">
            <v>6374.2205809121542</v>
          </cell>
          <cell r="K7">
            <v>6896.9506669266939</v>
          </cell>
          <cell r="L7">
            <v>7784.5809235822089</v>
          </cell>
          <cell r="M7">
            <v>8452.7771949279213</v>
          </cell>
          <cell r="N7">
            <v>9069.3022747469695</v>
          </cell>
          <cell r="O7">
            <v>9715.8442040781811</v>
          </cell>
          <cell r="P7">
            <v>10376.897870013625</v>
          </cell>
          <cell r="Q7">
            <v>10991.19355691191</v>
          </cell>
          <cell r="R7">
            <v>11524.572186455998</v>
          </cell>
        </row>
        <row r="8">
          <cell r="I8">
            <v>92237.34116310555</v>
          </cell>
          <cell r="K8">
            <v>104872.05861753589</v>
          </cell>
          <cell r="L8">
            <v>123135.73818665998</v>
          </cell>
          <cell r="M8">
            <v>139020.31588506195</v>
          </cell>
          <cell r="N8">
            <v>154886.34319350173</v>
          </cell>
          <cell r="O8">
            <v>172241.93784613471</v>
          </cell>
          <cell r="P8">
            <v>190961.14699536728</v>
          </cell>
          <cell r="Q8">
            <v>209962.35701396334</v>
          </cell>
          <cell r="R8">
            <v>228528.57281823739</v>
          </cell>
        </row>
        <row r="9">
          <cell r="I9">
            <v>20674.161319501683</v>
          </cell>
          <cell r="K9">
            <v>22700.694596547582</v>
          </cell>
          <cell r="L9">
            <v>25966.933485261481</v>
          </cell>
          <cell r="M9">
            <v>28612.330386112164</v>
          </cell>
          <cell r="N9">
            <v>31170.988420456561</v>
          </cell>
          <cell r="O9">
            <v>33942.75597872342</v>
          </cell>
          <cell r="P9">
            <v>36848.852232044323</v>
          </cell>
          <cell r="Q9">
            <v>39672.643654392581</v>
          </cell>
          <cell r="R9">
            <v>42282.529530334621</v>
          </cell>
        </row>
        <row r="10">
          <cell r="I10">
            <v>13816.851618413915</v>
          </cell>
          <cell r="K10">
            <v>15067.818478334175</v>
          </cell>
          <cell r="L10">
            <v>17120.91087653485</v>
          </cell>
          <cell r="M10">
            <v>18744.03954177794</v>
          </cell>
          <cell r="N10">
            <v>20281.663520827409</v>
          </cell>
          <cell r="O10">
            <v>21935.955973453671</v>
          </cell>
          <cell r="P10">
            <v>23653.199413845723</v>
          </cell>
          <cell r="Q10">
            <v>25293.768184026241</v>
          </cell>
          <cell r="R10">
            <v>26775.637378535135</v>
          </cell>
        </row>
        <row r="11">
          <cell r="I11">
            <v>1719.7218506164877</v>
          </cell>
          <cell r="K11">
            <v>1820.8339487464802</v>
          </cell>
          <cell r="L11">
            <v>2021.6794292200132</v>
          </cell>
          <cell r="M11">
            <v>2163.6420405685531</v>
          </cell>
          <cell r="N11">
            <v>2285.9622972021671</v>
          </cell>
          <cell r="O11">
            <v>2414.4903078624156</v>
          </cell>
          <cell r="P11">
            <v>2542.5072769768349</v>
          </cell>
          <cell r="Q11">
            <v>2655.1511918890678</v>
          </cell>
          <cell r="R11">
            <v>2744.8521137927492</v>
          </cell>
        </row>
        <row r="12">
          <cell r="I12">
            <v>6996.8315371835879</v>
          </cell>
          <cell r="K12">
            <v>7419.5097939785155</v>
          </cell>
          <cell r="L12">
            <v>8260.6083565986519</v>
          </cell>
          <cell r="M12">
            <v>8855.1832377989667</v>
          </cell>
          <cell r="N12">
            <v>9385.3944377616735</v>
          </cell>
          <cell r="O12">
            <v>9937.7748422302066</v>
          </cell>
          <cell r="P12">
            <v>10490.739699965779</v>
          </cell>
          <cell r="Q12">
            <v>10982.807789504193</v>
          </cell>
          <cell r="R12">
            <v>11382.12361440952</v>
          </cell>
        </row>
        <row r="13">
          <cell r="I13">
            <v>7361.5575381487852</v>
          </cell>
          <cell r="K13">
            <v>7870.8377594526073</v>
          </cell>
          <cell r="L13">
            <v>8845.6039846578387</v>
          </cell>
          <cell r="M13">
            <v>9582.7411869706739</v>
          </cell>
          <cell r="N13">
            <v>10279.608932739195</v>
          </cell>
          <cell r="O13">
            <v>11032.50526541518</v>
          </cell>
          <cell r="P13">
            <v>11804.620470603089</v>
          </cell>
          <cell r="Q13">
            <v>12526.225544622324</v>
          </cell>
          <cell r="R13">
            <v>13158.035958250364</v>
          </cell>
        </row>
        <row r="14">
          <cell r="I14">
            <v>9329.1087162447839</v>
          </cell>
          <cell r="K14">
            <v>9862.9867216805706</v>
          </cell>
          <cell r="L14">
            <v>10947.780811138429</v>
          </cell>
          <cell r="M14">
            <v>11712.535644343225</v>
          </cell>
          <cell r="N14">
            <v>12394.36623385219</v>
          </cell>
          <cell r="O14">
            <v>13106.422498620663</v>
          </cell>
          <cell r="P14">
            <v>13817.336611546047</v>
          </cell>
          <cell r="Q14">
            <v>14446.239982753765</v>
          </cell>
          <cell r="R14">
            <v>14951.609835760648</v>
          </cell>
        </row>
        <row r="15">
          <cell r="I15">
            <v>31653.859445054219</v>
          </cell>
          <cell r="K15">
            <v>34009.273105894608</v>
          </cell>
          <cell r="L15">
            <v>38267.344669994083</v>
          </cell>
          <cell r="M15">
            <v>41544.99730804612</v>
          </cell>
          <cell r="N15">
            <v>44628.17129101864</v>
          </cell>
          <cell r="O15">
            <v>47898.673832699336</v>
          </cell>
          <cell r="P15">
            <v>51252.873864079513</v>
          </cell>
          <cell r="Q15">
            <v>54388.022502334286</v>
          </cell>
          <cell r="R15">
            <v>57133.516857693401</v>
          </cell>
        </row>
        <row r="16">
          <cell r="I16">
            <v>7015.0573626195282</v>
          </cell>
          <cell r="K16">
            <v>7512.2792126515378</v>
          </cell>
          <cell r="L16">
            <v>8423.2376247980555</v>
          </cell>
          <cell r="M16">
            <v>9097.9355464606469</v>
          </cell>
          <cell r="N16">
            <v>9709.9799965242601</v>
          </cell>
          <cell r="O16">
            <v>10336.842740967206</v>
          </cell>
          <cell r="P16">
            <v>10971.305233449695</v>
          </cell>
          <cell r="Q16">
            <v>11548.870273739603</v>
          </cell>
          <cell r="R16">
            <v>12034.93854925596</v>
          </cell>
        </row>
        <row r="17">
          <cell r="I17">
            <v>1492.2132710368185</v>
          </cell>
          <cell r="K17">
            <v>1551.1643696108135</v>
          </cell>
          <cell r="L17">
            <v>1691.1256488711765</v>
          </cell>
          <cell r="M17">
            <v>1776.8025781256338</v>
          </cell>
          <cell r="N17">
            <v>1845.6134646848616</v>
          </cell>
          <cell r="O17">
            <v>1917.2441158934193</v>
          </cell>
          <cell r="P17">
            <v>1985.6121070221561</v>
          </cell>
          <cell r="Q17">
            <v>2039.3967560629796</v>
          </cell>
          <cell r="R17">
            <v>2073.5364743162067</v>
          </cell>
        </row>
        <row r="18">
          <cell r="I18">
            <v>30604.30329063972</v>
          </cell>
          <cell r="K18">
            <v>33906.334806158084</v>
          </cell>
          <cell r="L18">
            <v>38880.159222261398</v>
          </cell>
          <cell r="M18">
            <v>42994.481253749356</v>
          </cell>
          <cell r="N18">
            <v>47035.558676948342</v>
          </cell>
          <cell r="O18">
            <v>51419.600810284632</v>
          </cell>
          <cell r="P18">
            <v>56041.716603663743</v>
          </cell>
          <cell r="Q18">
            <v>60573.751533790382</v>
          </cell>
          <cell r="R18">
            <v>64812.70644160216</v>
          </cell>
        </row>
        <row r="19">
          <cell r="I19">
            <v>10876.208955835815</v>
          </cell>
          <cell r="K19">
            <v>11816.599886687984</v>
          </cell>
          <cell r="L19">
            <v>13330.584694551457</v>
          </cell>
          <cell r="M19">
            <v>14508.79285545584</v>
          </cell>
          <cell r="N19">
            <v>15631.754377979218</v>
          </cell>
          <cell r="O19">
            <v>16833.391869768882</v>
          </cell>
          <cell r="P19">
            <v>18072.402061131768</v>
          </cell>
          <cell r="Q19">
            <v>19242.010151475046</v>
          </cell>
          <cell r="R19">
            <v>20280.919538748545</v>
          </cell>
        </row>
        <row r="20">
          <cell r="I20">
            <v>5110.5633506869553</v>
          </cell>
          <cell r="K20">
            <v>5360.6580357944904</v>
          </cell>
          <cell r="L20">
            <v>5909.910469903808</v>
          </cell>
          <cell r="M20">
            <v>6287.182114275608</v>
          </cell>
          <cell r="N20">
            <v>6616.1596952797781</v>
          </cell>
          <cell r="O20">
            <v>6959.8639247687306</v>
          </cell>
          <cell r="P20">
            <v>7299.2099048832133</v>
          </cell>
          <cell r="Q20">
            <v>7591.7390292372229</v>
          </cell>
          <cell r="R20">
            <v>7816.4459874661079</v>
          </cell>
        </row>
      </sheetData>
      <sheetData sheetId="4">
        <row r="33">
          <cell r="B33">
            <v>50553514.5</v>
          </cell>
          <cell r="C33">
            <v>54367679</v>
          </cell>
          <cell r="D33">
            <v>58856629</v>
          </cell>
          <cell r="E33">
            <v>63937744</v>
          </cell>
          <cell r="F33">
            <v>67820503.5</v>
          </cell>
          <cell r="G33">
            <v>69817278</v>
          </cell>
          <cell r="I33">
            <v>85003089.5</v>
          </cell>
          <cell r="J33">
            <v>102118066.27556801</v>
          </cell>
          <cell r="K33">
            <v>118382826.7509152</v>
          </cell>
          <cell r="L33">
            <v>137238141.89468449</v>
          </cell>
          <cell r="M33">
            <v>159096619.90361243</v>
          </cell>
          <cell r="N33">
            <v>184436586.76301926</v>
          </cell>
          <cell r="O33">
            <v>213812553.38675082</v>
          </cell>
          <cell r="P33">
            <v>247867349.90114492</v>
          </cell>
        </row>
      </sheetData>
      <sheetData sheetId="5">
        <row r="6">
          <cell r="K6">
            <v>0</v>
          </cell>
          <cell r="L6">
            <v>0.05</v>
          </cell>
          <cell r="M6">
            <v>0.1</v>
          </cell>
          <cell r="N6">
            <v>0.15</v>
          </cell>
          <cell r="O6">
            <v>0.2</v>
          </cell>
          <cell r="P6">
            <v>0.25</v>
          </cell>
          <cell r="Q6">
            <v>0.3</v>
          </cell>
          <cell r="R6">
            <v>0.35</v>
          </cell>
        </row>
        <row r="7">
          <cell r="K7">
            <v>0</v>
          </cell>
          <cell r="L7">
            <v>0.05</v>
          </cell>
          <cell r="M7">
            <v>0.1</v>
          </cell>
          <cell r="N7">
            <v>0.15</v>
          </cell>
          <cell r="O7">
            <v>0.2</v>
          </cell>
          <cell r="P7">
            <v>0.25</v>
          </cell>
          <cell r="Q7">
            <v>0.3</v>
          </cell>
          <cell r="R7">
            <v>0.35</v>
          </cell>
        </row>
        <row r="8">
          <cell r="K8">
            <v>0</v>
          </cell>
          <cell r="L8">
            <v>0.05</v>
          </cell>
          <cell r="M8">
            <v>0.1</v>
          </cell>
          <cell r="N8">
            <v>0.15</v>
          </cell>
          <cell r="O8">
            <v>0.2</v>
          </cell>
          <cell r="P8">
            <v>0.25</v>
          </cell>
          <cell r="Q8">
            <v>0.3</v>
          </cell>
          <cell r="R8">
            <v>0.35</v>
          </cell>
        </row>
        <row r="9">
          <cell r="K9">
            <v>0</v>
          </cell>
          <cell r="L9">
            <v>0.05</v>
          </cell>
          <cell r="M9">
            <v>0.1</v>
          </cell>
          <cell r="N9">
            <v>0.15</v>
          </cell>
          <cell r="O9">
            <v>0.2</v>
          </cell>
          <cell r="P9">
            <v>0.25</v>
          </cell>
          <cell r="Q9">
            <v>0.3</v>
          </cell>
          <cell r="R9">
            <v>0.35</v>
          </cell>
        </row>
        <row r="10">
          <cell r="K10">
            <v>0</v>
          </cell>
          <cell r="L10">
            <v>0.05</v>
          </cell>
          <cell r="M10">
            <v>0.1</v>
          </cell>
          <cell r="N10">
            <v>0.15</v>
          </cell>
          <cell r="O10">
            <v>0.2</v>
          </cell>
          <cell r="P10">
            <v>0.25</v>
          </cell>
          <cell r="Q10">
            <v>0.3</v>
          </cell>
          <cell r="R10">
            <v>0.35</v>
          </cell>
        </row>
        <row r="11">
          <cell r="K11">
            <v>0</v>
          </cell>
          <cell r="L11">
            <v>0.05</v>
          </cell>
          <cell r="M11">
            <v>0.1</v>
          </cell>
          <cell r="N11">
            <v>0.15</v>
          </cell>
          <cell r="O11">
            <v>0.2</v>
          </cell>
          <cell r="P11">
            <v>0.25</v>
          </cell>
          <cell r="Q11">
            <v>0.3</v>
          </cell>
          <cell r="R11">
            <v>0.35</v>
          </cell>
        </row>
        <row r="12">
          <cell r="K12">
            <v>0</v>
          </cell>
          <cell r="L12">
            <v>0.05</v>
          </cell>
          <cell r="M12">
            <v>0.1</v>
          </cell>
          <cell r="N12">
            <v>0.15</v>
          </cell>
          <cell r="O12">
            <v>0.2</v>
          </cell>
          <cell r="P12">
            <v>0.25</v>
          </cell>
          <cell r="Q12">
            <v>0.3</v>
          </cell>
          <cell r="R12">
            <v>0.35</v>
          </cell>
        </row>
        <row r="13">
          <cell r="K13">
            <v>0</v>
          </cell>
          <cell r="L13">
            <v>0.05</v>
          </cell>
          <cell r="M13">
            <v>0.1</v>
          </cell>
          <cell r="N13">
            <v>0.15</v>
          </cell>
          <cell r="O13">
            <v>0.2</v>
          </cell>
          <cell r="P13">
            <v>0.25</v>
          </cell>
          <cell r="Q13">
            <v>0.3</v>
          </cell>
          <cell r="R13">
            <v>0.35</v>
          </cell>
        </row>
        <row r="14">
          <cell r="K14">
            <v>0</v>
          </cell>
          <cell r="L14">
            <v>0.05</v>
          </cell>
          <cell r="M14">
            <v>0.1</v>
          </cell>
          <cell r="N14">
            <v>0.15</v>
          </cell>
          <cell r="O14">
            <v>0.2</v>
          </cell>
          <cell r="P14">
            <v>0.25</v>
          </cell>
          <cell r="Q14">
            <v>0.3</v>
          </cell>
          <cell r="R14">
            <v>0.35</v>
          </cell>
        </row>
        <row r="15">
          <cell r="K15">
            <v>0</v>
          </cell>
          <cell r="L15">
            <v>0.05</v>
          </cell>
          <cell r="M15">
            <v>0.1</v>
          </cell>
          <cell r="N15">
            <v>0.15</v>
          </cell>
          <cell r="O15">
            <v>0.2</v>
          </cell>
          <cell r="P15">
            <v>0.25</v>
          </cell>
          <cell r="Q15">
            <v>0.3</v>
          </cell>
          <cell r="R15">
            <v>0.35</v>
          </cell>
        </row>
        <row r="16">
          <cell r="K16">
            <v>0</v>
          </cell>
          <cell r="L16">
            <v>0.05</v>
          </cell>
          <cell r="M16">
            <v>0.1</v>
          </cell>
          <cell r="N16">
            <v>0.15</v>
          </cell>
          <cell r="O16">
            <v>0.2</v>
          </cell>
          <cell r="P16">
            <v>0.25</v>
          </cell>
          <cell r="Q16">
            <v>0.3</v>
          </cell>
          <cell r="R16">
            <v>0.35</v>
          </cell>
        </row>
        <row r="17">
          <cell r="K17">
            <v>0</v>
          </cell>
          <cell r="L17">
            <v>0.05</v>
          </cell>
          <cell r="M17">
            <v>0.1</v>
          </cell>
          <cell r="N17">
            <v>0.15</v>
          </cell>
          <cell r="O17">
            <v>0.2</v>
          </cell>
          <cell r="P17">
            <v>0.25</v>
          </cell>
          <cell r="Q17">
            <v>0.3</v>
          </cell>
          <cell r="R17">
            <v>0.35</v>
          </cell>
        </row>
        <row r="18">
          <cell r="K18">
            <v>0</v>
          </cell>
          <cell r="L18">
            <v>0.05</v>
          </cell>
          <cell r="M18">
            <v>0.1</v>
          </cell>
          <cell r="N18">
            <v>0.15</v>
          </cell>
          <cell r="O18">
            <v>0.2</v>
          </cell>
          <cell r="P18">
            <v>0.25</v>
          </cell>
          <cell r="Q18">
            <v>0.3</v>
          </cell>
          <cell r="R18">
            <v>0.35</v>
          </cell>
        </row>
        <row r="19">
          <cell r="K19">
            <v>0</v>
          </cell>
          <cell r="L19">
            <v>0.05</v>
          </cell>
          <cell r="M19">
            <v>0.1</v>
          </cell>
          <cell r="N19">
            <v>0.15</v>
          </cell>
          <cell r="O19">
            <v>0.2</v>
          </cell>
          <cell r="P19">
            <v>0.25</v>
          </cell>
          <cell r="Q19">
            <v>0.3</v>
          </cell>
          <cell r="R19">
            <v>0.35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GDP"/>
      <sheetName val="Regional GDP"/>
      <sheetName val="Tourism"/>
      <sheetName val="Other Assumptions"/>
    </sheetNames>
    <sheetDataSet>
      <sheetData sheetId="0">
        <row r="4">
          <cell r="D4">
            <v>164700</v>
          </cell>
          <cell r="T4">
            <v>171100</v>
          </cell>
          <cell r="U4">
            <v>175500</v>
          </cell>
          <cell r="V4">
            <v>179100</v>
          </cell>
          <cell r="W4">
            <v>181600</v>
          </cell>
          <cell r="X4">
            <v>182700</v>
          </cell>
          <cell r="Y4">
            <v>182900</v>
          </cell>
        </row>
        <row r="5">
          <cell r="T5">
            <v>1646500</v>
          </cell>
          <cell r="U5">
            <v>1767500</v>
          </cell>
          <cell r="V5">
            <v>1890900</v>
          </cell>
          <cell r="W5">
            <v>2010500</v>
          </cell>
          <cell r="X5">
            <v>2123000</v>
          </cell>
          <cell r="Y5">
            <v>2229300</v>
          </cell>
        </row>
        <row r="6">
          <cell r="T6">
            <v>449500</v>
          </cell>
          <cell r="U6">
            <v>466800</v>
          </cell>
          <cell r="V6">
            <v>482800</v>
          </cell>
          <cell r="W6">
            <v>496600</v>
          </cell>
          <cell r="X6">
            <v>507900</v>
          </cell>
          <cell r="Y6">
            <v>517400</v>
          </cell>
        </row>
        <row r="7">
          <cell r="T7">
            <v>291200</v>
          </cell>
          <cell r="U7">
            <v>301100</v>
          </cell>
          <cell r="V7">
            <v>310200</v>
          </cell>
          <cell r="W7">
            <v>318000</v>
          </cell>
          <cell r="X7">
            <v>324100</v>
          </cell>
          <cell r="Y7">
            <v>328700</v>
          </cell>
        </row>
        <row r="8">
          <cell r="T8">
            <v>47800</v>
          </cell>
          <cell r="U8">
            <v>48300</v>
          </cell>
          <cell r="V8">
            <v>48600</v>
          </cell>
          <cell r="W8">
            <v>48600</v>
          </cell>
          <cell r="X8">
            <v>48200</v>
          </cell>
          <cell r="Y8">
            <v>47600</v>
          </cell>
        </row>
        <row r="9">
          <cell r="T9">
            <v>162400</v>
          </cell>
          <cell r="U9">
            <v>164600</v>
          </cell>
          <cell r="V9">
            <v>166200</v>
          </cell>
          <cell r="W9">
            <v>166600</v>
          </cell>
          <cell r="X9">
            <v>165800</v>
          </cell>
          <cell r="Y9">
            <v>164000</v>
          </cell>
        </row>
        <row r="10">
          <cell r="T10">
            <v>118800</v>
          </cell>
          <cell r="U10">
            <v>122000</v>
          </cell>
          <cell r="V10">
            <v>124900</v>
          </cell>
          <cell r="W10">
            <v>127200</v>
          </cell>
          <cell r="X10">
            <v>128900</v>
          </cell>
          <cell r="Y10">
            <v>130200</v>
          </cell>
        </row>
        <row r="11">
          <cell r="T11">
            <v>234800</v>
          </cell>
          <cell r="U11">
            <v>237000</v>
          </cell>
          <cell r="V11">
            <v>238500</v>
          </cell>
          <cell r="W11">
            <v>238600</v>
          </cell>
          <cell r="X11">
            <v>237300</v>
          </cell>
          <cell r="Y11">
            <v>234700</v>
          </cell>
        </row>
        <row r="12">
          <cell r="T12">
            <v>505800</v>
          </cell>
          <cell r="U12">
            <v>518200</v>
          </cell>
          <cell r="V12">
            <v>529500</v>
          </cell>
          <cell r="W12">
            <v>538500</v>
          </cell>
          <cell r="X12">
            <v>544700</v>
          </cell>
          <cell r="Y12">
            <v>548400</v>
          </cell>
        </row>
        <row r="13">
          <cell r="T13">
            <v>147900</v>
          </cell>
          <cell r="U13">
            <v>151500</v>
          </cell>
          <cell r="V13">
            <v>154400</v>
          </cell>
          <cell r="W13">
            <v>156200</v>
          </cell>
          <cell r="X13">
            <v>156900</v>
          </cell>
          <cell r="Y13">
            <v>156600</v>
          </cell>
        </row>
        <row r="14">
          <cell r="T14">
            <v>33800</v>
          </cell>
          <cell r="U14">
            <v>34000</v>
          </cell>
          <cell r="V14">
            <v>34100</v>
          </cell>
          <cell r="W14">
            <v>34000</v>
          </cell>
          <cell r="X14">
            <v>33700</v>
          </cell>
          <cell r="Y14">
            <v>33200</v>
          </cell>
        </row>
        <row r="15">
          <cell r="T15">
            <v>611900</v>
          </cell>
          <cell r="U15">
            <v>638900</v>
          </cell>
          <cell r="V15">
            <v>665000</v>
          </cell>
          <cell r="W15">
            <v>689000</v>
          </cell>
          <cell r="X15">
            <v>710300</v>
          </cell>
          <cell r="Y15">
            <v>729200</v>
          </cell>
        </row>
        <row r="16">
          <cell r="T16">
            <v>218000</v>
          </cell>
          <cell r="U16">
            <v>223800</v>
          </cell>
          <cell r="V16">
            <v>229100</v>
          </cell>
          <cell r="W16">
            <v>233600</v>
          </cell>
          <cell r="X16">
            <v>237100</v>
          </cell>
          <cell r="Y16">
            <v>239800</v>
          </cell>
        </row>
        <row r="17">
          <cell r="T17">
            <v>98400</v>
          </cell>
          <cell r="U17">
            <v>98900</v>
          </cell>
          <cell r="V17">
            <v>99200</v>
          </cell>
          <cell r="W17">
            <v>98900</v>
          </cell>
          <cell r="X17">
            <v>98000</v>
          </cell>
          <cell r="Y17">
            <v>96800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formatted Vehicle Summary"/>
      <sheetName val="Formatted Vehicle Summary"/>
    </sheetNames>
    <sheetDataSet>
      <sheetData sheetId="0"/>
      <sheetData sheetId="1">
        <row r="3">
          <cell r="C3">
            <v>2769927.1883999999</v>
          </cell>
        </row>
        <row r="4">
          <cell r="C4">
            <v>3037201.6003</v>
          </cell>
        </row>
        <row r="5">
          <cell r="C5">
            <v>3244672.8802</v>
          </cell>
        </row>
        <row r="6">
          <cell r="C6">
            <v>3439268.5380000002</v>
          </cell>
        </row>
        <row r="7">
          <cell r="C7">
            <v>3614951.4393000002</v>
          </cell>
        </row>
        <row r="8">
          <cell r="C8">
            <v>3765425.8621</v>
          </cell>
        </row>
        <row r="9">
          <cell r="C9">
            <v>3918571.477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notes"/>
      <sheetName val="Results"/>
      <sheetName val="Northland"/>
      <sheetName val="Auckland"/>
      <sheetName val="Waikato"/>
      <sheetName val="Bay of Plenty"/>
      <sheetName val="Gisborne"/>
      <sheetName val="Hawkes Bay"/>
      <sheetName val="Taranaki"/>
      <sheetName val="Manawatu"/>
      <sheetName val="Wellington"/>
      <sheetName val="TNM"/>
      <sheetName val="West Coast"/>
      <sheetName val="Canterbury"/>
      <sheetName val="Otago"/>
      <sheetName val="Southland"/>
      <sheetName val="Routings"/>
      <sheetName val="Distances"/>
    </sheetNames>
    <sheetDataSet>
      <sheetData sheetId="0"/>
      <sheetData sheetId="1">
        <row r="7">
          <cell r="D7">
            <v>1.1145434259989837</v>
          </cell>
          <cell r="E7">
            <v>1.1533427282647837</v>
          </cell>
          <cell r="F7">
            <v>1.1628209258171385</v>
          </cell>
          <cell r="G7">
            <v>1.2072648190799093</v>
          </cell>
          <cell r="H7">
            <v>1.3636614997788414</v>
          </cell>
        </row>
        <row r="8">
          <cell r="D8">
            <v>2.8098197707991828</v>
          </cell>
          <cell r="E8">
            <v>3.0918730734087676</v>
          </cell>
          <cell r="F8">
            <v>3.6672303754195377</v>
          </cell>
          <cell r="G8">
            <v>4.1390813833031528</v>
          </cell>
          <cell r="H8">
            <v>4.6276890148223266</v>
          </cell>
        </row>
        <row r="9">
          <cell r="D9">
            <v>5.7657376429711178</v>
          </cell>
          <cell r="E9">
            <v>6.0556111544796574</v>
          </cell>
          <cell r="F9">
            <v>6.8141411957490678</v>
          </cell>
          <cell r="G9">
            <v>7.2995071402771075</v>
          </cell>
          <cell r="H9">
            <v>7.8283175956772588</v>
          </cell>
        </row>
        <row r="10">
          <cell r="D10">
            <v>1.9585700257993011</v>
          </cell>
          <cell r="E10">
            <v>2.0209597687748864</v>
          </cell>
          <cell r="F10">
            <v>2.242616349392442</v>
          </cell>
          <cell r="G10">
            <v>2.3211561028878873</v>
          </cell>
          <cell r="H10">
            <v>2.5120933812276451</v>
          </cell>
        </row>
        <row r="11">
          <cell r="D11">
            <v>0.55176093683276595</v>
          </cell>
          <cell r="E11">
            <v>0.55951953756645822</v>
          </cell>
          <cell r="F11">
            <v>0.58311413488849628</v>
          </cell>
          <cell r="G11">
            <v>0.45885781996638669</v>
          </cell>
          <cell r="H11">
            <v>0.56611255897887991</v>
          </cell>
        </row>
        <row r="12">
          <cell r="D12">
            <v>0.76470698278682647</v>
          </cell>
          <cell r="E12">
            <v>0.7851856857057814</v>
          </cell>
          <cell r="F12">
            <v>0.85622886652023056</v>
          </cell>
          <cell r="G12">
            <v>0.85854030879587639</v>
          </cell>
          <cell r="H12">
            <v>0.90541747497750624</v>
          </cell>
        </row>
        <row r="13">
          <cell r="D13">
            <v>0.76938658783059777</v>
          </cell>
          <cell r="E13">
            <v>0.77750328358813769</v>
          </cell>
          <cell r="F13">
            <v>0.81333243511184328</v>
          </cell>
          <cell r="G13">
            <v>0.81468467607735318</v>
          </cell>
          <cell r="H13">
            <v>0.8445509214904019</v>
          </cell>
        </row>
        <row r="14">
          <cell r="D14">
            <v>2.1728510629573869</v>
          </cell>
          <cell r="E14">
            <v>2.2510975787012382</v>
          </cell>
          <cell r="F14">
            <v>2.44820019172642</v>
          </cell>
          <cell r="G14">
            <v>2.5567136510494186</v>
          </cell>
          <cell r="H14">
            <v>2.7188904211081506</v>
          </cell>
        </row>
        <row r="15">
          <cell r="D15">
            <v>0.93793049740581913</v>
          </cell>
          <cell r="E15">
            <v>0.97607903916044958</v>
          </cell>
          <cell r="F15">
            <v>1.0686703777734872</v>
          </cell>
          <cell r="G15">
            <v>1.1192479411072063</v>
          </cell>
          <cell r="H15">
            <v>1.2136216639078339</v>
          </cell>
        </row>
        <row r="16">
          <cell r="D16">
            <v>1.1304028305532119</v>
          </cell>
          <cell r="E16">
            <v>1.1739837932044597</v>
          </cell>
          <cell r="F16">
            <v>1.3011267737424665</v>
          </cell>
          <cell r="G16">
            <v>1.3271271241139446</v>
          </cell>
          <cell r="H16">
            <v>1.4563106691172794</v>
          </cell>
        </row>
        <row r="17">
          <cell r="D17">
            <v>0.17441496538412951</v>
          </cell>
          <cell r="E17">
            <v>0.17804471095554117</v>
          </cell>
          <cell r="F17">
            <v>0.19252276089859938</v>
          </cell>
          <cell r="G17">
            <v>0.19346880805009437</v>
          </cell>
          <cell r="H17">
            <v>0.19707546856070063</v>
          </cell>
        </row>
        <row r="18">
          <cell r="D18">
            <v>3.2941318692188895</v>
          </cell>
          <cell r="E18">
            <v>3.3297538081643707</v>
          </cell>
          <cell r="F18">
            <v>3.7115811390720435</v>
          </cell>
          <cell r="G18">
            <v>3.9875371262331782</v>
          </cell>
          <cell r="H18">
            <v>4.2413815971867841</v>
          </cell>
        </row>
        <row r="19">
          <cell r="D19">
            <v>1.3226631558926774</v>
          </cell>
          <cell r="E19">
            <v>1.3947908298370664</v>
          </cell>
          <cell r="F19">
            <v>1.541361300823386</v>
          </cell>
          <cell r="G19">
            <v>1.6397210645652587</v>
          </cell>
          <cell r="H19">
            <v>1.7428930499401751</v>
          </cell>
        </row>
        <row r="20">
          <cell r="D20">
            <v>0.65280650613920266</v>
          </cell>
          <cell r="E20">
            <v>0.6751881552523693</v>
          </cell>
          <cell r="F20">
            <v>0.69866072310530947</v>
          </cell>
          <cell r="G20">
            <v>0.71841492192345124</v>
          </cell>
          <cell r="H20">
            <v>0.74763514857911706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_14 fleet"/>
    </sheetNames>
    <sheetDataSet>
      <sheetData sheetId="0">
        <row r="9">
          <cell r="D9">
            <v>114</v>
          </cell>
        </row>
        <row r="10">
          <cell r="D10">
            <v>379</v>
          </cell>
        </row>
        <row r="11">
          <cell r="D11">
            <v>2062</v>
          </cell>
        </row>
        <row r="12">
          <cell r="D12">
            <v>577</v>
          </cell>
        </row>
        <row r="13">
          <cell r="D13">
            <v>585</v>
          </cell>
        </row>
        <row r="14">
          <cell r="D14">
            <v>70</v>
          </cell>
        </row>
        <row r="15">
          <cell r="D15">
            <v>293</v>
          </cell>
        </row>
        <row r="16">
          <cell r="D16">
            <v>107</v>
          </cell>
        </row>
        <row r="17">
          <cell r="D17">
            <v>301</v>
          </cell>
        </row>
        <row r="18">
          <cell r="D18">
            <v>670</v>
          </cell>
        </row>
        <row r="19">
          <cell r="D19">
            <v>249</v>
          </cell>
        </row>
        <row r="20">
          <cell r="D20">
            <v>90</v>
          </cell>
        </row>
        <row r="21">
          <cell r="D21">
            <v>1233</v>
          </cell>
        </row>
        <row r="22">
          <cell r="D22">
            <v>494</v>
          </cell>
        </row>
        <row r="23">
          <cell r="D23">
            <v>301</v>
          </cell>
        </row>
        <row r="24">
          <cell r="D24">
            <v>44</v>
          </cell>
        </row>
        <row r="25">
          <cell r="D25">
            <v>95</v>
          </cell>
        </row>
        <row r="26">
          <cell r="D26">
            <v>263</v>
          </cell>
        </row>
        <row r="27">
          <cell r="D27">
            <v>188</v>
          </cell>
        </row>
        <row r="28">
          <cell r="D28">
            <v>164</v>
          </cell>
        </row>
        <row r="29">
          <cell r="D29">
            <v>25</v>
          </cell>
        </row>
        <row r="30">
          <cell r="D30">
            <v>60</v>
          </cell>
        </row>
        <row r="31">
          <cell r="D31">
            <v>82</v>
          </cell>
        </row>
        <row r="32">
          <cell r="D32">
            <v>103</v>
          </cell>
        </row>
        <row r="33">
          <cell r="D33">
            <v>52</v>
          </cell>
        </row>
        <row r="34">
          <cell r="D34">
            <v>92</v>
          </cell>
        </row>
        <row r="35">
          <cell r="D35">
            <v>41</v>
          </cell>
        </row>
        <row r="36">
          <cell r="D36">
            <v>362</v>
          </cell>
        </row>
        <row r="37">
          <cell r="D37">
            <v>82</v>
          </cell>
        </row>
        <row r="38">
          <cell r="D38">
            <v>75</v>
          </cell>
        </row>
        <row r="39">
          <cell r="D39">
            <v>1</v>
          </cell>
        </row>
        <row r="40">
          <cell r="D40">
            <v>70</v>
          </cell>
        </row>
        <row r="41">
          <cell r="D41">
            <v>602</v>
          </cell>
        </row>
        <row r="42">
          <cell r="D42">
            <v>119</v>
          </cell>
        </row>
        <row r="43">
          <cell r="D43">
            <v>118</v>
          </cell>
        </row>
        <row r="44">
          <cell r="D44">
            <v>6</v>
          </cell>
        </row>
        <row r="45">
          <cell r="D45">
            <v>45</v>
          </cell>
        </row>
        <row r="46">
          <cell r="D46">
            <v>21</v>
          </cell>
        </row>
        <row r="47">
          <cell r="D47">
            <v>37</v>
          </cell>
        </row>
        <row r="48">
          <cell r="D48">
            <v>150</v>
          </cell>
        </row>
        <row r="49">
          <cell r="D49">
            <v>45</v>
          </cell>
        </row>
        <row r="50">
          <cell r="D50">
            <v>17</v>
          </cell>
        </row>
        <row r="51">
          <cell r="D51">
            <v>290</v>
          </cell>
        </row>
        <row r="52">
          <cell r="D52">
            <v>177</v>
          </cell>
        </row>
        <row r="53">
          <cell r="D53">
            <v>32</v>
          </cell>
        </row>
        <row r="54">
          <cell r="D54">
            <v>1</v>
          </cell>
        </row>
        <row r="55">
          <cell r="D55">
            <v>73</v>
          </cell>
        </row>
        <row r="56">
          <cell r="D56">
            <v>3094</v>
          </cell>
        </row>
        <row r="57">
          <cell r="D57">
            <v>210</v>
          </cell>
        </row>
        <row r="58">
          <cell r="D58">
            <v>170</v>
          </cell>
        </row>
        <row r="59">
          <cell r="D59">
            <v>38</v>
          </cell>
        </row>
        <row r="60">
          <cell r="D60">
            <v>133</v>
          </cell>
        </row>
        <row r="61">
          <cell r="D61">
            <v>68</v>
          </cell>
        </row>
        <row r="62">
          <cell r="D62">
            <v>113</v>
          </cell>
        </row>
        <row r="63">
          <cell r="D63">
            <v>1177</v>
          </cell>
        </row>
        <row r="64">
          <cell r="D64">
            <v>101</v>
          </cell>
        </row>
        <row r="65">
          <cell r="D65">
            <v>10</v>
          </cell>
        </row>
        <row r="66">
          <cell r="D66">
            <v>648</v>
          </cell>
        </row>
        <row r="67">
          <cell r="D67">
            <v>309</v>
          </cell>
        </row>
        <row r="68">
          <cell r="D68">
            <v>63</v>
          </cell>
        </row>
        <row r="69">
          <cell r="D69">
            <v>284</v>
          </cell>
        </row>
        <row r="70">
          <cell r="D70">
            <v>7172</v>
          </cell>
        </row>
        <row r="71">
          <cell r="D71">
            <v>115492</v>
          </cell>
        </row>
        <row r="72">
          <cell r="D72">
            <v>24433</v>
          </cell>
        </row>
        <row r="73">
          <cell r="D73">
            <v>17648</v>
          </cell>
        </row>
        <row r="74">
          <cell r="D74">
            <v>1787</v>
          </cell>
        </row>
        <row r="75">
          <cell r="D75">
            <v>8447</v>
          </cell>
        </row>
        <row r="76">
          <cell r="D76">
            <v>5572</v>
          </cell>
        </row>
        <row r="77">
          <cell r="D77">
            <v>11581</v>
          </cell>
        </row>
        <row r="78">
          <cell r="D78">
            <v>25426</v>
          </cell>
        </row>
        <row r="79">
          <cell r="D79">
            <v>9957</v>
          </cell>
        </row>
        <row r="80">
          <cell r="D80">
            <v>1763</v>
          </cell>
        </row>
        <row r="81">
          <cell r="D81">
            <v>47075</v>
          </cell>
        </row>
        <row r="82">
          <cell r="D82">
            <v>13523</v>
          </cell>
        </row>
        <row r="83">
          <cell r="D83">
            <v>5312</v>
          </cell>
        </row>
        <row r="84">
          <cell r="D84">
            <v>11085</v>
          </cell>
        </row>
        <row r="85">
          <cell r="D85">
            <v>85626</v>
          </cell>
        </row>
        <row r="86">
          <cell r="D86">
            <v>812124</v>
          </cell>
        </row>
        <row r="87">
          <cell r="D87">
            <v>236200</v>
          </cell>
        </row>
        <row r="88">
          <cell r="D88">
            <v>176043</v>
          </cell>
        </row>
        <row r="89">
          <cell r="D89">
            <v>21291</v>
          </cell>
        </row>
        <row r="90">
          <cell r="D90">
            <v>85997</v>
          </cell>
        </row>
        <row r="91">
          <cell r="D91">
            <v>65295</v>
          </cell>
        </row>
        <row r="92">
          <cell r="D92">
            <v>128726</v>
          </cell>
        </row>
        <row r="93">
          <cell r="D93">
            <v>246515</v>
          </cell>
        </row>
        <row r="94">
          <cell r="D94">
            <v>90394</v>
          </cell>
        </row>
        <row r="95">
          <cell r="D95">
            <v>18436</v>
          </cell>
        </row>
        <row r="96">
          <cell r="D96">
            <v>377994</v>
          </cell>
        </row>
        <row r="97">
          <cell r="D97">
            <v>112835</v>
          </cell>
        </row>
        <row r="98">
          <cell r="D98">
            <v>61274</v>
          </cell>
        </row>
        <row r="99">
          <cell r="D99">
            <v>150</v>
          </cell>
        </row>
        <row r="100">
          <cell r="D100">
            <v>94</v>
          </cell>
        </row>
        <row r="101">
          <cell r="D101">
            <v>1657</v>
          </cell>
        </row>
        <row r="102">
          <cell r="D102">
            <v>472</v>
          </cell>
        </row>
        <row r="103">
          <cell r="D103">
            <v>320</v>
          </cell>
        </row>
        <row r="104">
          <cell r="D104">
            <v>42</v>
          </cell>
        </row>
        <row r="105">
          <cell r="D105">
            <v>141</v>
          </cell>
        </row>
        <row r="106">
          <cell r="D106">
            <v>169</v>
          </cell>
        </row>
        <row r="107">
          <cell r="D107">
            <v>360</v>
          </cell>
        </row>
        <row r="108">
          <cell r="D108">
            <v>599</v>
          </cell>
        </row>
        <row r="109">
          <cell r="D109">
            <v>245</v>
          </cell>
        </row>
        <row r="110">
          <cell r="D110">
            <v>32</v>
          </cell>
        </row>
        <row r="111">
          <cell r="D111">
            <v>826</v>
          </cell>
        </row>
        <row r="112">
          <cell r="D112">
            <v>286</v>
          </cell>
        </row>
        <row r="113">
          <cell r="D113">
            <v>136</v>
          </cell>
        </row>
        <row r="114">
          <cell r="D114">
            <v>3948</v>
          </cell>
        </row>
        <row r="115">
          <cell r="D115">
            <v>4034</v>
          </cell>
        </row>
        <row r="116">
          <cell r="D116">
            <v>32271</v>
          </cell>
        </row>
        <row r="117">
          <cell r="D117">
            <v>12954</v>
          </cell>
        </row>
        <row r="118">
          <cell r="D118">
            <v>10306</v>
          </cell>
        </row>
        <row r="119">
          <cell r="D119">
            <v>1195</v>
          </cell>
        </row>
        <row r="120">
          <cell r="D120">
            <v>4666</v>
          </cell>
        </row>
        <row r="121">
          <cell r="D121">
            <v>5170</v>
          </cell>
        </row>
        <row r="122">
          <cell r="D122">
            <v>8890</v>
          </cell>
        </row>
        <row r="123">
          <cell r="D123">
            <v>15550</v>
          </cell>
        </row>
        <row r="124">
          <cell r="D124">
            <v>7736</v>
          </cell>
        </row>
        <row r="125">
          <cell r="D125">
            <v>1762</v>
          </cell>
        </row>
        <row r="126">
          <cell r="D126">
            <v>23568</v>
          </cell>
        </row>
        <row r="127">
          <cell r="D127">
            <v>7084</v>
          </cell>
        </row>
        <row r="128">
          <cell r="D128">
            <v>3902</v>
          </cell>
        </row>
        <row r="129">
          <cell r="D129">
            <v>7545</v>
          </cell>
        </row>
        <row r="130">
          <cell r="D130">
            <v>3050</v>
          </cell>
        </row>
        <row r="131">
          <cell r="D131">
            <v>20132</v>
          </cell>
        </row>
        <row r="132">
          <cell r="D132">
            <v>9293</v>
          </cell>
        </row>
        <row r="133">
          <cell r="D133">
            <v>6436</v>
          </cell>
        </row>
        <row r="134">
          <cell r="D134">
            <v>965</v>
          </cell>
        </row>
        <row r="135">
          <cell r="D135">
            <v>3088</v>
          </cell>
        </row>
        <row r="136">
          <cell r="D136">
            <v>2515</v>
          </cell>
        </row>
        <row r="137">
          <cell r="D137">
            <v>4935</v>
          </cell>
        </row>
        <row r="138">
          <cell r="D138">
            <v>4987</v>
          </cell>
        </row>
        <row r="139">
          <cell r="D139">
            <v>3328</v>
          </cell>
        </row>
        <row r="140">
          <cell r="D140">
            <v>977</v>
          </cell>
        </row>
        <row r="141">
          <cell r="D141">
            <v>14947</v>
          </cell>
        </row>
        <row r="142">
          <cell r="D142">
            <v>3741</v>
          </cell>
        </row>
        <row r="143">
          <cell r="D143">
            <v>2608</v>
          </cell>
        </row>
        <row r="144">
          <cell r="D144">
            <v>5604</v>
          </cell>
        </row>
        <row r="145">
          <cell r="D145">
            <v>3230</v>
          </cell>
        </row>
        <row r="146">
          <cell r="D146">
            <v>8763</v>
          </cell>
        </row>
        <row r="147">
          <cell r="D147">
            <v>7698</v>
          </cell>
        </row>
        <row r="148">
          <cell r="D148">
            <v>4983</v>
          </cell>
        </row>
        <row r="149">
          <cell r="D149">
            <v>813</v>
          </cell>
        </row>
        <row r="150">
          <cell r="D150">
            <v>2382</v>
          </cell>
        </row>
        <row r="151">
          <cell r="D151">
            <v>2305</v>
          </cell>
        </row>
        <row r="152">
          <cell r="D152">
            <v>4233</v>
          </cell>
        </row>
        <row r="153">
          <cell r="D153">
            <v>2731</v>
          </cell>
        </row>
        <row r="154">
          <cell r="D154">
            <v>3392</v>
          </cell>
        </row>
        <row r="155">
          <cell r="D155">
            <v>747</v>
          </cell>
        </row>
        <row r="156">
          <cell r="D156">
            <v>9746</v>
          </cell>
        </row>
        <row r="157">
          <cell r="D157">
            <v>2732</v>
          </cell>
        </row>
        <row r="158">
          <cell r="D158">
            <v>2177</v>
          </cell>
        </row>
        <row r="159">
          <cell r="D159">
            <v>0</v>
          </cell>
        </row>
        <row r="160">
          <cell r="D160">
            <v>59</v>
          </cell>
        </row>
        <row r="161">
          <cell r="D161">
            <v>302</v>
          </cell>
        </row>
        <row r="162">
          <cell r="D162">
            <v>153</v>
          </cell>
        </row>
        <row r="163">
          <cell r="D163">
            <v>152</v>
          </cell>
        </row>
        <row r="164">
          <cell r="D164">
            <v>6</v>
          </cell>
        </row>
        <row r="165">
          <cell r="D165">
            <v>50</v>
          </cell>
        </row>
        <row r="166">
          <cell r="D166">
            <v>26</v>
          </cell>
        </row>
        <row r="167">
          <cell r="D167">
            <v>78</v>
          </cell>
        </row>
        <row r="168">
          <cell r="D168">
            <v>65</v>
          </cell>
        </row>
        <row r="169">
          <cell r="D169">
            <v>56</v>
          </cell>
        </row>
        <row r="170">
          <cell r="D170">
            <v>38</v>
          </cell>
        </row>
        <row r="171">
          <cell r="D171">
            <v>223</v>
          </cell>
        </row>
        <row r="172">
          <cell r="D172">
            <v>207</v>
          </cell>
        </row>
        <row r="173">
          <cell r="D173">
            <v>65</v>
          </cell>
        </row>
        <row r="174">
          <cell r="D174">
            <v>0</v>
          </cell>
        </row>
        <row r="175">
          <cell r="D175">
            <v>20</v>
          </cell>
        </row>
        <row r="176">
          <cell r="D176">
            <v>366</v>
          </cell>
        </row>
        <row r="177">
          <cell r="D177">
            <v>45</v>
          </cell>
        </row>
        <row r="178">
          <cell r="D178">
            <v>66</v>
          </cell>
        </row>
        <row r="179">
          <cell r="D179">
            <v>10</v>
          </cell>
        </row>
        <row r="180">
          <cell r="D180">
            <v>25</v>
          </cell>
        </row>
        <row r="181">
          <cell r="D181">
            <v>10</v>
          </cell>
        </row>
        <row r="182">
          <cell r="D182">
            <v>29</v>
          </cell>
        </row>
        <row r="183">
          <cell r="D183">
            <v>77</v>
          </cell>
        </row>
        <row r="184">
          <cell r="D184">
            <v>41</v>
          </cell>
        </row>
        <row r="185">
          <cell r="D185">
            <v>17</v>
          </cell>
        </row>
        <row r="186">
          <cell r="D186">
            <v>108</v>
          </cell>
        </row>
        <row r="187">
          <cell r="D187">
            <v>102</v>
          </cell>
        </row>
        <row r="188">
          <cell r="D188">
            <v>30</v>
          </cell>
        </row>
        <row r="189">
          <cell r="D189">
            <v>128</v>
          </cell>
        </row>
        <row r="190">
          <cell r="D190">
            <v>6186</v>
          </cell>
        </row>
        <row r="191">
          <cell r="D191">
            <v>46239</v>
          </cell>
        </row>
        <row r="192">
          <cell r="D192">
            <v>18176</v>
          </cell>
        </row>
        <row r="193">
          <cell r="D193">
            <v>14280</v>
          </cell>
        </row>
        <row r="194">
          <cell r="D194">
            <v>2223</v>
          </cell>
        </row>
        <row r="195">
          <cell r="D195">
            <v>6882</v>
          </cell>
        </row>
        <row r="196">
          <cell r="D196">
            <v>4658</v>
          </cell>
        </row>
        <row r="197">
          <cell r="D197">
            <v>9030</v>
          </cell>
        </row>
        <row r="198">
          <cell r="D198">
            <v>14034</v>
          </cell>
        </row>
        <row r="199">
          <cell r="D199">
            <v>7570</v>
          </cell>
        </row>
        <row r="200">
          <cell r="D200">
            <v>2022</v>
          </cell>
        </row>
        <row r="201">
          <cell r="D201">
            <v>31994</v>
          </cell>
        </row>
        <row r="202">
          <cell r="D202">
            <v>8870</v>
          </cell>
        </row>
        <row r="203">
          <cell r="D203">
            <v>5357</v>
          </cell>
        </row>
        <row r="204">
          <cell r="D204">
            <v>1946</v>
          </cell>
        </row>
        <row r="205">
          <cell r="D205">
            <v>15482</v>
          </cell>
        </row>
        <row r="206">
          <cell r="D206">
            <v>48897</v>
          </cell>
        </row>
        <row r="207">
          <cell r="D207">
            <v>31916</v>
          </cell>
        </row>
        <row r="208">
          <cell r="D208">
            <v>25630</v>
          </cell>
        </row>
        <row r="209">
          <cell r="D209">
            <v>4874</v>
          </cell>
        </row>
        <row r="210">
          <cell r="D210">
            <v>13236</v>
          </cell>
        </row>
        <row r="211">
          <cell r="D211">
            <v>10102</v>
          </cell>
        </row>
        <row r="212">
          <cell r="D212">
            <v>20146</v>
          </cell>
        </row>
        <row r="213">
          <cell r="D213">
            <v>19692</v>
          </cell>
        </row>
        <row r="214">
          <cell r="D214">
            <v>15790</v>
          </cell>
        </row>
        <row r="215">
          <cell r="D215">
            <v>4035</v>
          </cell>
        </row>
        <row r="216">
          <cell r="D216">
            <v>42180</v>
          </cell>
        </row>
        <row r="217">
          <cell r="D217">
            <v>14966</v>
          </cell>
        </row>
        <row r="218">
          <cell r="D218">
            <v>11645</v>
          </cell>
        </row>
        <row r="228">
          <cell r="D228">
            <v>5738884.4199999999</v>
          </cell>
        </row>
        <row r="229">
          <cell r="D229">
            <v>8224313.7300000004</v>
          </cell>
        </row>
        <row r="230">
          <cell r="D230">
            <v>84944263.700000003</v>
          </cell>
        </row>
        <row r="231">
          <cell r="D231">
            <v>14598473.07</v>
          </cell>
        </row>
        <row r="232">
          <cell r="D232">
            <v>14576595.91</v>
          </cell>
        </row>
        <row r="233">
          <cell r="D233">
            <v>1419295.58</v>
          </cell>
        </row>
        <row r="234">
          <cell r="D234">
            <v>5157083.3099999996</v>
          </cell>
        </row>
        <row r="235">
          <cell r="D235">
            <v>2236644.42</v>
          </cell>
        </row>
        <row r="236">
          <cell r="D236">
            <v>6509647.7000000002</v>
          </cell>
        </row>
        <row r="237">
          <cell r="D237">
            <v>21010040.309999999</v>
          </cell>
        </row>
        <row r="238">
          <cell r="D238">
            <v>5532853.7300000004</v>
          </cell>
        </row>
        <row r="239">
          <cell r="D239">
            <v>1659087.72</v>
          </cell>
        </row>
        <row r="240">
          <cell r="D240">
            <v>41577537.869999997</v>
          </cell>
        </row>
        <row r="241">
          <cell r="D241">
            <v>14835070.4</v>
          </cell>
        </row>
        <row r="242">
          <cell r="D242">
            <v>5914427.6799999997</v>
          </cell>
        </row>
        <row r="243">
          <cell r="D243">
            <v>23758.5</v>
          </cell>
        </row>
        <row r="244">
          <cell r="D244">
            <v>1022212.79</v>
          </cell>
        </row>
        <row r="245">
          <cell r="D245">
            <v>4238022.46</v>
          </cell>
        </row>
        <row r="246">
          <cell r="D246">
            <v>2464152.65</v>
          </cell>
        </row>
        <row r="247">
          <cell r="D247">
            <v>1996018.78</v>
          </cell>
        </row>
        <row r="248">
          <cell r="D248">
            <v>353326.19</v>
          </cell>
        </row>
        <row r="249">
          <cell r="D249">
            <v>387677.79</v>
          </cell>
        </row>
        <row r="250">
          <cell r="D250">
            <v>1367590</v>
          </cell>
        </row>
        <row r="251">
          <cell r="D251">
            <v>1100463.93</v>
          </cell>
        </row>
        <row r="252">
          <cell r="D252">
            <v>561374.06000000006</v>
          </cell>
        </row>
        <row r="253">
          <cell r="D253">
            <v>1108408.27</v>
          </cell>
        </row>
        <row r="254">
          <cell r="D254">
            <v>580190.53</v>
          </cell>
        </row>
        <row r="255">
          <cell r="D255">
            <v>4669176.53</v>
          </cell>
        </row>
        <row r="256">
          <cell r="D256">
            <v>789596.19</v>
          </cell>
        </row>
        <row r="257">
          <cell r="D257">
            <v>899108.41</v>
          </cell>
        </row>
        <row r="258">
          <cell r="D258">
            <v>0</v>
          </cell>
        </row>
        <row r="259">
          <cell r="D259">
            <v>2072623.9</v>
          </cell>
        </row>
        <row r="260">
          <cell r="D260">
            <v>16882339.289999999</v>
          </cell>
        </row>
        <row r="261">
          <cell r="D261">
            <v>3613453.52</v>
          </cell>
        </row>
        <row r="262">
          <cell r="D262">
            <v>2752849.79</v>
          </cell>
        </row>
        <row r="263">
          <cell r="D263">
            <v>74595.66</v>
          </cell>
        </row>
        <row r="264">
          <cell r="D264">
            <v>808408.45</v>
          </cell>
        </row>
        <row r="265">
          <cell r="D265">
            <v>627591.57999999996</v>
          </cell>
        </row>
        <row r="266">
          <cell r="D266">
            <v>1033798.95</v>
          </cell>
        </row>
        <row r="267">
          <cell r="D267">
            <v>4682260.17</v>
          </cell>
        </row>
        <row r="268">
          <cell r="D268">
            <v>854266.83</v>
          </cell>
        </row>
        <row r="269">
          <cell r="D269">
            <v>364612.79</v>
          </cell>
        </row>
        <row r="270">
          <cell r="D270">
            <v>8311026.8799999999</v>
          </cell>
        </row>
        <row r="271">
          <cell r="D271">
            <v>4460760</v>
          </cell>
        </row>
        <row r="272">
          <cell r="D272">
            <v>469296.21</v>
          </cell>
        </row>
        <row r="273">
          <cell r="D273">
            <v>0</v>
          </cell>
        </row>
        <row r="274">
          <cell r="D274">
            <v>2047691.75</v>
          </cell>
        </row>
        <row r="275">
          <cell r="D275">
            <v>116118573.19</v>
          </cell>
        </row>
        <row r="276">
          <cell r="D276">
            <v>6586375.71</v>
          </cell>
        </row>
        <row r="277">
          <cell r="D277">
            <v>6045057.6699999999</v>
          </cell>
        </row>
        <row r="278">
          <cell r="D278">
            <v>970788.79</v>
          </cell>
        </row>
        <row r="279">
          <cell r="D279">
            <v>3941584.29</v>
          </cell>
        </row>
        <row r="280">
          <cell r="D280">
            <v>2702029.9</v>
          </cell>
        </row>
        <row r="281">
          <cell r="D281">
            <v>3829480.99</v>
          </cell>
        </row>
        <row r="282">
          <cell r="D282">
            <v>46517138.789999999</v>
          </cell>
        </row>
        <row r="283">
          <cell r="D283">
            <v>3094692.61</v>
          </cell>
        </row>
        <row r="284">
          <cell r="D284">
            <v>369311.26</v>
          </cell>
        </row>
        <row r="285">
          <cell r="D285">
            <v>20536774.93</v>
          </cell>
        </row>
        <row r="286">
          <cell r="D286">
            <v>10409017.380000001</v>
          </cell>
        </row>
        <row r="287">
          <cell r="D287">
            <v>1926081.86</v>
          </cell>
        </row>
        <row r="288">
          <cell r="D288">
            <v>236651.1</v>
          </cell>
        </row>
        <row r="289">
          <cell r="D289">
            <v>134684167.88999999</v>
          </cell>
        </row>
        <row r="290">
          <cell r="D290">
            <v>1865994121.1199999</v>
          </cell>
        </row>
        <row r="291">
          <cell r="D291">
            <v>461832949.16000003</v>
          </cell>
        </row>
        <row r="292">
          <cell r="D292">
            <v>322055247.58999997</v>
          </cell>
        </row>
        <row r="293">
          <cell r="D293">
            <v>25854205.57</v>
          </cell>
        </row>
        <row r="294">
          <cell r="D294">
            <v>135811053.97999999</v>
          </cell>
        </row>
        <row r="295">
          <cell r="D295">
            <v>90089643.549999997</v>
          </cell>
        </row>
        <row r="296">
          <cell r="D296">
            <v>200641872.69999999</v>
          </cell>
        </row>
        <row r="297">
          <cell r="D297">
            <v>425231088.19999999</v>
          </cell>
        </row>
        <row r="298">
          <cell r="D298">
            <v>143987749.75999999</v>
          </cell>
        </row>
        <row r="299">
          <cell r="D299">
            <v>31537185.539999999</v>
          </cell>
        </row>
        <row r="300">
          <cell r="D300">
            <v>812673054.16999996</v>
          </cell>
        </row>
        <row r="301">
          <cell r="D301">
            <v>242604490.63999999</v>
          </cell>
        </row>
        <row r="302">
          <cell r="D302">
            <v>92134702.209999993</v>
          </cell>
        </row>
        <row r="303">
          <cell r="D303">
            <v>404189.43</v>
          </cell>
        </row>
        <row r="304">
          <cell r="D304">
            <v>964461913.80999994</v>
          </cell>
        </row>
        <row r="305">
          <cell r="D305">
            <v>8575951888.6099997</v>
          </cell>
        </row>
        <row r="306">
          <cell r="D306">
            <v>2710955086.3099999</v>
          </cell>
        </row>
        <row r="307">
          <cell r="D307">
            <v>1930763527.53</v>
          </cell>
        </row>
        <row r="308">
          <cell r="D308">
            <v>203021222.94999999</v>
          </cell>
        </row>
        <row r="309">
          <cell r="D309">
            <v>872433269.34000003</v>
          </cell>
        </row>
        <row r="310">
          <cell r="D310">
            <v>674848948.60000002</v>
          </cell>
        </row>
        <row r="311">
          <cell r="D311">
            <v>1317747944.71</v>
          </cell>
        </row>
        <row r="312">
          <cell r="D312">
            <v>2538364835.6100001</v>
          </cell>
        </row>
        <row r="313">
          <cell r="D313">
            <v>797645405.79999995</v>
          </cell>
        </row>
        <row r="314">
          <cell r="D314">
            <v>187441610.97999999</v>
          </cell>
        </row>
        <row r="315">
          <cell r="D315">
            <v>3653757076.9499998</v>
          </cell>
        </row>
        <row r="316">
          <cell r="D316">
            <v>1073802562.52</v>
          </cell>
        </row>
        <row r="317">
          <cell r="D317">
            <v>606814330.57000005</v>
          </cell>
        </row>
        <row r="318">
          <cell r="D318">
            <v>3473754.92</v>
          </cell>
        </row>
        <row r="319">
          <cell r="D319">
            <v>303861.96000000002</v>
          </cell>
        </row>
        <row r="320">
          <cell r="D320">
            <v>7426402.9400000004</v>
          </cell>
        </row>
        <row r="321">
          <cell r="D321">
            <v>1941862.08</v>
          </cell>
        </row>
        <row r="322">
          <cell r="D322">
            <v>1380132.32</v>
          </cell>
        </row>
        <row r="323">
          <cell r="D323">
            <v>102983.25</v>
          </cell>
        </row>
        <row r="324">
          <cell r="D324">
            <v>562810.66</v>
          </cell>
        </row>
        <row r="325">
          <cell r="D325">
            <v>553342.94999999995</v>
          </cell>
        </row>
        <row r="326">
          <cell r="D326">
            <v>1269892.49</v>
          </cell>
        </row>
        <row r="327">
          <cell r="D327">
            <v>2512096.67</v>
          </cell>
        </row>
        <row r="328">
          <cell r="D328">
            <v>651514.62</v>
          </cell>
        </row>
        <row r="329">
          <cell r="D329">
            <v>90056.36</v>
          </cell>
        </row>
        <row r="330">
          <cell r="D330">
            <v>4466322.0199999996</v>
          </cell>
        </row>
        <row r="331">
          <cell r="D331">
            <v>976665.98</v>
          </cell>
        </row>
        <row r="332">
          <cell r="D332">
            <v>345710.19</v>
          </cell>
        </row>
        <row r="333">
          <cell r="D333">
            <v>13151366.75</v>
          </cell>
        </row>
        <row r="334">
          <cell r="D334">
            <v>11314757.050000001</v>
          </cell>
        </row>
        <row r="335">
          <cell r="D335">
            <v>91911021.390000001</v>
          </cell>
        </row>
        <row r="336">
          <cell r="D336">
            <v>36467427.649999999</v>
          </cell>
        </row>
        <row r="337">
          <cell r="D337">
            <v>28713547.5</v>
          </cell>
        </row>
        <row r="338">
          <cell r="D338">
            <v>2424914.33</v>
          </cell>
        </row>
        <row r="339">
          <cell r="D339">
            <v>11731640.289999999</v>
          </cell>
        </row>
        <row r="340">
          <cell r="D340">
            <v>11896846.32</v>
          </cell>
        </row>
        <row r="341">
          <cell r="D341">
            <v>21944560.579999998</v>
          </cell>
        </row>
        <row r="342">
          <cell r="D342">
            <v>42864835.640000001</v>
          </cell>
        </row>
        <row r="343">
          <cell r="D343">
            <v>17523517.91</v>
          </cell>
        </row>
        <row r="344">
          <cell r="D344">
            <v>4116468.13</v>
          </cell>
        </row>
        <row r="345">
          <cell r="D345">
            <v>52227908.710000001</v>
          </cell>
        </row>
        <row r="346">
          <cell r="D346">
            <v>15003568.93</v>
          </cell>
        </row>
        <row r="347">
          <cell r="D347">
            <v>7128663.3899999997</v>
          </cell>
        </row>
        <row r="348">
          <cell r="D348">
            <v>21550458.280000001</v>
          </cell>
        </row>
        <row r="349">
          <cell r="D349">
            <v>92487248.459999993</v>
          </cell>
        </row>
        <row r="350">
          <cell r="D350">
            <v>532945130.37</v>
          </cell>
        </row>
        <row r="351">
          <cell r="D351">
            <v>261797180.06</v>
          </cell>
        </row>
        <row r="352">
          <cell r="D352">
            <v>214980157</v>
          </cell>
        </row>
        <row r="353">
          <cell r="D353">
            <v>27846176.370000001</v>
          </cell>
        </row>
        <row r="354">
          <cell r="D354">
            <v>86102056.540000007</v>
          </cell>
        </row>
        <row r="355">
          <cell r="D355">
            <v>71452552.560000002</v>
          </cell>
        </row>
        <row r="356">
          <cell r="D356">
            <v>136504819.90000001</v>
          </cell>
        </row>
        <row r="357">
          <cell r="D357">
            <v>116676159.68000001</v>
          </cell>
        </row>
        <row r="358">
          <cell r="D358">
            <v>83562777.170000002</v>
          </cell>
        </row>
        <row r="359">
          <cell r="D359">
            <v>26542264.07</v>
          </cell>
        </row>
        <row r="360">
          <cell r="D360">
            <v>370859973.44999999</v>
          </cell>
        </row>
        <row r="361">
          <cell r="D361">
            <v>94015170.299999997</v>
          </cell>
        </row>
        <row r="362">
          <cell r="D362">
            <v>77335171.799999997</v>
          </cell>
        </row>
        <row r="363">
          <cell r="D363">
            <v>17418266.620000001</v>
          </cell>
        </row>
        <row r="364">
          <cell r="D364">
            <v>30969418.620000001</v>
          </cell>
        </row>
        <row r="365">
          <cell r="D365">
            <v>105455234.3</v>
          </cell>
        </row>
        <row r="366">
          <cell r="D366">
            <v>66031931.719999999</v>
          </cell>
        </row>
        <row r="367">
          <cell r="D367">
            <v>42230856.479999997</v>
          </cell>
        </row>
        <row r="368">
          <cell r="D368">
            <v>6460423.8399999999</v>
          </cell>
        </row>
        <row r="369">
          <cell r="D369">
            <v>18830827.18</v>
          </cell>
        </row>
        <row r="370">
          <cell r="D370">
            <v>19291916.309999999</v>
          </cell>
        </row>
        <row r="371">
          <cell r="D371">
            <v>36601734.079999998</v>
          </cell>
        </row>
        <row r="372">
          <cell r="D372">
            <v>26298107.969999999</v>
          </cell>
        </row>
        <row r="373">
          <cell r="D373">
            <v>22139429.93</v>
          </cell>
        </row>
        <row r="374">
          <cell r="D374">
            <v>4629527.26</v>
          </cell>
        </row>
        <row r="375">
          <cell r="D375">
            <v>77018738.290000007</v>
          </cell>
        </row>
        <row r="376">
          <cell r="D376">
            <v>20329518.050000001</v>
          </cell>
        </row>
        <row r="377">
          <cell r="D377">
            <v>16724800.08</v>
          </cell>
        </row>
        <row r="378">
          <cell r="D378">
            <v>0</v>
          </cell>
        </row>
        <row r="379">
          <cell r="D379">
            <v>1147874.47</v>
          </cell>
        </row>
        <row r="380">
          <cell r="D380">
            <v>8751849.6099999994</v>
          </cell>
        </row>
        <row r="381">
          <cell r="D381">
            <v>4465211.54</v>
          </cell>
        </row>
        <row r="382">
          <cell r="D382">
            <v>4421933.17</v>
          </cell>
        </row>
        <row r="383">
          <cell r="D383">
            <v>109577.62</v>
          </cell>
        </row>
        <row r="384">
          <cell r="D384">
            <v>1124339.17</v>
          </cell>
        </row>
        <row r="385">
          <cell r="D385">
            <v>628219.66</v>
          </cell>
        </row>
        <row r="386">
          <cell r="D386">
            <v>1949535.16</v>
          </cell>
        </row>
        <row r="387">
          <cell r="D387">
            <v>2599742.21</v>
          </cell>
        </row>
        <row r="388">
          <cell r="D388">
            <v>1487822.42</v>
          </cell>
        </row>
        <row r="389">
          <cell r="D389">
            <v>547962.17000000004</v>
          </cell>
        </row>
        <row r="390">
          <cell r="D390">
            <v>5167243.95</v>
          </cell>
        </row>
        <row r="391">
          <cell r="D391">
            <v>5184433.45</v>
          </cell>
        </row>
        <row r="392">
          <cell r="D392">
            <v>1310585.47</v>
          </cell>
        </row>
        <row r="393">
          <cell r="D393">
            <v>0</v>
          </cell>
        </row>
        <row r="394">
          <cell r="D394">
            <v>613789.96</v>
          </cell>
        </row>
        <row r="395">
          <cell r="D395">
            <v>15136058.85</v>
          </cell>
        </row>
        <row r="396">
          <cell r="D396">
            <v>1371509.36</v>
          </cell>
        </row>
        <row r="397">
          <cell r="D397">
            <v>1637872.5</v>
          </cell>
        </row>
        <row r="398">
          <cell r="D398">
            <v>359686.17</v>
          </cell>
        </row>
        <row r="399">
          <cell r="D399">
            <v>1142992.3400000001</v>
          </cell>
        </row>
        <row r="400">
          <cell r="D400">
            <v>214401.47</v>
          </cell>
        </row>
        <row r="401">
          <cell r="D401">
            <v>766766.39</v>
          </cell>
        </row>
        <row r="402">
          <cell r="D402">
            <v>3268781.45</v>
          </cell>
        </row>
        <row r="403">
          <cell r="D403">
            <v>1018037.23</v>
          </cell>
        </row>
        <row r="404">
          <cell r="D404">
            <v>469164.39</v>
          </cell>
        </row>
        <row r="405">
          <cell r="D405">
            <v>3236873.32</v>
          </cell>
        </row>
        <row r="406">
          <cell r="D406">
            <v>2681776.2200000002</v>
          </cell>
        </row>
        <row r="407">
          <cell r="D407">
            <v>558323.4</v>
          </cell>
        </row>
        <row r="408">
          <cell r="D408">
            <v>167941.65</v>
          </cell>
        </row>
        <row r="409">
          <cell r="D409">
            <v>123806971.41</v>
          </cell>
        </row>
        <row r="410">
          <cell r="D410">
            <v>874290175.38999999</v>
          </cell>
        </row>
        <row r="411">
          <cell r="D411">
            <v>367583119.06</v>
          </cell>
        </row>
        <row r="412">
          <cell r="D412">
            <v>289130105.16000003</v>
          </cell>
        </row>
        <row r="413">
          <cell r="D413">
            <v>43463010.350000001</v>
          </cell>
        </row>
        <row r="414">
          <cell r="D414">
            <v>123551936.45999999</v>
          </cell>
        </row>
        <row r="415">
          <cell r="D415">
            <v>83953215.760000005</v>
          </cell>
        </row>
        <row r="416">
          <cell r="D416">
            <v>170496685.47999999</v>
          </cell>
        </row>
        <row r="417">
          <cell r="D417">
            <v>259937293.58000001</v>
          </cell>
        </row>
        <row r="418">
          <cell r="D418">
            <v>127009466.76000001</v>
          </cell>
        </row>
        <row r="419">
          <cell r="D419">
            <v>41083809.130000003</v>
          </cell>
        </row>
        <row r="420">
          <cell r="D420">
            <v>603501284.53999996</v>
          </cell>
        </row>
        <row r="421">
          <cell r="D421">
            <v>165930157.59</v>
          </cell>
        </row>
        <row r="422">
          <cell r="D422">
            <v>106099986.23</v>
          </cell>
        </row>
        <row r="423">
          <cell r="D423">
            <v>127768.71</v>
          </cell>
        </row>
        <row r="424">
          <cell r="D424">
            <v>184351386.47</v>
          </cell>
        </row>
        <row r="425">
          <cell r="D425">
            <v>592609183.51999998</v>
          </cell>
        </row>
        <row r="426">
          <cell r="D426">
            <v>386236241.10000002</v>
          </cell>
        </row>
        <row r="427">
          <cell r="D427">
            <v>291989622.17000002</v>
          </cell>
        </row>
        <row r="428">
          <cell r="D428">
            <v>54656614.420000002</v>
          </cell>
        </row>
        <row r="429">
          <cell r="D429">
            <v>146809006.59</v>
          </cell>
        </row>
        <row r="430">
          <cell r="D430">
            <v>112040848.59999999</v>
          </cell>
        </row>
        <row r="431">
          <cell r="D431">
            <v>230296993.06</v>
          </cell>
        </row>
        <row r="432">
          <cell r="D432">
            <v>226481112.00999999</v>
          </cell>
        </row>
        <row r="433">
          <cell r="D433">
            <v>154661955.63</v>
          </cell>
        </row>
        <row r="434">
          <cell r="D434">
            <v>42522406.799999997</v>
          </cell>
        </row>
        <row r="435">
          <cell r="D435">
            <v>467454790.38999999</v>
          </cell>
        </row>
        <row r="436">
          <cell r="D436">
            <v>160512955.59999999</v>
          </cell>
        </row>
        <row r="437">
          <cell r="D437">
            <v>132019293.15000001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_15 fleet"/>
    </sheetNames>
    <sheetDataSet>
      <sheetData sheetId="0">
        <row r="9">
          <cell r="D9">
            <v>114</v>
          </cell>
        </row>
        <row r="10">
          <cell r="D10">
            <v>407</v>
          </cell>
        </row>
        <row r="11">
          <cell r="D11">
            <v>2105</v>
          </cell>
        </row>
        <row r="12">
          <cell r="D12">
            <v>567</v>
          </cell>
        </row>
        <row r="13">
          <cell r="D13">
            <v>588</v>
          </cell>
        </row>
        <row r="14">
          <cell r="D14">
            <v>80</v>
          </cell>
        </row>
        <row r="15">
          <cell r="D15">
            <v>292</v>
          </cell>
        </row>
        <row r="16">
          <cell r="D16">
            <v>117</v>
          </cell>
        </row>
        <row r="17">
          <cell r="D17">
            <v>305</v>
          </cell>
        </row>
        <row r="18">
          <cell r="D18">
            <v>685</v>
          </cell>
        </row>
        <row r="19">
          <cell r="D19">
            <v>255</v>
          </cell>
        </row>
        <row r="20">
          <cell r="D20">
            <v>88</v>
          </cell>
        </row>
        <row r="21">
          <cell r="D21">
            <v>1241</v>
          </cell>
        </row>
        <row r="22">
          <cell r="D22">
            <v>512</v>
          </cell>
        </row>
        <row r="23">
          <cell r="D23">
            <v>304</v>
          </cell>
        </row>
        <row r="24">
          <cell r="D24">
            <v>43</v>
          </cell>
        </row>
        <row r="25">
          <cell r="D25">
            <v>92</v>
          </cell>
        </row>
        <row r="26">
          <cell r="D26">
            <v>265</v>
          </cell>
        </row>
        <row r="27">
          <cell r="D27">
            <v>201</v>
          </cell>
        </row>
        <row r="28">
          <cell r="D28">
            <v>162</v>
          </cell>
        </row>
        <row r="29">
          <cell r="D29">
            <v>26</v>
          </cell>
        </row>
        <row r="30">
          <cell r="D30">
            <v>64</v>
          </cell>
        </row>
        <row r="31">
          <cell r="D31">
            <v>86</v>
          </cell>
        </row>
        <row r="32">
          <cell r="D32">
            <v>102</v>
          </cell>
        </row>
        <row r="33">
          <cell r="D33">
            <v>54</v>
          </cell>
        </row>
        <row r="34">
          <cell r="D34">
            <v>105</v>
          </cell>
        </row>
        <row r="35">
          <cell r="D35">
            <v>46</v>
          </cell>
        </row>
        <row r="36">
          <cell r="D36">
            <v>366</v>
          </cell>
        </row>
        <row r="37">
          <cell r="D37">
            <v>88</v>
          </cell>
        </row>
        <row r="38">
          <cell r="D38">
            <v>80</v>
          </cell>
        </row>
        <row r="39">
          <cell r="D39">
            <v>1</v>
          </cell>
        </row>
        <row r="40">
          <cell r="D40">
            <v>80</v>
          </cell>
        </row>
        <row r="41">
          <cell r="D41">
            <v>668</v>
          </cell>
        </row>
        <row r="42">
          <cell r="D42">
            <v>115</v>
          </cell>
        </row>
        <row r="43">
          <cell r="D43">
            <v>130</v>
          </cell>
        </row>
        <row r="44">
          <cell r="D44">
            <v>2</v>
          </cell>
        </row>
        <row r="45">
          <cell r="D45">
            <v>49</v>
          </cell>
        </row>
        <row r="46">
          <cell r="D46">
            <v>20</v>
          </cell>
        </row>
        <row r="47">
          <cell r="D47">
            <v>45</v>
          </cell>
        </row>
        <row r="48">
          <cell r="D48">
            <v>143</v>
          </cell>
        </row>
        <row r="49">
          <cell r="D49">
            <v>50</v>
          </cell>
        </row>
        <row r="50">
          <cell r="D50">
            <v>18</v>
          </cell>
        </row>
        <row r="51">
          <cell r="D51">
            <v>329</v>
          </cell>
        </row>
        <row r="52">
          <cell r="D52">
            <v>189</v>
          </cell>
        </row>
        <row r="53">
          <cell r="D53">
            <v>34</v>
          </cell>
        </row>
        <row r="54">
          <cell r="D54">
            <v>1</v>
          </cell>
        </row>
        <row r="55">
          <cell r="D55">
            <v>61</v>
          </cell>
        </row>
        <row r="56">
          <cell r="D56">
            <v>3457</v>
          </cell>
        </row>
        <row r="57">
          <cell r="D57">
            <v>215</v>
          </cell>
        </row>
        <row r="58">
          <cell r="D58">
            <v>167</v>
          </cell>
        </row>
        <row r="59">
          <cell r="D59">
            <v>36</v>
          </cell>
        </row>
        <row r="60">
          <cell r="D60">
            <v>134</v>
          </cell>
        </row>
        <row r="61">
          <cell r="D61">
            <v>66</v>
          </cell>
        </row>
        <row r="62">
          <cell r="D62">
            <v>104</v>
          </cell>
        </row>
        <row r="63">
          <cell r="D63">
            <v>1227</v>
          </cell>
        </row>
        <row r="64">
          <cell r="D64">
            <v>100</v>
          </cell>
        </row>
        <row r="65">
          <cell r="D65">
            <v>11</v>
          </cell>
        </row>
        <row r="66">
          <cell r="D66">
            <v>662</v>
          </cell>
        </row>
        <row r="67">
          <cell r="D67">
            <v>313</v>
          </cell>
        </row>
        <row r="68">
          <cell r="D68">
            <v>63</v>
          </cell>
        </row>
        <row r="69">
          <cell r="D69">
            <v>266</v>
          </cell>
        </row>
        <row r="70">
          <cell r="D70">
            <v>7085</v>
          </cell>
        </row>
        <row r="71">
          <cell r="D71">
            <v>120614</v>
          </cell>
        </row>
        <row r="72">
          <cell r="D72">
            <v>25471</v>
          </cell>
        </row>
        <row r="73">
          <cell r="D73">
            <v>17908</v>
          </cell>
        </row>
        <row r="74">
          <cell r="D74">
            <v>1793</v>
          </cell>
        </row>
        <row r="75">
          <cell r="D75">
            <v>8645</v>
          </cell>
        </row>
        <row r="76">
          <cell r="D76">
            <v>5625</v>
          </cell>
        </row>
        <row r="77">
          <cell r="D77">
            <v>11736</v>
          </cell>
        </row>
        <row r="78">
          <cell r="D78">
            <v>25796</v>
          </cell>
        </row>
        <row r="79">
          <cell r="D79">
            <v>10193</v>
          </cell>
        </row>
        <row r="80">
          <cell r="D80">
            <v>1784</v>
          </cell>
        </row>
        <row r="81">
          <cell r="D81">
            <v>48938</v>
          </cell>
        </row>
        <row r="82">
          <cell r="D82">
            <v>13896</v>
          </cell>
        </row>
        <row r="83">
          <cell r="D83">
            <v>5303</v>
          </cell>
        </row>
        <row r="84">
          <cell r="D84">
            <v>10936</v>
          </cell>
        </row>
        <row r="85">
          <cell r="D85">
            <v>86601</v>
          </cell>
        </row>
        <row r="86">
          <cell r="D86">
            <v>857885</v>
          </cell>
        </row>
        <row r="87">
          <cell r="D87">
            <v>242679</v>
          </cell>
        </row>
        <row r="88">
          <cell r="D88">
            <v>179997</v>
          </cell>
        </row>
        <row r="89">
          <cell r="D89">
            <v>21483</v>
          </cell>
        </row>
        <row r="90">
          <cell r="D90">
            <v>87272</v>
          </cell>
        </row>
        <row r="91">
          <cell r="D91">
            <v>66118</v>
          </cell>
        </row>
        <row r="92">
          <cell r="D92">
            <v>131554</v>
          </cell>
        </row>
        <row r="93">
          <cell r="D93">
            <v>252104</v>
          </cell>
        </row>
        <row r="94">
          <cell r="D94">
            <v>93599</v>
          </cell>
        </row>
        <row r="95">
          <cell r="D95">
            <v>18209</v>
          </cell>
        </row>
        <row r="96">
          <cell r="D96">
            <v>390772</v>
          </cell>
        </row>
        <row r="97">
          <cell r="D97">
            <v>115504</v>
          </cell>
        </row>
        <row r="98">
          <cell r="D98">
            <v>62256</v>
          </cell>
        </row>
        <row r="99">
          <cell r="D99">
            <v>76</v>
          </cell>
        </row>
        <row r="100">
          <cell r="D100">
            <v>100</v>
          </cell>
        </row>
        <row r="101">
          <cell r="D101">
            <v>1832</v>
          </cell>
        </row>
        <row r="102">
          <cell r="D102">
            <v>513</v>
          </cell>
        </row>
        <row r="103">
          <cell r="D103">
            <v>339</v>
          </cell>
        </row>
        <row r="104">
          <cell r="D104">
            <v>36</v>
          </cell>
        </row>
        <row r="105">
          <cell r="D105">
            <v>125</v>
          </cell>
        </row>
        <row r="106">
          <cell r="D106">
            <v>156</v>
          </cell>
        </row>
        <row r="107">
          <cell r="D107">
            <v>307</v>
          </cell>
        </row>
        <row r="108">
          <cell r="D108">
            <v>582</v>
          </cell>
        </row>
        <row r="109">
          <cell r="D109">
            <v>230</v>
          </cell>
        </row>
        <row r="110">
          <cell r="D110">
            <v>28</v>
          </cell>
        </row>
        <row r="111">
          <cell r="D111">
            <v>877</v>
          </cell>
        </row>
        <row r="112">
          <cell r="D112">
            <v>288</v>
          </cell>
        </row>
        <row r="113">
          <cell r="D113">
            <v>127</v>
          </cell>
        </row>
        <row r="114">
          <cell r="D114">
            <v>1914</v>
          </cell>
        </row>
        <row r="115">
          <cell r="D115">
            <v>4232</v>
          </cell>
        </row>
        <row r="116">
          <cell r="D116">
            <v>34896</v>
          </cell>
        </row>
        <row r="117">
          <cell r="D117">
            <v>13711</v>
          </cell>
        </row>
        <row r="118">
          <cell r="D118">
            <v>10867</v>
          </cell>
        </row>
        <row r="119">
          <cell r="D119">
            <v>1237</v>
          </cell>
        </row>
        <row r="120">
          <cell r="D120">
            <v>4941</v>
          </cell>
        </row>
        <row r="121">
          <cell r="D121">
            <v>5412</v>
          </cell>
        </row>
        <row r="122">
          <cell r="D122">
            <v>9328</v>
          </cell>
        </row>
        <row r="123">
          <cell r="D123">
            <v>16464</v>
          </cell>
        </row>
        <row r="124">
          <cell r="D124">
            <v>8084</v>
          </cell>
        </row>
        <row r="125">
          <cell r="D125">
            <v>1787</v>
          </cell>
        </row>
        <row r="126">
          <cell r="D126">
            <v>24791</v>
          </cell>
        </row>
        <row r="127">
          <cell r="D127">
            <v>7362</v>
          </cell>
        </row>
        <row r="128">
          <cell r="D128">
            <v>4031</v>
          </cell>
        </row>
        <row r="129">
          <cell r="D129">
            <v>8894</v>
          </cell>
        </row>
        <row r="130">
          <cell r="D130">
            <v>3078</v>
          </cell>
        </row>
        <row r="131">
          <cell r="D131">
            <v>21022</v>
          </cell>
        </row>
        <row r="132">
          <cell r="D132">
            <v>9720</v>
          </cell>
        </row>
        <row r="133">
          <cell r="D133">
            <v>6598</v>
          </cell>
        </row>
        <row r="134">
          <cell r="D134">
            <v>997</v>
          </cell>
        </row>
        <row r="135">
          <cell r="D135">
            <v>3157</v>
          </cell>
        </row>
        <row r="136">
          <cell r="D136">
            <v>2603</v>
          </cell>
        </row>
        <row r="137">
          <cell r="D137">
            <v>5236</v>
          </cell>
        </row>
        <row r="138">
          <cell r="D138">
            <v>5146</v>
          </cell>
        </row>
        <row r="139">
          <cell r="D139">
            <v>3382</v>
          </cell>
        </row>
        <row r="140">
          <cell r="D140">
            <v>998</v>
          </cell>
        </row>
        <row r="141">
          <cell r="D141">
            <v>15902</v>
          </cell>
        </row>
        <row r="142">
          <cell r="D142">
            <v>3928</v>
          </cell>
        </row>
        <row r="143">
          <cell r="D143">
            <v>2723</v>
          </cell>
        </row>
        <row r="144">
          <cell r="D144">
            <v>7487</v>
          </cell>
        </row>
        <row r="145">
          <cell r="D145">
            <v>3224</v>
          </cell>
        </row>
        <row r="146">
          <cell r="D146">
            <v>9009</v>
          </cell>
        </row>
        <row r="147">
          <cell r="D147">
            <v>7712</v>
          </cell>
        </row>
        <row r="148">
          <cell r="D148">
            <v>5002</v>
          </cell>
        </row>
        <row r="149">
          <cell r="D149">
            <v>819</v>
          </cell>
        </row>
        <row r="150">
          <cell r="D150">
            <v>2364</v>
          </cell>
        </row>
        <row r="151">
          <cell r="D151">
            <v>2363</v>
          </cell>
        </row>
        <row r="152">
          <cell r="D152">
            <v>4373</v>
          </cell>
        </row>
        <row r="153">
          <cell r="D153">
            <v>2724</v>
          </cell>
        </row>
        <row r="154">
          <cell r="D154">
            <v>3388</v>
          </cell>
        </row>
        <row r="155">
          <cell r="D155">
            <v>740</v>
          </cell>
        </row>
        <row r="156">
          <cell r="D156">
            <v>10011</v>
          </cell>
        </row>
        <row r="157">
          <cell r="D157">
            <v>2740</v>
          </cell>
        </row>
        <row r="158">
          <cell r="D158">
            <v>2173</v>
          </cell>
        </row>
        <row r="159">
          <cell r="D159">
            <v>0</v>
          </cell>
        </row>
        <row r="160">
          <cell r="D160">
            <v>58</v>
          </cell>
        </row>
        <row r="161">
          <cell r="D161">
            <v>359</v>
          </cell>
        </row>
        <row r="162">
          <cell r="D162">
            <v>166</v>
          </cell>
        </row>
        <row r="163">
          <cell r="D163">
            <v>151</v>
          </cell>
        </row>
        <row r="164">
          <cell r="D164">
            <v>10</v>
          </cell>
        </row>
        <row r="165">
          <cell r="D165">
            <v>52</v>
          </cell>
        </row>
        <row r="166">
          <cell r="D166">
            <v>26</v>
          </cell>
        </row>
        <row r="167">
          <cell r="D167">
            <v>69</v>
          </cell>
        </row>
        <row r="168">
          <cell r="D168">
            <v>82</v>
          </cell>
        </row>
        <row r="169">
          <cell r="D169">
            <v>61</v>
          </cell>
        </row>
        <row r="170">
          <cell r="D170">
            <v>41</v>
          </cell>
        </row>
        <row r="171">
          <cell r="D171">
            <v>225</v>
          </cell>
        </row>
        <row r="172">
          <cell r="D172">
            <v>212</v>
          </cell>
        </row>
        <row r="173">
          <cell r="D173">
            <v>62</v>
          </cell>
        </row>
        <row r="174">
          <cell r="D174">
            <v>0</v>
          </cell>
        </row>
        <row r="175">
          <cell r="D175">
            <v>18</v>
          </cell>
        </row>
        <row r="176">
          <cell r="D176">
            <v>360</v>
          </cell>
        </row>
        <row r="177">
          <cell r="D177">
            <v>45</v>
          </cell>
        </row>
        <row r="178">
          <cell r="D178">
            <v>65</v>
          </cell>
        </row>
        <row r="179">
          <cell r="D179">
            <v>15</v>
          </cell>
        </row>
        <row r="180">
          <cell r="D180">
            <v>27</v>
          </cell>
        </row>
        <row r="181">
          <cell r="D181">
            <v>10</v>
          </cell>
        </row>
        <row r="182">
          <cell r="D182">
            <v>28</v>
          </cell>
        </row>
        <row r="183">
          <cell r="D183">
            <v>64</v>
          </cell>
        </row>
        <row r="184">
          <cell r="D184">
            <v>44</v>
          </cell>
        </row>
        <row r="185">
          <cell r="D185">
            <v>12</v>
          </cell>
        </row>
        <row r="186">
          <cell r="D186">
            <v>118</v>
          </cell>
        </row>
        <row r="187">
          <cell r="D187">
            <v>105</v>
          </cell>
        </row>
        <row r="188">
          <cell r="D188">
            <v>29</v>
          </cell>
        </row>
        <row r="189">
          <cell r="D189">
            <v>120</v>
          </cell>
        </row>
        <row r="190">
          <cell r="D190">
            <v>6628</v>
          </cell>
        </row>
        <row r="191">
          <cell r="D191">
            <v>51311</v>
          </cell>
        </row>
        <row r="192">
          <cell r="D192">
            <v>19608</v>
          </cell>
        </row>
        <row r="193">
          <cell r="D193">
            <v>15186</v>
          </cell>
        </row>
        <row r="194">
          <cell r="D194">
            <v>2312</v>
          </cell>
        </row>
        <row r="195">
          <cell r="D195">
            <v>7149</v>
          </cell>
        </row>
        <row r="196">
          <cell r="D196">
            <v>4818</v>
          </cell>
        </row>
        <row r="197">
          <cell r="D197">
            <v>9478</v>
          </cell>
        </row>
        <row r="198">
          <cell r="D198">
            <v>14628</v>
          </cell>
        </row>
        <row r="199">
          <cell r="D199">
            <v>8080</v>
          </cell>
        </row>
        <row r="200">
          <cell r="D200">
            <v>2018</v>
          </cell>
        </row>
        <row r="201">
          <cell r="D201">
            <v>34850</v>
          </cell>
        </row>
        <row r="202">
          <cell r="D202">
            <v>9500</v>
          </cell>
        </row>
        <row r="203">
          <cell r="D203">
            <v>5767</v>
          </cell>
        </row>
        <row r="204">
          <cell r="D204">
            <v>1887</v>
          </cell>
        </row>
        <row r="205">
          <cell r="D205">
            <v>16116</v>
          </cell>
        </row>
        <row r="206">
          <cell r="D206">
            <v>52741</v>
          </cell>
        </row>
        <row r="207">
          <cell r="D207">
            <v>33455</v>
          </cell>
        </row>
        <row r="208">
          <cell r="D208">
            <v>27065</v>
          </cell>
        </row>
        <row r="209">
          <cell r="D209">
            <v>5104</v>
          </cell>
        </row>
        <row r="210">
          <cell r="D210">
            <v>13631</v>
          </cell>
        </row>
        <row r="211">
          <cell r="D211">
            <v>10489</v>
          </cell>
        </row>
        <row r="212">
          <cell r="D212">
            <v>21067</v>
          </cell>
        </row>
        <row r="213">
          <cell r="D213">
            <v>20524</v>
          </cell>
        </row>
        <row r="214">
          <cell r="D214">
            <v>16395</v>
          </cell>
        </row>
        <row r="215">
          <cell r="D215">
            <v>4131</v>
          </cell>
        </row>
        <row r="216">
          <cell r="D216">
            <v>44289</v>
          </cell>
        </row>
        <row r="217">
          <cell r="D217">
            <v>15661</v>
          </cell>
        </row>
        <row r="218">
          <cell r="D218">
            <v>12001</v>
          </cell>
        </row>
        <row r="228">
          <cell r="D228">
            <v>5628055.75</v>
          </cell>
        </row>
        <row r="229">
          <cell r="D229">
            <v>9242429.5700000003</v>
          </cell>
        </row>
        <row r="230">
          <cell r="D230">
            <v>88450308.930000007</v>
          </cell>
        </row>
        <row r="231">
          <cell r="D231">
            <v>14097415.09</v>
          </cell>
        </row>
        <row r="232">
          <cell r="D232">
            <v>14684578.58</v>
          </cell>
        </row>
        <row r="233">
          <cell r="D233">
            <v>1448704.55</v>
          </cell>
        </row>
        <row r="234">
          <cell r="D234">
            <v>4681610.2300000004</v>
          </cell>
        </row>
        <row r="235">
          <cell r="D235">
            <v>2442661.2599999998</v>
          </cell>
        </row>
        <row r="236">
          <cell r="D236">
            <v>6742668.8399999999</v>
          </cell>
        </row>
        <row r="237">
          <cell r="D237">
            <v>21875432.170000002</v>
          </cell>
        </row>
        <row r="238">
          <cell r="D238">
            <v>5857451.9299999997</v>
          </cell>
        </row>
        <row r="239">
          <cell r="D239">
            <v>1789867.71</v>
          </cell>
        </row>
        <row r="240">
          <cell r="D240">
            <v>43135713.310000002</v>
          </cell>
        </row>
        <row r="241">
          <cell r="D241">
            <v>14915818.27</v>
          </cell>
        </row>
        <row r="242">
          <cell r="D242">
            <v>6172173.7000000002</v>
          </cell>
        </row>
        <row r="243">
          <cell r="D243">
            <v>21331.439999999999</v>
          </cell>
        </row>
        <row r="244">
          <cell r="D244">
            <v>880098.89</v>
          </cell>
        </row>
        <row r="245">
          <cell r="D245">
            <v>4301001.6100000003</v>
          </cell>
        </row>
        <row r="246">
          <cell r="D246">
            <v>2706018.08</v>
          </cell>
        </row>
        <row r="247">
          <cell r="D247">
            <v>1895857.52</v>
          </cell>
        </row>
        <row r="248">
          <cell r="D248">
            <v>353396.65</v>
          </cell>
        </row>
        <row r="249">
          <cell r="D249">
            <v>426620.37</v>
          </cell>
        </row>
        <row r="250">
          <cell r="D250">
            <v>1299758.57</v>
          </cell>
        </row>
        <row r="251">
          <cell r="D251">
            <v>1004430.39</v>
          </cell>
        </row>
        <row r="252">
          <cell r="D252">
            <v>561921.14</v>
          </cell>
        </row>
        <row r="253">
          <cell r="D253">
            <v>1273354.93</v>
          </cell>
        </row>
        <row r="254">
          <cell r="D254">
            <v>605246.9</v>
          </cell>
        </row>
        <row r="255">
          <cell r="D255">
            <v>5153839.1100000003</v>
          </cell>
        </row>
        <row r="256">
          <cell r="D256">
            <v>940436.95</v>
          </cell>
        </row>
        <row r="257">
          <cell r="D257">
            <v>933308.86</v>
          </cell>
        </row>
        <row r="258">
          <cell r="D258">
            <v>0</v>
          </cell>
        </row>
        <row r="259">
          <cell r="D259">
            <v>2308489.16</v>
          </cell>
        </row>
        <row r="260">
          <cell r="D260">
            <v>18200266.66</v>
          </cell>
        </row>
        <row r="261">
          <cell r="D261">
            <v>3349047.17</v>
          </cell>
        </row>
        <row r="262">
          <cell r="D262">
            <v>3121985.29</v>
          </cell>
        </row>
        <row r="263">
          <cell r="D263">
            <v>10092.74</v>
          </cell>
        </row>
        <row r="264">
          <cell r="D264">
            <v>965635.63</v>
          </cell>
        </row>
        <row r="265">
          <cell r="D265">
            <v>458698.75</v>
          </cell>
        </row>
        <row r="266">
          <cell r="D266">
            <v>1101592.71</v>
          </cell>
        </row>
        <row r="267">
          <cell r="D267">
            <v>4097137.94</v>
          </cell>
        </row>
        <row r="268">
          <cell r="D268">
            <v>820660.71</v>
          </cell>
        </row>
        <row r="269">
          <cell r="D269">
            <v>368098.72</v>
          </cell>
        </row>
        <row r="270">
          <cell r="D270">
            <v>8512833.9900000002</v>
          </cell>
        </row>
        <row r="271">
          <cell r="D271">
            <v>4925012.91</v>
          </cell>
        </row>
        <row r="272">
          <cell r="D272">
            <v>489193.16</v>
          </cell>
        </row>
        <row r="273">
          <cell r="D273">
            <v>0</v>
          </cell>
        </row>
        <row r="274">
          <cell r="D274">
            <v>1461935.44</v>
          </cell>
        </row>
        <row r="275">
          <cell r="D275">
            <v>121574965.11</v>
          </cell>
        </row>
        <row r="276">
          <cell r="D276">
            <v>6317064.6399999997</v>
          </cell>
        </row>
        <row r="277">
          <cell r="D277">
            <v>5841323.4699999997</v>
          </cell>
        </row>
        <row r="278">
          <cell r="D278">
            <v>967727.73</v>
          </cell>
        </row>
        <row r="279">
          <cell r="D279">
            <v>3947682.75</v>
          </cell>
        </row>
        <row r="280">
          <cell r="D280">
            <v>2609231.73</v>
          </cell>
        </row>
        <row r="281">
          <cell r="D281">
            <v>3587276.49</v>
          </cell>
        </row>
        <row r="282">
          <cell r="D282">
            <v>46761406.390000001</v>
          </cell>
        </row>
        <row r="283">
          <cell r="D283">
            <v>2650289.2599999998</v>
          </cell>
        </row>
        <row r="284">
          <cell r="D284">
            <v>403346.16</v>
          </cell>
        </row>
        <row r="285">
          <cell r="D285">
            <v>20377071.300000001</v>
          </cell>
        </row>
        <row r="286">
          <cell r="D286">
            <v>9884411.0099999998</v>
          </cell>
        </row>
        <row r="287">
          <cell r="D287">
            <v>1987719.09</v>
          </cell>
        </row>
        <row r="288">
          <cell r="D288">
            <v>359901.36</v>
          </cell>
        </row>
        <row r="289">
          <cell r="D289">
            <v>128079547.91</v>
          </cell>
        </row>
        <row r="290">
          <cell r="D290">
            <v>1855405794.72</v>
          </cell>
        </row>
        <row r="291">
          <cell r="D291">
            <v>460280865.68000001</v>
          </cell>
        </row>
        <row r="292">
          <cell r="D292">
            <v>312635118.50999999</v>
          </cell>
        </row>
        <row r="293">
          <cell r="D293">
            <v>25583762.940000001</v>
          </cell>
        </row>
        <row r="294">
          <cell r="D294">
            <v>133259850.65000001</v>
          </cell>
        </row>
        <row r="295">
          <cell r="D295">
            <v>87325590.060000002</v>
          </cell>
        </row>
        <row r="296">
          <cell r="D296">
            <v>195660137.61000001</v>
          </cell>
        </row>
        <row r="297">
          <cell r="D297">
            <v>414506417.08999997</v>
          </cell>
        </row>
        <row r="298">
          <cell r="D298">
            <v>140533967.65000001</v>
          </cell>
        </row>
        <row r="299">
          <cell r="D299">
            <v>31709439.030000001</v>
          </cell>
        </row>
        <row r="300">
          <cell r="D300">
            <v>792676139.59000003</v>
          </cell>
        </row>
        <row r="301">
          <cell r="D301">
            <v>241036178.78999999</v>
          </cell>
        </row>
        <row r="302">
          <cell r="D302">
            <v>89418226.290000007</v>
          </cell>
        </row>
        <row r="303">
          <cell r="D303">
            <v>237028.05</v>
          </cell>
        </row>
        <row r="304">
          <cell r="D304">
            <v>972557972.01999998</v>
          </cell>
        </row>
        <row r="305">
          <cell r="D305">
            <v>9008375233.5100002</v>
          </cell>
        </row>
        <row r="306">
          <cell r="D306">
            <v>2776452350.1399999</v>
          </cell>
        </row>
        <row r="307">
          <cell r="D307">
            <v>1984596844.5999999</v>
          </cell>
        </row>
        <row r="308">
          <cell r="D308">
            <v>204855937.02000001</v>
          </cell>
        </row>
        <row r="309">
          <cell r="D309">
            <v>891144355.13</v>
          </cell>
        </row>
        <row r="310">
          <cell r="D310">
            <v>681783374.21000004</v>
          </cell>
        </row>
        <row r="311">
          <cell r="D311">
            <v>1349466634.1300001</v>
          </cell>
        </row>
        <row r="312">
          <cell r="D312">
            <v>2590635903.6700001</v>
          </cell>
        </row>
        <row r="313">
          <cell r="D313">
            <v>827572456.22000003</v>
          </cell>
        </row>
        <row r="314">
          <cell r="D314">
            <v>183416072.88999999</v>
          </cell>
        </row>
        <row r="315">
          <cell r="D315">
            <v>3780872569.04</v>
          </cell>
        </row>
        <row r="316">
          <cell r="D316">
            <v>1097888452.25</v>
          </cell>
        </row>
        <row r="317">
          <cell r="D317">
            <v>613125062.96000004</v>
          </cell>
        </row>
        <row r="318">
          <cell r="D318">
            <v>3479276.28</v>
          </cell>
        </row>
        <row r="319">
          <cell r="D319">
            <v>423973.77</v>
          </cell>
        </row>
        <row r="320">
          <cell r="D320">
            <v>7929719.2999999998</v>
          </cell>
        </row>
        <row r="321">
          <cell r="D321">
            <v>1950341.54</v>
          </cell>
        </row>
        <row r="322">
          <cell r="D322">
            <v>1360698.74</v>
          </cell>
        </row>
        <row r="323">
          <cell r="D323">
            <v>105800.26</v>
          </cell>
        </row>
        <row r="324">
          <cell r="D324">
            <v>498713.88</v>
          </cell>
        </row>
        <row r="325">
          <cell r="D325">
            <v>481161.35</v>
          </cell>
        </row>
        <row r="326">
          <cell r="D326">
            <v>1085058.8600000001</v>
          </cell>
        </row>
        <row r="327">
          <cell r="D327">
            <v>2316465.36</v>
          </cell>
        </row>
        <row r="328">
          <cell r="D328">
            <v>540256.13</v>
          </cell>
        </row>
        <row r="329">
          <cell r="D329">
            <v>98934.76</v>
          </cell>
        </row>
        <row r="330">
          <cell r="D330">
            <v>4740126.6900000004</v>
          </cell>
        </row>
        <row r="331">
          <cell r="D331">
            <v>893126.71</v>
          </cell>
        </row>
        <row r="332">
          <cell r="D332">
            <v>298921.65000000002</v>
          </cell>
        </row>
        <row r="333">
          <cell r="D333">
            <v>9540817.0600000005</v>
          </cell>
        </row>
        <row r="334">
          <cell r="D334">
            <v>11271442.09</v>
          </cell>
        </row>
        <row r="335">
          <cell r="D335">
            <v>96578518.670000002</v>
          </cell>
        </row>
        <row r="336">
          <cell r="D336">
            <v>36343530.060000002</v>
          </cell>
        </row>
        <row r="337">
          <cell r="D337">
            <v>29293699.420000002</v>
          </cell>
        </row>
        <row r="338">
          <cell r="D338">
            <v>2499610.27</v>
          </cell>
        </row>
        <row r="339">
          <cell r="D339">
            <v>11906049.76</v>
          </cell>
        </row>
        <row r="340">
          <cell r="D340">
            <v>11843615.470000001</v>
          </cell>
        </row>
        <row r="341">
          <cell r="D341">
            <v>22316071</v>
          </cell>
        </row>
        <row r="342">
          <cell r="D342">
            <v>43817689.710000001</v>
          </cell>
        </row>
        <row r="343">
          <cell r="D343">
            <v>18316824.649999999</v>
          </cell>
        </row>
        <row r="344">
          <cell r="D344">
            <v>4067115.67</v>
          </cell>
        </row>
        <row r="345">
          <cell r="D345">
            <v>53517759.850000001</v>
          </cell>
        </row>
        <row r="346">
          <cell r="D346">
            <v>15284791.02</v>
          </cell>
        </row>
        <row r="347">
          <cell r="D347">
            <v>7180555.7300000004</v>
          </cell>
        </row>
        <row r="348">
          <cell r="D348">
            <v>23265309.629999999</v>
          </cell>
        </row>
        <row r="349">
          <cell r="D349">
            <v>96903744.319999993</v>
          </cell>
        </row>
        <row r="350">
          <cell r="D350">
            <v>551033879.85000002</v>
          </cell>
        </row>
        <row r="351">
          <cell r="D351">
            <v>271778563.02999997</v>
          </cell>
        </row>
        <row r="352">
          <cell r="D352">
            <v>224064444.13</v>
          </cell>
        </row>
        <row r="353">
          <cell r="D353">
            <v>27541415.75</v>
          </cell>
        </row>
        <row r="354">
          <cell r="D354">
            <v>87156054.290000007</v>
          </cell>
        </row>
        <row r="355">
          <cell r="D355">
            <v>76099259.359999999</v>
          </cell>
        </row>
        <row r="356">
          <cell r="D356">
            <v>141410686.44999999</v>
          </cell>
        </row>
        <row r="357">
          <cell r="D357">
            <v>123360275.12</v>
          </cell>
        </row>
        <row r="358">
          <cell r="D358">
            <v>85333273.890000001</v>
          </cell>
        </row>
        <row r="359">
          <cell r="D359">
            <v>28231742.190000001</v>
          </cell>
        </row>
        <row r="360">
          <cell r="D360">
            <v>388450149.23000002</v>
          </cell>
        </row>
        <row r="361">
          <cell r="D361">
            <v>99707844.25</v>
          </cell>
        </row>
        <row r="362">
          <cell r="D362">
            <v>81937913.689999998</v>
          </cell>
        </row>
        <row r="363">
          <cell r="D363">
            <v>19049695.309999999</v>
          </cell>
        </row>
        <row r="364">
          <cell r="D364">
            <v>29383570.640000001</v>
          </cell>
        </row>
        <row r="365">
          <cell r="D365">
            <v>105018312.91</v>
          </cell>
        </row>
        <row r="366">
          <cell r="D366">
            <v>63799078.079999998</v>
          </cell>
        </row>
        <row r="367">
          <cell r="D367">
            <v>42341620.329999998</v>
          </cell>
        </row>
        <row r="368">
          <cell r="D368">
            <v>6452506.9800000004</v>
          </cell>
        </row>
        <row r="369">
          <cell r="D369">
            <v>18316625.949999999</v>
          </cell>
        </row>
        <row r="370">
          <cell r="D370">
            <v>19439673.010000002</v>
          </cell>
        </row>
        <row r="371">
          <cell r="D371">
            <v>37538993.299999997</v>
          </cell>
        </row>
        <row r="372">
          <cell r="D372">
            <v>25220719.120000001</v>
          </cell>
        </row>
        <row r="373">
          <cell r="D373">
            <v>21172318.719999999</v>
          </cell>
        </row>
        <row r="374">
          <cell r="D374">
            <v>4610996.6500000004</v>
          </cell>
        </row>
        <row r="375">
          <cell r="D375">
            <v>75717155.489999995</v>
          </cell>
        </row>
        <row r="376">
          <cell r="D376">
            <v>20302026.75</v>
          </cell>
        </row>
        <row r="377">
          <cell r="D377">
            <v>16506383.720000001</v>
          </cell>
        </row>
        <row r="378">
          <cell r="D378">
            <v>0</v>
          </cell>
        </row>
        <row r="379">
          <cell r="D379">
            <v>1085618.21</v>
          </cell>
        </row>
        <row r="380">
          <cell r="D380">
            <v>10424809.470000001</v>
          </cell>
        </row>
        <row r="381">
          <cell r="D381">
            <v>4667789.1900000004</v>
          </cell>
        </row>
        <row r="382">
          <cell r="D382">
            <v>3840887.98</v>
          </cell>
        </row>
        <row r="383">
          <cell r="D383">
            <v>204394.09</v>
          </cell>
        </row>
        <row r="384">
          <cell r="D384">
            <v>1018661.32</v>
          </cell>
        </row>
        <row r="385">
          <cell r="D385">
            <v>633601.26</v>
          </cell>
        </row>
        <row r="386">
          <cell r="D386">
            <v>1851424.58</v>
          </cell>
        </row>
        <row r="387">
          <cell r="D387">
            <v>3330246.61</v>
          </cell>
        </row>
        <row r="388">
          <cell r="D388">
            <v>1574443.49</v>
          </cell>
        </row>
        <row r="389">
          <cell r="D389">
            <v>762116.14</v>
          </cell>
        </row>
        <row r="390">
          <cell r="D390">
            <v>4941152.5999999996</v>
          </cell>
        </row>
        <row r="391">
          <cell r="D391">
            <v>5487991.2800000003</v>
          </cell>
        </row>
        <row r="392">
          <cell r="D392">
            <v>1221529.28</v>
          </cell>
        </row>
        <row r="393">
          <cell r="D393">
            <v>0</v>
          </cell>
        </row>
        <row r="394">
          <cell r="D394">
            <v>546540.15</v>
          </cell>
        </row>
        <row r="395">
          <cell r="D395">
            <v>14032304.43</v>
          </cell>
        </row>
        <row r="396">
          <cell r="D396">
            <v>1218892.1599999999</v>
          </cell>
        </row>
        <row r="397">
          <cell r="D397">
            <v>1773134.44</v>
          </cell>
        </row>
        <row r="398">
          <cell r="D398">
            <v>365270.22</v>
          </cell>
        </row>
        <row r="399">
          <cell r="D399">
            <v>1118623.23</v>
          </cell>
        </row>
        <row r="400">
          <cell r="D400">
            <v>226056.66</v>
          </cell>
        </row>
        <row r="401">
          <cell r="D401">
            <v>629799.69999999995</v>
          </cell>
        </row>
        <row r="402">
          <cell r="D402">
            <v>2508899.75</v>
          </cell>
        </row>
        <row r="403">
          <cell r="D403">
            <v>1003307.07</v>
          </cell>
        </row>
        <row r="404">
          <cell r="D404">
            <v>258937.61</v>
          </cell>
        </row>
        <row r="405">
          <cell r="D405">
            <v>3206618.4</v>
          </cell>
        </row>
        <row r="406">
          <cell r="D406">
            <v>2690695.15</v>
          </cell>
        </row>
        <row r="407">
          <cell r="D407">
            <v>499826.28</v>
          </cell>
        </row>
        <row r="408">
          <cell r="D408">
            <v>209252.14</v>
          </cell>
        </row>
        <row r="409">
          <cell r="D409">
            <v>131007943.06</v>
          </cell>
        </row>
        <row r="410">
          <cell r="D410">
            <v>942887480.38999999</v>
          </cell>
        </row>
        <row r="411">
          <cell r="D411">
            <v>398304322.50999999</v>
          </cell>
        </row>
        <row r="412">
          <cell r="D412">
            <v>301297608.31999999</v>
          </cell>
        </row>
        <row r="413">
          <cell r="D413">
            <v>43647498.200000003</v>
          </cell>
        </row>
        <row r="414">
          <cell r="D414">
            <v>129009779.51000001</v>
          </cell>
        </row>
        <row r="415">
          <cell r="D415">
            <v>86311917.109999999</v>
          </cell>
        </row>
        <row r="416">
          <cell r="D416">
            <v>178628060.13</v>
          </cell>
        </row>
        <row r="417">
          <cell r="D417">
            <v>271323969.69999999</v>
          </cell>
        </row>
        <row r="418">
          <cell r="D418">
            <v>135924152.16</v>
          </cell>
        </row>
        <row r="419">
          <cell r="D419">
            <v>39788713.170000002</v>
          </cell>
        </row>
        <row r="420">
          <cell r="D420">
            <v>652116717.12</v>
          </cell>
        </row>
        <row r="421">
          <cell r="D421">
            <v>177662609.75</v>
          </cell>
        </row>
        <row r="422">
          <cell r="D422">
            <v>113937312.28</v>
          </cell>
        </row>
        <row r="423">
          <cell r="D423">
            <v>104310.13</v>
          </cell>
        </row>
        <row r="424">
          <cell r="D424">
            <v>193088848.56999999</v>
          </cell>
        </row>
        <row r="425">
          <cell r="D425">
            <v>647469023.57000005</v>
          </cell>
        </row>
        <row r="426">
          <cell r="D426">
            <v>411532391.35000002</v>
          </cell>
        </row>
        <row r="427">
          <cell r="D427">
            <v>314656141.95999998</v>
          </cell>
        </row>
        <row r="428">
          <cell r="D428">
            <v>58627732</v>
          </cell>
        </row>
        <row r="429">
          <cell r="D429">
            <v>153365275.59999999</v>
          </cell>
        </row>
        <row r="430">
          <cell r="D430">
            <v>118347733.37</v>
          </cell>
        </row>
        <row r="431">
          <cell r="D431">
            <v>243538095.84</v>
          </cell>
        </row>
        <row r="432">
          <cell r="D432">
            <v>237525111.80000001</v>
          </cell>
        </row>
        <row r="433">
          <cell r="D433">
            <v>163981485.58000001</v>
          </cell>
        </row>
        <row r="434">
          <cell r="D434">
            <v>44350255.280000001</v>
          </cell>
        </row>
        <row r="435">
          <cell r="D435">
            <v>497619710.41000003</v>
          </cell>
        </row>
        <row r="436">
          <cell r="D436">
            <v>171898544.19</v>
          </cell>
        </row>
        <row r="437">
          <cell r="D437">
            <v>138324247.56999999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_16 fleet"/>
    </sheetNames>
    <sheetDataSet>
      <sheetData sheetId="0">
        <row r="9">
          <cell r="D9">
            <v>113</v>
          </cell>
        </row>
        <row r="10">
          <cell r="D10">
            <v>394</v>
          </cell>
        </row>
        <row r="11">
          <cell r="D11">
            <v>2277</v>
          </cell>
        </row>
        <row r="12">
          <cell r="D12">
            <v>608</v>
          </cell>
        </row>
        <row r="13">
          <cell r="D13">
            <v>618</v>
          </cell>
        </row>
        <row r="14">
          <cell r="D14">
            <v>85</v>
          </cell>
        </row>
        <row r="15">
          <cell r="D15">
            <v>301</v>
          </cell>
        </row>
        <row r="16">
          <cell r="D16">
            <v>113</v>
          </cell>
        </row>
        <row r="17">
          <cell r="D17">
            <v>312</v>
          </cell>
        </row>
        <row r="18">
          <cell r="D18">
            <v>683</v>
          </cell>
        </row>
        <row r="19">
          <cell r="D19">
            <v>266</v>
          </cell>
        </row>
        <row r="20">
          <cell r="D20">
            <v>82</v>
          </cell>
        </row>
        <row r="21">
          <cell r="D21">
            <v>1324</v>
          </cell>
        </row>
        <row r="22">
          <cell r="D22">
            <v>509</v>
          </cell>
        </row>
        <row r="23">
          <cell r="D23">
            <v>311</v>
          </cell>
        </row>
        <row r="24">
          <cell r="D24">
            <v>42</v>
          </cell>
        </row>
        <row r="25">
          <cell r="D25">
            <v>99</v>
          </cell>
        </row>
        <row r="26">
          <cell r="D26">
            <v>260</v>
          </cell>
        </row>
        <row r="27">
          <cell r="D27">
            <v>204</v>
          </cell>
        </row>
        <row r="28">
          <cell r="D28">
            <v>165</v>
          </cell>
        </row>
        <row r="29">
          <cell r="D29">
            <v>26</v>
          </cell>
        </row>
        <row r="30">
          <cell r="D30">
            <v>60</v>
          </cell>
        </row>
        <row r="31">
          <cell r="D31">
            <v>84</v>
          </cell>
        </row>
        <row r="32">
          <cell r="D32">
            <v>98</v>
          </cell>
        </row>
        <row r="33">
          <cell r="D33">
            <v>61</v>
          </cell>
        </row>
        <row r="34">
          <cell r="D34">
            <v>109</v>
          </cell>
        </row>
        <row r="35">
          <cell r="D35">
            <v>42</v>
          </cell>
        </row>
        <row r="36">
          <cell r="D36">
            <v>369</v>
          </cell>
        </row>
        <row r="37">
          <cell r="D37">
            <v>94</v>
          </cell>
        </row>
        <row r="38">
          <cell r="D38">
            <v>82</v>
          </cell>
        </row>
        <row r="39">
          <cell r="D39">
            <v>1</v>
          </cell>
        </row>
        <row r="40">
          <cell r="D40">
            <v>77</v>
          </cell>
        </row>
        <row r="41">
          <cell r="D41">
            <v>819</v>
          </cell>
        </row>
        <row r="42">
          <cell r="D42">
            <v>128</v>
          </cell>
        </row>
        <row r="43">
          <cell r="D43">
            <v>134</v>
          </cell>
        </row>
        <row r="44">
          <cell r="D44">
            <v>2</v>
          </cell>
        </row>
        <row r="45">
          <cell r="D45">
            <v>64</v>
          </cell>
        </row>
        <row r="46">
          <cell r="D46">
            <v>20</v>
          </cell>
        </row>
        <row r="47">
          <cell r="D47">
            <v>38</v>
          </cell>
        </row>
        <row r="48">
          <cell r="D48">
            <v>161</v>
          </cell>
        </row>
        <row r="49">
          <cell r="D49">
            <v>57</v>
          </cell>
        </row>
        <row r="50">
          <cell r="D50">
            <v>18</v>
          </cell>
        </row>
        <row r="51">
          <cell r="D51">
            <v>328</v>
          </cell>
        </row>
        <row r="52">
          <cell r="D52">
            <v>201</v>
          </cell>
        </row>
        <row r="53">
          <cell r="D53">
            <v>35</v>
          </cell>
        </row>
        <row r="54">
          <cell r="D54">
            <v>1</v>
          </cell>
        </row>
        <row r="55">
          <cell r="D55">
            <v>73</v>
          </cell>
        </row>
        <row r="56">
          <cell r="D56">
            <v>4349</v>
          </cell>
        </row>
        <row r="57">
          <cell r="D57">
            <v>232</v>
          </cell>
        </row>
        <row r="58">
          <cell r="D58">
            <v>179</v>
          </cell>
        </row>
        <row r="59">
          <cell r="D59">
            <v>34</v>
          </cell>
        </row>
        <row r="60">
          <cell r="D60">
            <v>142</v>
          </cell>
        </row>
        <row r="61">
          <cell r="D61">
            <v>62</v>
          </cell>
        </row>
        <row r="62">
          <cell r="D62">
            <v>121</v>
          </cell>
        </row>
        <row r="63">
          <cell r="D63">
            <v>1414</v>
          </cell>
        </row>
        <row r="64">
          <cell r="D64">
            <v>97</v>
          </cell>
        </row>
        <row r="65">
          <cell r="D65">
            <v>14</v>
          </cell>
        </row>
        <row r="66">
          <cell r="D66">
            <v>682</v>
          </cell>
        </row>
        <row r="67">
          <cell r="D67">
            <v>314</v>
          </cell>
        </row>
        <row r="68">
          <cell r="D68">
            <v>66</v>
          </cell>
        </row>
        <row r="69">
          <cell r="D69">
            <v>268</v>
          </cell>
        </row>
        <row r="70">
          <cell r="D70">
            <v>7481</v>
          </cell>
        </row>
        <row r="71">
          <cell r="D71">
            <v>129277</v>
          </cell>
        </row>
        <row r="72">
          <cell r="D72">
            <v>27261</v>
          </cell>
        </row>
        <row r="73">
          <cell r="D73">
            <v>18910</v>
          </cell>
        </row>
        <row r="74">
          <cell r="D74">
            <v>1842</v>
          </cell>
        </row>
        <row r="75">
          <cell r="D75">
            <v>9032</v>
          </cell>
        </row>
        <row r="76">
          <cell r="D76">
            <v>5783</v>
          </cell>
        </row>
        <row r="77">
          <cell r="D77">
            <v>12255</v>
          </cell>
        </row>
        <row r="78">
          <cell r="D78">
            <v>27104</v>
          </cell>
        </row>
        <row r="79">
          <cell r="D79">
            <v>11254</v>
          </cell>
        </row>
        <row r="80">
          <cell r="D80">
            <v>1762</v>
          </cell>
        </row>
        <row r="81">
          <cell r="D81">
            <v>50639</v>
          </cell>
        </row>
        <row r="82">
          <cell r="D82">
            <v>15150</v>
          </cell>
        </row>
        <row r="83">
          <cell r="D83">
            <v>5572</v>
          </cell>
        </row>
        <row r="84">
          <cell r="D84">
            <v>10790</v>
          </cell>
        </row>
        <row r="85">
          <cell r="D85">
            <v>89587</v>
          </cell>
        </row>
        <row r="86">
          <cell r="D86">
            <v>890194</v>
          </cell>
        </row>
        <row r="87">
          <cell r="D87">
            <v>251438</v>
          </cell>
        </row>
        <row r="88">
          <cell r="D88">
            <v>187272</v>
          </cell>
        </row>
        <row r="89">
          <cell r="D89">
            <v>21658</v>
          </cell>
        </row>
        <row r="90">
          <cell r="D90">
            <v>90118</v>
          </cell>
        </row>
        <row r="91">
          <cell r="D91">
            <v>67203</v>
          </cell>
        </row>
        <row r="92">
          <cell r="D92">
            <v>134791</v>
          </cell>
        </row>
        <row r="93">
          <cell r="D93">
            <v>258389</v>
          </cell>
        </row>
        <row r="94">
          <cell r="D94">
            <v>99589</v>
          </cell>
        </row>
        <row r="95">
          <cell r="D95">
            <v>18170</v>
          </cell>
        </row>
        <row r="96">
          <cell r="D96">
            <v>402906</v>
          </cell>
        </row>
        <row r="97">
          <cell r="D97">
            <v>119380</v>
          </cell>
        </row>
        <row r="98">
          <cell r="D98">
            <v>63724</v>
          </cell>
        </row>
        <row r="99">
          <cell r="D99">
            <v>215</v>
          </cell>
        </row>
        <row r="100">
          <cell r="D100">
            <v>101</v>
          </cell>
        </row>
        <row r="101">
          <cell r="D101">
            <v>1887</v>
          </cell>
        </row>
        <row r="102">
          <cell r="D102">
            <v>502</v>
          </cell>
        </row>
        <row r="103">
          <cell r="D103">
            <v>353</v>
          </cell>
        </row>
        <row r="104">
          <cell r="D104">
            <v>29</v>
          </cell>
        </row>
        <row r="105">
          <cell r="D105">
            <v>118</v>
          </cell>
        </row>
        <row r="106">
          <cell r="D106">
            <v>146</v>
          </cell>
        </row>
        <row r="107">
          <cell r="D107">
            <v>290</v>
          </cell>
        </row>
        <row r="108">
          <cell r="D108">
            <v>599</v>
          </cell>
        </row>
        <row r="109">
          <cell r="D109">
            <v>231</v>
          </cell>
        </row>
        <row r="110">
          <cell r="D110">
            <v>23</v>
          </cell>
        </row>
        <row r="111">
          <cell r="D111">
            <v>857</v>
          </cell>
        </row>
        <row r="112">
          <cell r="D112">
            <v>257</v>
          </cell>
        </row>
        <row r="113">
          <cell r="D113">
            <v>124</v>
          </cell>
        </row>
        <row r="114">
          <cell r="D114">
            <v>1818</v>
          </cell>
        </row>
        <row r="115">
          <cell r="D115">
            <v>4419</v>
          </cell>
        </row>
        <row r="116">
          <cell r="D116">
            <v>36678</v>
          </cell>
        </row>
        <row r="117">
          <cell r="D117">
            <v>14414</v>
          </cell>
        </row>
        <row r="118">
          <cell r="D118">
            <v>11407</v>
          </cell>
        </row>
        <row r="119">
          <cell r="D119">
            <v>1241</v>
          </cell>
        </row>
        <row r="120">
          <cell r="D120">
            <v>5016</v>
          </cell>
        </row>
        <row r="121">
          <cell r="D121">
            <v>5450</v>
          </cell>
        </row>
        <row r="122">
          <cell r="D122">
            <v>9614</v>
          </cell>
        </row>
        <row r="123">
          <cell r="D123">
            <v>17096</v>
          </cell>
        </row>
        <row r="124">
          <cell r="D124">
            <v>8340</v>
          </cell>
        </row>
        <row r="125">
          <cell r="D125">
            <v>1781</v>
          </cell>
        </row>
        <row r="126">
          <cell r="D126">
            <v>25530</v>
          </cell>
        </row>
        <row r="127">
          <cell r="D127">
            <v>7542</v>
          </cell>
        </row>
        <row r="128">
          <cell r="D128">
            <v>4116</v>
          </cell>
        </row>
        <row r="129">
          <cell r="D129">
            <v>10273</v>
          </cell>
        </row>
        <row r="130">
          <cell r="D130">
            <v>3179</v>
          </cell>
        </row>
        <row r="131">
          <cell r="D131">
            <v>22241</v>
          </cell>
        </row>
        <row r="132">
          <cell r="D132">
            <v>9957</v>
          </cell>
        </row>
        <row r="133">
          <cell r="D133">
            <v>6820</v>
          </cell>
        </row>
        <row r="134">
          <cell r="D134">
            <v>978</v>
          </cell>
        </row>
        <row r="135">
          <cell r="D135">
            <v>3212</v>
          </cell>
        </row>
        <row r="136">
          <cell r="D136">
            <v>2689</v>
          </cell>
        </row>
        <row r="137">
          <cell r="D137">
            <v>5405</v>
          </cell>
        </row>
        <row r="138">
          <cell r="D138">
            <v>5373</v>
          </cell>
        </row>
        <row r="139">
          <cell r="D139">
            <v>3456</v>
          </cell>
        </row>
        <row r="140">
          <cell r="D140">
            <v>970</v>
          </cell>
        </row>
        <row r="141">
          <cell r="D141">
            <v>16350</v>
          </cell>
        </row>
        <row r="142">
          <cell r="D142">
            <v>4086</v>
          </cell>
        </row>
        <row r="143">
          <cell r="D143">
            <v>2806</v>
          </cell>
        </row>
        <row r="144">
          <cell r="D144">
            <v>8654</v>
          </cell>
        </row>
        <row r="145">
          <cell r="D145">
            <v>3265</v>
          </cell>
        </row>
        <row r="146">
          <cell r="D146">
            <v>9044</v>
          </cell>
        </row>
        <row r="147">
          <cell r="D147">
            <v>7908</v>
          </cell>
        </row>
        <row r="148">
          <cell r="D148">
            <v>5190</v>
          </cell>
        </row>
        <row r="149">
          <cell r="D149">
            <v>796</v>
          </cell>
        </row>
        <row r="150">
          <cell r="D150">
            <v>2386</v>
          </cell>
        </row>
        <row r="151">
          <cell r="D151">
            <v>2366</v>
          </cell>
        </row>
        <row r="152">
          <cell r="D152">
            <v>4401</v>
          </cell>
        </row>
        <row r="153">
          <cell r="D153">
            <v>2813</v>
          </cell>
        </row>
        <row r="154">
          <cell r="D154">
            <v>3480</v>
          </cell>
        </row>
        <row r="155">
          <cell r="D155">
            <v>748</v>
          </cell>
        </row>
        <row r="156">
          <cell r="D156">
            <v>10177</v>
          </cell>
        </row>
        <row r="157">
          <cell r="D157">
            <v>2742</v>
          </cell>
        </row>
        <row r="158">
          <cell r="D158">
            <v>2239</v>
          </cell>
        </row>
        <row r="159">
          <cell r="D159">
            <v>0</v>
          </cell>
        </row>
        <row r="160">
          <cell r="D160">
            <v>62</v>
          </cell>
        </row>
        <row r="161">
          <cell r="D161">
            <v>379</v>
          </cell>
        </row>
        <row r="162">
          <cell r="D162">
            <v>171</v>
          </cell>
        </row>
        <row r="163">
          <cell r="D163">
            <v>148</v>
          </cell>
        </row>
        <row r="164">
          <cell r="D164">
            <v>11</v>
          </cell>
        </row>
        <row r="165">
          <cell r="D165">
            <v>62</v>
          </cell>
        </row>
        <row r="166">
          <cell r="D166">
            <v>24</v>
          </cell>
        </row>
        <row r="167">
          <cell r="D167">
            <v>72</v>
          </cell>
        </row>
        <row r="168">
          <cell r="D168">
            <v>85</v>
          </cell>
        </row>
        <row r="169">
          <cell r="D169">
            <v>72</v>
          </cell>
        </row>
        <row r="170">
          <cell r="D170">
            <v>44</v>
          </cell>
        </row>
        <row r="171">
          <cell r="D171">
            <v>237</v>
          </cell>
        </row>
        <row r="172">
          <cell r="D172">
            <v>229</v>
          </cell>
        </row>
        <row r="173">
          <cell r="D173">
            <v>71</v>
          </cell>
        </row>
        <row r="174">
          <cell r="D174">
            <v>0</v>
          </cell>
        </row>
        <row r="175">
          <cell r="D175">
            <v>19</v>
          </cell>
        </row>
        <row r="176">
          <cell r="D176">
            <v>362</v>
          </cell>
        </row>
        <row r="177">
          <cell r="D177">
            <v>48</v>
          </cell>
        </row>
        <row r="178">
          <cell r="D178">
            <v>67</v>
          </cell>
        </row>
        <row r="179">
          <cell r="D179">
            <v>13</v>
          </cell>
        </row>
        <row r="180">
          <cell r="D180">
            <v>29</v>
          </cell>
        </row>
        <row r="181">
          <cell r="D181">
            <v>11</v>
          </cell>
        </row>
        <row r="182">
          <cell r="D182">
            <v>25</v>
          </cell>
        </row>
        <row r="183">
          <cell r="D183">
            <v>62</v>
          </cell>
        </row>
        <row r="184">
          <cell r="D184">
            <v>40</v>
          </cell>
        </row>
        <row r="185">
          <cell r="D185">
            <v>13</v>
          </cell>
        </row>
        <row r="186">
          <cell r="D186">
            <v>120</v>
          </cell>
        </row>
        <row r="187">
          <cell r="D187">
            <v>105</v>
          </cell>
        </row>
        <row r="188">
          <cell r="D188">
            <v>26</v>
          </cell>
        </row>
        <row r="189">
          <cell r="D189">
            <v>125</v>
          </cell>
        </row>
        <row r="190">
          <cell r="D190">
            <v>6996</v>
          </cell>
        </row>
        <row r="191">
          <cell r="D191">
            <v>58528</v>
          </cell>
        </row>
        <row r="192">
          <cell r="D192">
            <v>20861</v>
          </cell>
        </row>
        <row r="193">
          <cell r="D193">
            <v>16607</v>
          </cell>
        </row>
        <row r="194">
          <cell r="D194">
            <v>2369</v>
          </cell>
        </row>
        <row r="195">
          <cell r="D195">
            <v>7634</v>
          </cell>
        </row>
        <row r="196">
          <cell r="D196">
            <v>4950</v>
          </cell>
        </row>
        <row r="197">
          <cell r="D197">
            <v>10091</v>
          </cell>
        </row>
        <row r="198">
          <cell r="D198">
            <v>15429</v>
          </cell>
        </row>
        <row r="199">
          <cell r="D199">
            <v>8643</v>
          </cell>
        </row>
        <row r="200">
          <cell r="D200">
            <v>1915</v>
          </cell>
        </row>
        <row r="201">
          <cell r="D201">
            <v>36504</v>
          </cell>
        </row>
        <row r="202">
          <cell r="D202">
            <v>10274</v>
          </cell>
        </row>
        <row r="203">
          <cell r="D203">
            <v>6163</v>
          </cell>
        </row>
        <row r="204">
          <cell r="D204">
            <v>1846</v>
          </cell>
        </row>
        <row r="205">
          <cell r="D205">
            <v>17071</v>
          </cell>
        </row>
        <row r="206">
          <cell r="D206">
            <v>57275</v>
          </cell>
        </row>
        <row r="207">
          <cell r="D207">
            <v>35526</v>
          </cell>
        </row>
        <row r="208">
          <cell r="D208">
            <v>28909</v>
          </cell>
        </row>
        <row r="209">
          <cell r="D209">
            <v>5347</v>
          </cell>
        </row>
        <row r="210">
          <cell r="D210">
            <v>14340</v>
          </cell>
        </row>
        <row r="211">
          <cell r="D211">
            <v>10869</v>
          </cell>
        </row>
        <row r="212">
          <cell r="D212">
            <v>22342</v>
          </cell>
        </row>
        <row r="213">
          <cell r="D213">
            <v>21656</v>
          </cell>
        </row>
        <row r="214">
          <cell r="D214">
            <v>17239</v>
          </cell>
        </row>
        <row r="215">
          <cell r="D215">
            <v>4173</v>
          </cell>
        </row>
        <row r="216">
          <cell r="D216">
            <v>46243</v>
          </cell>
        </row>
        <row r="217">
          <cell r="D217">
            <v>16663</v>
          </cell>
        </row>
        <row r="218">
          <cell r="D218">
            <v>12512</v>
          </cell>
        </row>
        <row r="228">
          <cell r="D228">
            <v>5317504.97</v>
          </cell>
        </row>
        <row r="229">
          <cell r="D229">
            <v>8964591</v>
          </cell>
        </row>
        <row r="230">
          <cell r="D230">
            <v>93201122.769999996</v>
          </cell>
        </row>
        <row r="231">
          <cell r="D231">
            <v>15249937.859999999</v>
          </cell>
        </row>
        <row r="232">
          <cell r="D232">
            <v>15937824.99</v>
          </cell>
        </row>
        <row r="233">
          <cell r="D233">
            <v>1511849.43</v>
          </cell>
        </row>
        <row r="234">
          <cell r="D234">
            <v>4581740.5199999996</v>
          </cell>
        </row>
        <row r="235">
          <cell r="D235">
            <v>2067175.47</v>
          </cell>
        </row>
        <row r="236">
          <cell r="D236">
            <v>6872794.1799999997</v>
          </cell>
        </row>
        <row r="237">
          <cell r="D237">
            <v>20771276.059999999</v>
          </cell>
        </row>
        <row r="238">
          <cell r="D238">
            <v>5820015.1100000003</v>
          </cell>
        </row>
        <row r="239">
          <cell r="D239">
            <v>1483126.41</v>
          </cell>
        </row>
        <row r="240">
          <cell r="D240">
            <v>47015915.479999997</v>
          </cell>
        </row>
        <row r="241">
          <cell r="D241">
            <v>14497148.359999999</v>
          </cell>
        </row>
        <row r="242">
          <cell r="D242">
            <v>6764352.7000000002</v>
          </cell>
        </row>
        <row r="243">
          <cell r="D243">
            <v>19921.830000000002</v>
          </cell>
        </row>
        <row r="244">
          <cell r="D244">
            <v>1091070.33</v>
          </cell>
        </row>
        <row r="245">
          <cell r="D245">
            <v>3888661.82</v>
          </cell>
        </row>
        <row r="246">
          <cell r="D246">
            <v>2602580.73</v>
          </cell>
        </row>
        <row r="247">
          <cell r="D247">
            <v>1965249.49</v>
          </cell>
        </row>
        <row r="248">
          <cell r="D248">
            <v>348223.96</v>
          </cell>
        </row>
        <row r="249">
          <cell r="D249">
            <v>459777.64</v>
          </cell>
        </row>
        <row r="250">
          <cell r="D250">
            <v>1290661.71</v>
          </cell>
        </row>
        <row r="251">
          <cell r="D251">
            <v>1058901.52</v>
          </cell>
        </row>
        <row r="252">
          <cell r="D252">
            <v>615472.67000000004</v>
          </cell>
        </row>
        <row r="253">
          <cell r="D253">
            <v>1231747.6100000001</v>
          </cell>
        </row>
        <row r="254">
          <cell r="D254">
            <v>443295.56</v>
          </cell>
        </row>
        <row r="255">
          <cell r="D255">
            <v>4976257.97</v>
          </cell>
        </row>
        <row r="256">
          <cell r="D256">
            <v>999462.69</v>
          </cell>
        </row>
        <row r="257">
          <cell r="D257">
            <v>963247.93</v>
          </cell>
        </row>
        <row r="258">
          <cell r="D258">
            <v>0</v>
          </cell>
        </row>
        <row r="259">
          <cell r="D259">
            <v>2039953.83</v>
          </cell>
        </row>
        <row r="260">
          <cell r="D260">
            <v>21171727.620000001</v>
          </cell>
        </row>
        <row r="261">
          <cell r="D261">
            <v>3276137.32</v>
          </cell>
        </row>
        <row r="262">
          <cell r="D262">
            <v>2997156.05</v>
          </cell>
        </row>
        <row r="263">
          <cell r="D263">
            <v>10525.24</v>
          </cell>
        </row>
        <row r="264">
          <cell r="D264">
            <v>1325662.1299999999</v>
          </cell>
        </row>
        <row r="265">
          <cell r="D265">
            <v>661365.64</v>
          </cell>
        </row>
        <row r="266">
          <cell r="D266">
            <v>944184.97</v>
          </cell>
        </row>
        <row r="267">
          <cell r="D267">
            <v>4136770.24</v>
          </cell>
        </row>
        <row r="268">
          <cell r="D268">
            <v>1052604.07</v>
          </cell>
        </row>
        <row r="269">
          <cell r="D269">
            <v>308433.93</v>
          </cell>
        </row>
        <row r="270">
          <cell r="D270">
            <v>8366213.3499999996</v>
          </cell>
        </row>
        <row r="271">
          <cell r="D271">
            <v>5282081.32</v>
          </cell>
        </row>
        <row r="272">
          <cell r="D272">
            <v>554218.55000000005</v>
          </cell>
        </row>
        <row r="273">
          <cell r="D273">
            <v>0</v>
          </cell>
        </row>
        <row r="274">
          <cell r="D274">
            <v>1664383.75</v>
          </cell>
        </row>
        <row r="275">
          <cell r="D275">
            <v>138148310.22999999</v>
          </cell>
        </row>
        <row r="276">
          <cell r="D276">
            <v>7037822.6399999997</v>
          </cell>
        </row>
        <row r="277">
          <cell r="D277">
            <v>6350349.46</v>
          </cell>
        </row>
        <row r="278">
          <cell r="D278">
            <v>980252.83</v>
          </cell>
        </row>
        <row r="279">
          <cell r="D279">
            <v>3978353.93</v>
          </cell>
        </row>
        <row r="280">
          <cell r="D280">
            <v>2458418.79</v>
          </cell>
        </row>
        <row r="281">
          <cell r="D281">
            <v>3893453.49</v>
          </cell>
        </row>
        <row r="282">
          <cell r="D282">
            <v>49885305.009999998</v>
          </cell>
        </row>
        <row r="283">
          <cell r="D283">
            <v>2503503.5099999998</v>
          </cell>
        </row>
        <row r="284">
          <cell r="D284">
            <v>444508.74</v>
          </cell>
        </row>
        <row r="285">
          <cell r="D285">
            <v>20686454.100000001</v>
          </cell>
        </row>
        <row r="286">
          <cell r="D286">
            <v>9453651.1699999999</v>
          </cell>
        </row>
        <row r="287">
          <cell r="D287">
            <v>1958682.55</v>
          </cell>
        </row>
        <row r="288">
          <cell r="D288">
            <v>484035.45</v>
          </cell>
        </row>
        <row r="289">
          <cell r="D289">
            <v>121790432.89</v>
          </cell>
        </row>
        <row r="290">
          <cell r="D290">
            <v>1856780025.1199999</v>
          </cell>
        </row>
        <row r="291">
          <cell r="D291">
            <v>445995846</v>
          </cell>
        </row>
        <row r="292">
          <cell r="D292">
            <v>301128376.63999999</v>
          </cell>
        </row>
        <row r="293">
          <cell r="D293">
            <v>24049379.300000001</v>
          </cell>
        </row>
        <row r="294">
          <cell r="D294">
            <v>126927650.15000001</v>
          </cell>
        </row>
        <row r="295">
          <cell r="D295">
            <v>82599716.560000002</v>
          </cell>
        </row>
        <row r="296">
          <cell r="D296">
            <v>183829204.44999999</v>
          </cell>
        </row>
        <row r="297">
          <cell r="D297">
            <v>391738936.32999998</v>
          </cell>
        </row>
        <row r="298">
          <cell r="D298">
            <v>148710451.33000001</v>
          </cell>
        </row>
        <row r="299">
          <cell r="D299">
            <v>28930479.359999999</v>
          </cell>
        </row>
        <row r="300">
          <cell r="D300">
            <v>769039229.28999996</v>
          </cell>
        </row>
        <row r="301">
          <cell r="D301">
            <v>238271305.09</v>
          </cell>
        </row>
        <row r="302">
          <cell r="D302">
            <v>84504268.590000004</v>
          </cell>
        </row>
        <row r="303">
          <cell r="D303">
            <v>248557.79</v>
          </cell>
        </row>
        <row r="304">
          <cell r="D304">
            <v>1017142014.38</v>
          </cell>
        </row>
        <row r="305">
          <cell r="D305">
            <v>9467279901.9899998</v>
          </cell>
        </row>
        <row r="306">
          <cell r="D306">
            <v>2921856873.8600001</v>
          </cell>
        </row>
        <row r="307">
          <cell r="D307">
            <v>2102839901.26</v>
          </cell>
        </row>
        <row r="308">
          <cell r="D308">
            <v>209869965.15000001</v>
          </cell>
        </row>
        <row r="309">
          <cell r="D309">
            <v>932643539.13999999</v>
          </cell>
        </row>
        <row r="310">
          <cell r="D310">
            <v>698098092.17999995</v>
          </cell>
        </row>
        <row r="311">
          <cell r="D311">
            <v>1397339832.3800001</v>
          </cell>
        </row>
        <row r="312">
          <cell r="D312">
            <v>2676943449.9499998</v>
          </cell>
        </row>
        <row r="313">
          <cell r="D313">
            <v>907616823.39999998</v>
          </cell>
        </row>
        <row r="314">
          <cell r="D314">
            <v>184607427.94999999</v>
          </cell>
        </row>
        <row r="315">
          <cell r="D315">
            <v>3935208628.2600002</v>
          </cell>
        </row>
        <row r="316">
          <cell r="D316">
            <v>1151565997.6900001</v>
          </cell>
        </row>
        <row r="317">
          <cell r="D317">
            <v>632744137.04999995</v>
          </cell>
        </row>
        <row r="318">
          <cell r="D318">
            <v>3550993.86</v>
          </cell>
        </row>
        <row r="319">
          <cell r="D319">
            <v>389346.71</v>
          </cell>
        </row>
        <row r="320">
          <cell r="D320">
            <v>8020219.8799999999</v>
          </cell>
        </row>
        <row r="321">
          <cell r="D321">
            <v>1909538.65</v>
          </cell>
        </row>
        <row r="322">
          <cell r="D322">
            <v>1215808.3</v>
          </cell>
        </row>
        <row r="323">
          <cell r="D323">
            <v>67378.080000000002</v>
          </cell>
        </row>
        <row r="324">
          <cell r="D324">
            <v>476983.54</v>
          </cell>
        </row>
        <row r="325">
          <cell r="D325">
            <v>403876.33</v>
          </cell>
        </row>
        <row r="326">
          <cell r="D326">
            <v>1074061.8</v>
          </cell>
        </row>
        <row r="327">
          <cell r="D327">
            <v>2374584.89</v>
          </cell>
        </row>
        <row r="328">
          <cell r="D328">
            <v>676532.27</v>
          </cell>
        </row>
        <row r="329">
          <cell r="D329">
            <v>83551.86</v>
          </cell>
        </row>
        <row r="330">
          <cell r="D330">
            <v>5689314.4000000004</v>
          </cell>
        </row>
        <row r="331">
          <cell r="D331">
            <v>803505.36</v>
          </cell>
        </row>
        <row r="332">
          <cell r="D332">
            <v>330971.82</v>
          </cell>
        </row>
        <row r="333">
          <cell r="D333">
            <v>8070822.0899999999</v>
          </cell>
        </row>
        <row r="334">
          <cell r="D334">
            <v>12147997.890000001</v>
          </cell>
        </row>
        <row r="335">
          <cell r="D335">
            <v>102231140.17</v>
          </cell>
        </row>
        <row r="336">
          <cell r="D336">
            <v>37550675.380000003</v>
          </cell>
        </row>
        <row r="337">
          <cell r="D337">
            <v>31084738.91</v>
          </cell>
        </row>
        <row r="338">
          <cell r="D338">
            <v>2631827.71</v>
          </cell>
        </row>
        <row r="339">
          <cell r="D339">
            <v>12417164.810000001</v>
          </cell>
        </row>
        <row r="340">
          <cell r="D340">
            <v>12604488.890000001</v>
          </cell>
        </row>
        <row r="341">
          <cell r="D341">
            <v>24049445.890000001</v>
          </cell>
        </row>
        <row r="342">
          <cell r="D342">
            <v>45465294.600000001</v>
          </cell>
        </row>
        <row r="343">
          <cell r="D343">
            <v>19342274.329999998</v>
          </cell>
        </row>
        <row r="344">
          <cell r="D344">
            <v>3792050.25</v>
          </cell>
        </row>
        <row r="345">
          <cell r="D345">
            <v>55695052.170000002</v>
          </cell>
        </row>
        <row r="346">
          <cell r="D346">
            <v>16074834.220000001</v>
          </cell>
        </row>
        <row r="347">
          <cell r="D347">
            <v>7366538.1699999999</v>
          </cell>
        </row>
        <row r="348">
          <cell r="D348">
            <v>28006321.32</v>
          </cell>
        </row>
        <row r="349">
          <cell r="D349">
            <v>98042957.840000004</v>
          </cell>
        </row>
        <row r="350">
          <cell r="D350">
            <v>588811419.95000005</v>
          </cell>
        </row>
        <row r="351">
          <cell r="D351">
            <v>274823349.24000001</v>
          </cell>
        </row>
        <row r="352">
          <cell r="D352">
            <v>228810219.46000001</v>
          </cell>
        </row>
        <row r="353">
          <cell r="D353">
            <v>25699358.170000002</v>
          </cell>
        </row>
        <row r="354">
          <cell r="D354">
            <v>87912001.299999997</v>
          </cell>
        </row>
        <row r="355">
          <cell r="D355">
            <v>77468276.590000004</v>
          </cell>
        </row>
        <row r="356">
          <cell r="D356">
            <v>145145159.83000001</v>
          </cell>
        </row>
        <row r="357">
          <cell r="D357">
            <v>128553268.19</v>
          </cell>
        </row>
        <row r="358">
          <cell r="D358">
            <v>85735130.519999996</v>
          </cell>
        </row>
        <row r="359">
          <cell r="D359">
            <v>27738814.629999999</v>
          </cell>
        </row>
        <row r="360">
          <cell r="D360">
            <v>391252190.58999997</v>
          </cell>
        </row>
        <row r="361">
          <cell r="D361">
            <v>101301094.75</v>
          </cell>
        </row>
        <row r="362">
          <cell r="D362">
            <v>83783849.090000004</v>
          </cell>
        </row>
        <row r="363">
          <cell r="D363">
            <v>26847396.059999999</v>
          </cell>
        </row>
        <row r="364">
          <cell r="D364">
            <v>30627846.940000001</v>
          </cell>
        </row>
        <row r="365">
          <cell r="D365">
            <v>101963339.13</v>
          </cell>
        </row>
        <row r="366">
          <cell r="D366">
            <v>66701836.869999997</v>
          </cell>
        </row>
        <row r="367">
          <cell r="D367">
            <v>43876727.57</v>
          </cell>
        </row>
        <row r="368">
          <cell r="D368">
            <v>5667678.71</v>
          </cell>
        </row>
        <row r="369">
          <cell r="D369">
            <v>17910784.350000001</v>
          </cell>
        </row>
        <row r="370">
          <cell r="D370">
            <v>18507167.489999998</v>
          </cell>
        </row>
        <row r="371">
          <cell r="D371">
            <v>39079742.960000001</v>
          </cell>
        </row>
        <row r="372">
          <cell r="D372">
            <v>25171178.329999998</v>
          </cell>
        </row>
        <row r="373">
          <cell r="D373">
            <v>21806478.649999999</v>
          </cell>
        </row>
        <row r="374">
          <cell r="D374">
            <v>4578987.9800000004</v>
          </cell>
        </row>
        <row r="375">
          <cell r="D375">
            <v>73827325.590000004</v>
          </cell>
        </row>
        <row r="376">
          <cell r="D376">
            <v>19836091.43</v>
          </cell>
        </row>
        <row r="377">
          <cell r="D377">
            <v>16968063.09</v>
          </cell>
        </row>
        <row r="378">
          <cell r="D378">
            <v>0</v>
          </cell>
        </row>
        <row r="379">
          <cell r="D379">
            <v>1271493.43</v>
          </cell>
        </row>
        <row r="380">
          <cell r="D380">
            <v>10060977.380000001</v>
          </cell>
        </row>
        <row r="381">
          <cell r="D381">
            <v>4754597.6399999997</v>
          </cell>
        </row>
        <row r="382">
          <cell r="D382">
            <v>3517002.39</v>
          </cell>
        </row>
        <row r="383">
          <cell r="D383">
            <v>255593.48</v>
          </cell>
        </row>
        <row r="384">
          <cell r="D384">
            <v>1252789.8500000001</v>
          </cell>
        </row>
        <row r="385">
          <cell r="D385">
            <v>600769.46</v>
          </cell>
        </row>
        <row r="386">
          <cell r="D386">
            <v>1917419.58</v>
          </cell>
        </row>
        <row r="387">
          <cell r="D387">
            <v>2922868.62</v>
          </cell>
        </row>
        <row r="388">
          <cell r="D388">
            <v>1865724.48</v>
          </cell>
        </row>
        <row r="389">
          <cell r="D389">
            <v>681042.61</v>
          </cell>
        </row>
        <row r="390">
          <cell r="D390">
            <v>5114702.79</v>
          </cell>
        </row>
        <row r="391">
          <cell r="D391">
            <v>5818103.4400000004</v>
          </cell>
        </row>
        <row r="392">
          <cell r="D392">
            <v>1313796.3400000001</v>
          </cell>
        </row>
        <row r="393">
          <cell r="D393">
            <v>0</v>
          </cell>
        </row>
        <row r="394">
          <cell r="D394">
            <v>526391.46</v>
          </cell>
        </row>
        <row r="395">
          <cell r="D395">
            <v>13057630.619999999</v>
          </cell>
        </row>
        <row r="396">
          <cell r="D396">
            <v>1259583.52</v>
          </cell>
        </row>
        <row r="397">
          <cell r="D397">
            <v>1877848.01</v>
          </cell>
        </row>
        <row r="398">
          <cell r="D398">
            <v>346150.25</v>
          </cell>
        </row>
        <row r="399">
          <cell r="D399">
            <v>1009827.88</v>
          </cell>
        </row>
        <row r="400">
          <cell r="D400">
            <v>259353.94</v>
          </cell>
        </row>
        <row r="401">
          <cell r="D401">
            <v>562371.88</v>
          </cell>
        </row>
        <row r="402">
          <cell r="D402">
            <v>2154525.5099999998</v>
          </cell>
        </row>
        <row r="403">
          <cell r="D403">
            <v>1005279.78</v>
          </cell>
        </row>
        <row r="404">
          <cell r="D404">
            <v>362323.44</v>
          </cell>
        </row>
        <row r="405">
          <cell r="D405">
            <v>3426004.87</v>
          </cell>
        </row>
        <row r="406">
          <cell r="D406">
            <v>2600974</v>
          </cell>
        </row>
        <row r="407">
          <cell r="D407">
            <v>633856.42000000004</v>
          </cell>
        </row>
        <row r="408">
          <cell r="D408">
            <v>534424.56999999995</v>
          </cell>
        </row>
        <row r="409">
          <cell r="D409">
            <v>134646684.94999999</v>
          </cell>
        </row>
        <row r="410">
          <cell r="D410">
            <v>1067768303.5</v>
          </cell>
        </row>
        <row r="411">
          <cell r="D411">
            <v>408058068.42000002</v>
          </cell>
        </row>
        <row r="412">
          <cell r="D412">
            <v>317226290.45999998</v>
          </cell>
        </row>
        <row r="413">
          <cell r="D413">
            <v>43505995.469999999</v>
          </cell>
        </row>
        <row r="414">
          <cell r="D414">
            <v>133927840.20999999</v>
          </cell>
        </row>
        <row r="415">
          <cell r="D415">
            <v>86858794.819999993</v>
          </cell>
        </row>
        <row r="416">
          <cell r="D416">
            <v>185193301.94999999</v>
          </cell>
        </row>
        <row r="417">
          <cell r="D417">
            <v>281722125.44</v>
          </cell>
        </row>
        <row r="418">
          <cell r="D418">
            <v>143390567.83000001</v>
          </cell>
        </row>
        <row r="419">
          <cell r="D419">
            <v>35514039.399999999</v>
          </cell>
        </row>
        <row r="420">
          <cell r="D420">
            <v>673727932.73000002</v>
          </cell>
        </row>
        <row r="421">
          <cell r="D421">
            <v>186157218.44999999</v>
          </cell>
        </row>
        <row r="422">
          <cell r="D422">
            <v>117144051.40000001</v>
          </cell>
        </row>
        <row r="423">
          <cell r="D423">
            <v>102783.32</v>
          </cell>
        </row>
        <row r="424">
          <cell r="D424">
            <v>207368710.15000001</v>
          </cell>
        </row>
        <row r="425">
          <cell r="D425">
            <v>736278240</v>
          </cell>
        </row>
        <row r="426">
          <cell r="D426">
            <v>450398893.44999999</v>
          </cell>
        </row>
        <row r="427">
          <cell r="D427">
            <v>346381182.48000002</v>
          </cell>
        </row>
        <row r="428">
          <cell r="D428">
            <v>63023068.520000003</v>
          </cell>
        </row>
        <row r="429">
          <cell r="D429">
            <v>166360726.47999999</v>
          </cell>
        </row>
        <row r="430">
          <cell r="D430">
            <v>124813257.31999999</v>
          </cell>
        </row>
        <row r="431">
          <cell r="D431">
            <v>263851713.88999999</v>
          </cell>
        </row>
        <row r="432">
          <cell r="D432">
            <v>255540347.94999999</v>
          </cell>
        </row>
        <row r="433">
          <cell r="D433">
            <v>176196949.69</v>
          </cell>
        </row>
        <row r="434">
          <cell r="D434">
            <v>44726152.530000001</v>
          </cell>
        </row>
        <row r="435">
          <cell r="D435">
            <v>529680211.66000003</v>
          </cell>
        </row>
        <row r="436">
          <cell r="D436">
            <v>186669580.50999999</v>
          </cell>
        </row>
        <row r="437">
          <cell r="D437">
            <v>145075904.05000001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_17 fleet_v2"/>
    </sheetNames>
    <sheetDataSet>
      <sheetData sheetId="0">
        <row r="9">
          <cell r="D9">
            <v>113</v>
          </cell>
        </row>
        <row r="10">
          <cell r="D10">
            <v>396</v>
          </cell>
        </row>
        <row r="11">
          <cell r="D11">
            <v>2608</v>
          </cell>
        </row>
        <row r="12">
          <cell r="D12">
            <v>632</v>
          </cell>
        </row>
        <row r="13">
          <cell r="D13">
            <v>615</v>
          </cell>
        </row>
        <row r="14">
          <cell r="D14">
            <v>80</v>
          </cell>
        </row>
        <row r="15">
          <cell r="D15">
            <v>300</v>
          </cell>
        </row>
        <row r="16">
          <cell r="D16">
            <v>119</v>
          </cell>
        </row>
        <row r="17">
          <cell r="D17">
            <v>320</v>
          </cell>
        </row>
        <row r="18">
          <cell r="D18">
            <v>704</v>
          </cell>
        </row>
        <row r="19">
          <cell r="D19">
            <v>266</v>
          </cell>
        </row>
        <row r="20">
          <cell r="D20">
            <v>85</v>
          </cell>
        </row>
        <row r="21">
          <cell r="D21">
            <v>1445</v>
          </cell>
        </row>
        <row r="22">
          <cell r="D22">
            <v>527</v>
          </cell>
        </row>
        <row r="23">
          <cell r="D23">
            <v>311</v>
          </cell>
        </row>
        <row r="24">
          <cell r="D24">
            <v>39</v>
          </cell>
        </row>
        <row r="25">
          <cell r="D25">
            <v>97</v>
          </cell>
        </row>
        <row r="26">
          <cell r="D26">
            <v>277</v>
          </cell>
        </row>
        <row r="27">
          <cell r="D27">
            <v>210</v>
          </cell>
        </row>
        <row r="28">
          <cell r="D28">
            <v>178</v>
          </cell>
        </row>
        <row r="29">
          <cell r="D29">
            <v>30</v>
          </cell>
        </row>
        <row r="30">
          <cell r="D30">
            <v>46</v>
          </cell>
        </row>
        <row r="31">
          <cell r="D31">
            <v>83</v>
          </cell>
        </row>
        <row r="32">
          <cell r="D32">
            <v>99</v>
          </cell>
        </row>
        <row r="33">
          <cell r="D33">
            <v>61</v>
          </cell>
        </row>
        <row r="34">
          <cell r="D34">
            <v>103</v>
          </cell>
        </row>
        <row r="35">
          <cell r="D35">
            <v>31</v>
          </cell>
        </row>
        <row r="36">
          <cell r="D36">
            <v>377</v>
          </cell>
        </row>
        <row r="37">
          <cell r="D37">
            <v>103</v>
          </cell>
        </row>
        <row r="38">
          <cell r="D38">
            <v>84</v>
          </cell>
        </row>
        <row r="39">
          <cell r="D39">
            <v>1</v>
          </cell>
        </row>
        <row r="40">
          <cell r="D40">
            <v>69</v>
          </cell>
        </row>
        <row r="41">
          <cell r="D41">
            <v>896</v>
          </cell>
        </row>
        <row r="42">
          <cell r="D42">
            <v>176</v>
          </cell>
        </row>
        <row r="43">
          <cell r="D43">
            <v>157</v>
          </cell>
        </row>
        <row r="44">
          <cell r="D44">
            <v>3</v>
          </cell>
        </row>
        <row r="45">
          <cell r="D45">
            <v>123</v>
          </cell>
        </row>
        <row r="46">
          <cell r="D46">
            <v>42</v>
          </cell>
        </row>
        <row r="47">
          <cell r="D47">
            <v>49</v>
          </cell>
        </row>
        <row r="48">
          <cell r="D48">
            <v>176</v>
          </cell>
        </row>
        <row r="49">
          <cell r="D49">
            <v>70</v>
          </cell>
        </row>
        <row r="50">
          <cell r="D50">
            <v>18</v>
          </cell>
        </row>
        <row r="51">
          <cell r="D51">
            <v>361</v>
          </cell>
        </row>
        <row r="52">
          <cell r="D52">
            <v>240</v>
          </cell>
        </row>
        <row r="53">
          <cell r="D53">
            <v>39</v>
          </cell>
        </row>
        <row r="54">
          <cell r="D54">
            <v>1</v>
          </cell>
        </row>
        <row r="55">
          <cell r="D55">
            <v>67</v>
          </cell>
        </row>
        <row r="56">
          <cell r="D56">
            <v>4446</v>
          </cell>
        </row>
        <row r="57">
          <cell r="D57">
            <v>252</v>
          </cell>
        </row>
        <row r="58">
          <cell r="D58">
            <v>190</v>
          </cell>
        </row>
        <row r="59">
          <cell r="D59">
            <v>34</v>
          </cell>
        </row>
        <row r="60">
          <cell r="D60">
            <v>130</v>
          </cell>
        </row>
        <row r="61">
          <cell r="D61">
            <v>50</v>
          </cell>
        </row>
        <row r="62">
          <cell r="D62">
            <v>119</v>
          </cell>
        </row>
        <row r="63">
          <cell r="D63">
            <v>1379</v>
          </cell>
        </row>
        <row r="64">
          <cell r="D64">
            <v>113</v>
          </cell>
        </row>
        <row r="65">
          <cell r="D65">
            <v>17</v>
          </cell>
        </row>
        <row r="66">
          <cell r="D66">
            <v>738</v>
          </cell>
        </row>
        <row r="67">
          <cell r="D67">
            <v>333</v>
          </cell>
        </row>
        <row r="68">
          <cell r="D68">
            <v>61</v>
          </cell>
        </row>
        <row r="69">
          <cell r="D69">
            <v>257</v>
          </cell>
        </row>
        <row r="70">
          <cell r="D70">
            <v>7886</v>
          </cell>
        </row>
        <row r="71">
          <cell r="D71">
            <v>140728</v>
          </cell>
        </row>
        <row r="72">
          <cell r="D72">
            <v>28192</v>
          </cell>
        </row>
        <row r="73">
          <cell r="D73">
            <v>19821</v>
          </cell>
        </row>
        <row r="74">
          <cell r="D74">
            <v>1804</v>
          </cell>
        </row>
        <row r="75">
          <cell r="D75">
            <v>9544</v>
          </cell>
        </row>
        <row r="76">
          <cell r="D76">
            <v>5855</v>
          </cell>
        </row>
        <row r="77">
          <cell r="D77">
            <v>12391</v>
          </cell>
        </row>
        <row r="78">
          <cell r="D78">
            <v>27948</v>
          </cell>
        </row>
        <row r="79">
          <cell r="D79">
            <v>12238</v>
          </cell>
        </row>
        <row r="80">
          <cell r="D80">
            <v>1658</v>
          </cell>
        </row>
        <row r="81">
          <cell r="D81">
            <v>53322</v>
          </cell>
        </row>
        <row r="82">
          <cell r="D82">
            <v>16567</v>
          </cell>
        </row>
        <row r="83">
          <cell r="D83">
            <v>5836</v>
          </cell>
        </row>
        <row r="84">
          <cell r="D84">
            <v>10403</v>
          </cell>
        </row>
        <row r="85">
          <cell r="D85">
            <v>93389</v>
          </cell>
        </row>
        <row r="86">
          <cell r="D86">
            <v>921475</v>
          </cell>
        </row>
        <row r="87">
          <cell r="D87">
            <v>259936</v>
          </cell>
        </row>
        <row r="88">
          <cell r="D88">
            <v>194943</v>
          </cell>
        </row>
        <row r="89">
          <cell r="D89">
            <v>22141</v>
          </cell>
        </row>
        <row r="90">
          <cell r="D90">
            <v>93421</v>
          </cell>
        </row>
        <row r="91">
          <cell r="D91">
            <v>68416</v>
          </cell>
        </row>
        <row r="92">
          <cell r="D92">
            <v>138754</v>
          </cell>
        </row>
        <row r="93">
          <cell r="D93">
            <v>266461</v>
          </cell>
        </row>
        <row r="94">
          <cell r="D94">
            <v>105523</v>
          </cell>
        </row>
        <row r="95">
          <cell r="D95">
            <v>18249</v>
          </cell>
        </row>
        <row r="96">
          <cell r="D96">
            <v>413284</v>
          </cell>
        </row>
        <row r="97">
          <cell r="D97">
            <v>129384</v>
          </cell>
        </row>
        <row r="98">
          <cell r="D98">
            <v>64958</v>
          </cell>
        </row>
        <row r="99">
          <cell r="D99">
            <v>297</v>
          </cell>
        </row>
        <row r="100">
          <cell r="D100">
            <v>85</v>
          </cell>
        </row>
        <row r="101">
          <cell r="D101">
            <v>2038</v>
          </cell>
        </row>
        <row r="102">
          <cell r="D102">
            <v>545</v>
          </cell>
        </row>
        <row r="103">
          <cell r="D103">
            <v>373</v>
          </cell>
        </row>
        <row r="104">
          <cell r="D104">
            <v>24</v>
          </cell>
        </row>
        <row r="105">
          <cell r="D105">
            <v>124</v>
          </cell>
        </row>
        <row r="106">
          <cell r="D106">
            <v>150</v>
          </cell>
        </row>
        <row r="107">
          <cell r="D107">
            <v>284</v>
          </cell>
        </row>
        <row r="108">
          <cell r="D108">
            <v>612</v>
          </cell>
        </row>
        <row r="109">
          <cell r="D109">
            <v>249</v>
          </cell>
        </row>
        <row r="110">
          <cell r="D110">
            <v>24</v>
          </cell>
        </row>
        <row r="111">
          <cell r="D111">
            <v>880</v>
          </cell>
        </row>
        <row r="112">
          <cell r="D112">
            <v>272</v>
          </cell>
        </row>
        <row r="113">
          <cell r="D113">
            <v>126</v>
          </cell>
        </row>
        <row r="114">
          <cell r="D114">
            <v>3986</v>
          </cell>
        </row>
        <row r="115">
          <cell r="D115">
            <v>4611</v>
          </cell>
        </row>
        <row r="116">
          <cell r="D116">
            <v>37682</v>
          </cell>
        </row>
        <row r="117">
          <cell r="D117">
            <v>14755</v>
          </cell>
        </row>
        <row r="118">
          <cell r="D118">
            <v>11830</v>
          </cell>
        </row>
        <row r="119">
          <cell r="D119">
            <v>1230</v>
          </cell>
        </row>
        <row r="120">
          <cell r="D120">
            <v>5104</v>
          </cell>
        </row>
        <row r="121">
          <cell r="D121">
            <v>5535</v>
          </cell>
        </row>
        <row r="122">
          <cell r="D122">
            <v>9702</v>
          </cell>
        </row>
        <row r="123">
          <cell r="D123">
            <v>17464</v>
          </cell>
        </row>
        <row r="124">
          <cell r="D124">
            <v>8500</v>
          </cell>
        </row>
        <row r="125">
          <cell r="D125">
            <v>1780</v>
          </cell>
        </row>
        <row r="126">
          <cell r="D126">
            <v>25854</v>
          </cell>
        </row>
        <row r="127">
          <cell r="D127">
            <v>7727</v>
          </cell>
        </row>
        <row r="128">
          <cell r="D128">
            <v>4207</v>
          </cell>
        </row>
        <row r="129">
          <cell r="D129">
            <v>11306</v>
          </cell>
        </row>
        <row r="130">
          <cell r="D130">
            <v>3326</v>
          </cell>
        </row>
        <row r="131">
          <cell r="D131">
            <v>23550</v>
          </cell>
        </row>
        <row r="132">
          <cell r="D132">
            <v>10487</v>
          </cell>
        </row>
        <row r="133">
          <cell r="D133">
            <v>7210</v>
          </cell>
        </row>
        <row r="134">
          <cell r="D134">
            <v>1001</v>
          </cell>
        </row>
        <row r="135">
          <cell r="D135">
            <v>3397</v>
          </cell>
        </row>
        <row r="136">
          <cell r="D136">
            <v>2739</v>
          </cell>
        </row>
        <row r="137">
          <cell r="D137">
            <v>5404</v>
          </cell>
        </row>
        <row r="138">
          <cell r="D138">
            <v>5684</v>
          </cell>
        </row>
        <row r="139">
          <cell r="D139">
            <v>3537</v>
          </cell>
        </row>
        <row r="140">
          <cell r="D140">
            <v>950</v>
          </cell>
        </row>
        <row r="141">
          <cell r="D141">
            <v>16319</v>
          </cell>
        </row>
        <row r="142">
          <cell r="D142">
            <v>4452</v>
          </cell>
        </row>
        <row r="143">
          <cell r="D143">
            <v>2848</v>
          </cell>
        </row>
        <row r="144">
          <cell r="D144">
            <v>9315</v>
          </cell>
        </row>
        <row r="145">
          <cell r="D145">
            <v>3308</v>
          </cell>
        </row>
        <row r="146">
          <cell r="D146">
            <v>9278</v>
          </cell>
        </row>
        <row r="147">
          <cell r="D147">
            <v>8046</v>
          </cell>
        </row>
        <row r="148">
          <cell r="D148">
            <v>5387</v>
          </cell>
        </row>
        <row r="149">
          <cell r="D149">
            <v>840</v>
          </cell>
        </row>
        <row r="150">
          <cell r="D150">
            <v>2468</v>
          </cell>
        </row>
        <row r="151">
          <cell r="D151">
            <v>2399</v>
          </cell>
        </row>
        <row r="152">
          <cell r="D152">
            <v>4489</v>
          </cell>
        </row>
        <row r="153">
          <cell r="D153">
            <v>2826</v>
          </cell>
        </row>
        <row r="154">
          <cell r="D154">
            <v>3507</v>
          </cell>
        </row>
        <row r="155">
          <cell r="D155">
            <v>738</v>
          </cell>
        </row>
        <row r="156">
          <cell r="D156">
            <v>10167</v>
          </cell>
        </row>
        <row r="157">
          <cell r="D157">
            <v>2812</v>
          </cell>
        </row>
        <row r="158">
          <cell r="D158">
            <v>2252</v>
          </cell>
        </row>
        <row r="159">
          <cell r="D159">
            <v>0</v>
          </cell>
        </row>
        <row r="160">
          <cell r="D160">
            <v>70</v>
          </cell>
        </row>
        <row r="161">
          <cell r="D161">
            <v>431</v>
          </cell>
        </row>
        <row r="162">
          <cell r="D162">
            <v>209</v>
          </cell>
        </row>
        <row r="163">
          <cell r="D163">
            <v>184</v>
          </cell>
        </row>
        <row r="164">
          <cell r="D164">
            <v>11</v>
          </cell>
        </row>
        <row r="165">
          <cell r="D165">
            <v>61</v>
          </cell>
        </row>
        <row r="166">
          <cell r="D166">
            <v>28</v>
          </cell>
        </row>
        <row r="167">
          <cell r="D167">
            <v>174</v>
          </cell>
        </row>
        <row r="168">
          <cell r="D168">
            <v>89</v>
          </cell>
        </row>
        <row r="169">
          <cell r="D169">
            <v>82</v>
          </cell>
        </row>
        <row r="170">
          <cell r="D170">
            <v>45</v>
          </cell>
        </row>
        <row r="171">
          <cell r="D171">
            <v>270</v>
          </cell>
        </row>
        <row r="172">
          <cell r="D172">
            <v>283</v>
          </cell>
        </row>
        <row r="173">
          <cell r="D173">
            <v>71</v>
          </cell>
        </row>
        <row r="174">
          <cell r="D174">
            <v>0</v>
          </cell>
        </row>
        <row r="175">
          <cell r="D175">
            <v>20</v>
          </cell>
        </row>
        <row r="176">
          <cell r="D176">
            <v>345</v>
          </cell>
        </row>
        <row r="177">
          <cell r="D177">
            <v>53</v>
          </cell>
        </row>
        <row r="178">
          <cell r="D178">
            <v>72</v>
          </cell>
        </row>
        <row r="179">
          <cell r="D179">
            <v>16</v>
          </cell>
        </row>
        <row r="180">
          <cell r="D180">
            <v>32</v>
          </cell>
        </row>
        <row r="181">
          <cell r="D181">
            <v>10</v>
          </cell>
        </row>
        <row r="182">
          <cell r="D182">
            <v>27</v>
          </cell>
        </row>
        <row r="183">
          <cell r="D183">
            <v>60</v>
          </cell>
        </row>
        <row r="184">
          <cell r="D184">
            <v>42</v>
          </cell>
        </row>
        <row r="185">
          <cell r="D185">
            <v>13</v>
          </cell>
        </row>
        <row r="186">
          <cell r="D186">
            <v>127</v>
          </cell>
        </row>
        <row r="187">
          <cell r="D187">
            <v>79</v>
          </cell>
        </row>
        <row r="188">
          <cell r="D188">
            <v>23</v>
          </cell>
        </row>
        <row r="189">
          <cell r="D189">
            <v>121</v>
          </cell>
        </row>
        <row r="190">
          <cell r="D190">
            <v>7551</v>
          </cell>
        </row>
        <row r="191">
          <cell r="D191">
            <v>66857</v>
          </cell>
        </row>
        <row r="192">
          <cell r="D192">
            <v>23026</v>
          </cell>
        </row>
        <row r="193">
          <cell r="D193">
            <v>18255</v>
          </cell>
        </row>
        <row r="194">
          <cell r="D194">
            <v>2465</v>
          </cell>
        </row>
        <row r="195">
          <cell r="D195">
            <v>8347</v>
          </cell>
        </row>
        <row r="196">
          <cell r="D196">
            <v>5119</v>
          </cell>
        </row>
        <row r="197">
          <cell r="D197">
            <v>10782</v>
          </cell>
        </row>
        <row r="198">
          <cell r="D198">
            <v>16904</v>
          </cell>
        </row>
        <row r="199">
          <cell r="D199">
            <v>9420</v>
          </cell>
        </row>
        <row r="200">
          <cell r="D200">
            <v>1877</v>
          </cell>
        </row>
        <row r="201">
          <cell r="D201">
            <v>38026</v>
          </cell>
        </row>
        <row r="202">
          <cell r="D202">
            <v>11445</v>
          </cell>
        </row>
        <row r="203">
          <cell r="D203">
            <v>6477</v>
          </cell>
        </row>
        <row r="204">
          <cell r="D204">
            <v>1761</v>
          </cell>
        </row>
        <row r="205">
          <cell r="D205">
            <v>18377</v>
          </cell>
        </row>
        <row r="206">
          <cell r="D206">
            <v>63186</v>
          </cell>
        </row>
        <row r="207">
          <cell r="D207">
            <v>38069</v>
          </cell>
        </row>
        <row r="208">
          <cell r="D208">
            <v>31313</v>
          </cell>
        </row>
        <row r="209">
          <cell r="D209">
            <v>5595</v>
          </cell>
        </row>
        <row r="210">
          <cell r="D210">
            <v>15167</v>
          </cell>
        </row>
        <row r="211">
          <cell r="D211">
            <v>11284</v>
          </cell>
        </row>
        <row r="212">
          <cell r="D212">
            <v>23630</v>
          </cell>
        </row>
        <row r="213">
          <cell r="D213">
            <v>23171</v>
          </cell>
        </row>
        <row r="214">
          <cell r="D214">
            <v>18105</v>
          </cell>
        </row>
        <row r="215">
          <cell r="D215">
            <v>4292</v>
          </cell>
        </row>
        <row r="216">
          <cell r="D216">
            <v>48036</v>
          </cell>
        </row>
        <row r="217">
          <cell r="D217">
            <v>18056</v>
          </cell>
        </row>
        <row r="218">
          <cell r="D218">
            <v>13129</v>
          </cell>
        </row>
        <row r="228">
          <cell r="D228">
            <v>4753802.28</v>
          </cell>
        </row>
        <row r="229">
          <cell r="D229">
            <v>8889338.9199999999</v>
          </cell>
        </row>
        <row r="230">
          <cell r="D230">
            <v>103881156.65000001</v>
          </cell>
        </row>
        <row r="231">
          <cell r="D231">
            <v>15399762.84</v>
          </cell>
        </row>
        <row r="232">
          <cell r="D232">
            <v>14721747.23</v>
          </cell>
        </row>
        <row r="233">
          <cell r="D233">
            <v>1234950.33</v>
          </cell>
        </row>
        <row r="234">
          <cell r="D234">
            <v>4730201.6900000004</v>
          </cell>
        </row>
        <row r="235">
          <cell r="D235">
            <v>2255224.34</v>
          </cell>
        </row>
        <row r="236">
          <cell r="D236">
            <v>7240500.9199999999</v>
          </cell>
        </row>
        <row r="237">
          <cell r="D237">
            <v>20743692.59</v>
          </cell>
        </row>
        <row r="238">
          <cell r="D238">
            <v>5792051.5199999996</v>
          </cell>
        </row>
        <row r="239">
          <cell r="D239">
            <v>1416571.67</v>
          </cell>
        </row>
        <row r="240">
          <cell r="D240">
            <v>51184196.990000002</v>
          </cell>
        </row>
        <row r="241">
          <cell r="D241">
            <v>16454363.82</v>
          </cell>
        </row>
        <row r="242">
          <cell r="D242">
            <v>6476889.5800000001</v>
          </cell>
        </row>
        <row r="243">
          <cell r="D243">
            <v>17797.240000000002</v>
          </cell>
        </row>
        <row r="244">
          <cell r="D244">
            <v>1015206.61</v>
          </cell>
        </row>
        <row r="245">
          <cell r="D245">
            <v>3600656.39</v>
          </cell>
        </row>
        <row r="246">
          <cell r="D246">
            <v>2524519.4700000002</v>
          </cell>
        </row>
        <row r="247">
          <cell r="D247">
            <v>2025795.7</v>
          </cell>
        </row>
        <row r="248">
          <cell r="D248">
            <v>463045.51</v>
          </cell>
        </row>
        <row r="249">
          <cell r="D249">
            <v>259825.56</v>
          </cell>
        </row>
        <row r="250">
          <cell r="D250">
            <v>1112641.83</v>
          </cell>
        </row>
        <row r="251">
          <cell r="D251">
            <v>1071464.74</v>
          </cell>
        </row>
        <row r="252">
          <cell r="D252">
            <v>540098.16</v>
          </cell>
        </row>
        <row r="253">
          <cell r="D253">
            <v>1108244.78</v>
          </cell>
        </row>
        <row r="254">
          <cell r="D254">
            <v>231172.79</v>
          </cell>
        </row>
        <row r="255">
          <cell r="D255">
            <v>4644945.13</v>
          </cell>
        </row>
        <row r="256">
          <cell r="D256">
            <v>872748.5</v>
          </cell>
        </row>
        <row r="257">
          <cell r="D257">
            <v>842731.23</v>
          </cell>
        </row>
        <row r="258">
          <cell r="D258">
            <v>0</v>
          </cell>
        </row>
        <row r="259">
          <cell r="D259">
            <v>2137347.2200000002</v>
          </cell>
        </row>
        <row r="260">
          <cell r="D260">
            <v>25241269.530000001</v>
          </cell>
        </row>
        <row r="261">
          <cell r="D261">
            <v>4212860.71</v>
          </cell>
        </row>
        <row r="262">
          <cell r="D262">
            <v>3764262.2</v>
          </cell>
        </row>
        <row r="263">
          <cell r="D263">
            <v>45838.02</v>
          </cell>
        </row>
        <row r="264">
          <cell r="D264">
            <v>1954746.4</v>
          </cell>
        </row>
        <row r="265">
          <cell r="D265">
            <v>1383535.1</v>
          </cell>
        </row>
        <row r="266">
          <cell r="D266">
            <v>1420865.59</v>
          </cell>
        </row>
        <row r="267">
          <cell r="D267">
            <v>5010868.84</v>
          </cell>
        </row>
        <row r="268">
          <cell r="D268">
            <v>1314230.18</v>
          </cell>
        </row>
        <row r="269">
          <cell r="D269">
            <v>331030.86</v>
          </cell>
        </row>
        <row r="270">
          <cell r="D270">
            <v>8687876.6300000008</v>
          </cell>
        </row>
        <row r="271">
          <cell r="D271">
            <v>6833154.8799999999</v>
          </cell>
        </row>
        <row r="272">
          <cell r="D272">
            <v>658321.72</v>
          </cell>
        </row>
        <row r="273">
          <cell r="D273">
            <v>0</v>
          </cell>
        </row>
        <row r="274">
          <cell r="D274">
            <v>1955885.89</v>
          </cell>
        </row>
        <row r="275">
          <cell r="D275">
            <v>160997270.5</v>
          </cell>
        </row>
        <row r="276">
          <cell r="D276">
            <v>7355507.8099999996</v>
          </cell>
        </row>
        <row r="277">
          <cell r="D277">
            <v>6894077.6699999999</v>
          </cell>
        </row>
        <row r="278">
          <cell r="D278">
            <v>942731.23</v>
          </cell>
        </row>
        <row r="279">
          <cell r="D279">
            <v>4314373.34</v>
          </cell>
        </row>
        <row r="280">
          <cell r="D280">
            <v>2035167.61</v>
          </cell>
        </row>
        <row r="281">
          <cell r="D281">
            <v>4195802.99</v>
          </cell>
        </row>
        <row r="282">
          <cell r="D282">
            <v>51281822.630000003</v>
          </cell>
        </row>
        <row r="283">
          <cell r="D283">
            <v>3407755.06</v>
          </cell>
        </row>
        <row r="284">
          <cell r="D284">
            <v>469495.69</v>
          </cell>
        </row>
        <row r="285">
          <cell r="D285">
            <v>23535370.469999999</v>
          </cell>
        </row>
        <row r="286">
          <cell r="D286">
            <v>10614980.93</v>
          </cell>
        </row>
        <row r="287">
          <cell r="D287">
            <v>2105477.9900000002</v>
          </cell>
        </row>
        <row r="288">
          <cell r="D288">
            <v>126220.48</v>
          </cell>
        </row>
        <row r="289">
          <cell r="D289">
            <v>135341012.94</v>
          </cell>
        </row>
        <row r="290">
          <cell r="D290">
            <v>2142035462.3599999</v>
          </cell>
        </row>
        <row r="291">
          <cell r="D291">
            <v>477901001.69</v>
          </cell>
        </row>
        <row r="292">
          <cell r="D292">
            <v>332033098.39999998</v>
          </cell>
        </row>
        <row r="293">
          <cell r="D293">
            <v>24544745.469999999</v>
          </cell>
        </row>
        <row r="294">
          <cell r="D294">
            <v>140785179.25999999</v>
          </cell>
        </row>
        <row r="295">
          <cell r="D295">
            <v>86105391.540000007</v>
          </cell>
        </row>
        <row r="296">
          <cell r="D296">
            <v>195168088.52000001</v>
          </cell>
        </row>
        <row r="297">
          <cell r="D297">
            <v>420371641.98000002</v>
          </cell>
        </row>
        <row r="298">
          <cell r="D298">
            <v>168049770.90000001</v>
          </cell>
        </row>
        <row r="299">
          <cell r="D299">
            <v>27438545.170000002</v>
          </cell>
        </row>
        <row r="300">
          <cell r="D300">
            <v>884439865.88999999</v>
          </cell>
        </row>
        <row r="301">
          <cell r="D301">
            <v>282121812.25</v>
          </cell>
        </row>
        <row r="302">
          <cell r="D302">
            <v>96221015.180000007</v>
          </cell>
        </row>
        <row r="303">
          <cell r="D303">
            <v>174022.93</v>
          </cell>
        </row>
        <row r="304">
          <cell r="D304">
            <v>1052130391.16</v>
          </cell>
        </row>
        <row r="305">
          <cell r="D305">
            <v>9534944489.2800007</v>
          </cell>
        </row>
        <row r="306">
          <cell r="D306">
            <v>2987545376.8099999</v>
          </cell>
        </row>
        <row r="307">
          <cell r="D307">
            <v>2164372502.0300002</v>
          </cell>
        </row>
        <row r="308">
          <cell r="D308">
            <v>212708693.69999999</v>
          </cell>
        </row>
        <row r="309">
          <cell r="D309">
            <v>955957185.86000001</v>
          </cell>
        </row>
        <row r="310">
          <cell r="D310">
            <v>703146732.46000004</v>
          </cell>
        </row>
        <row r="311">
          <cell r="D311">
            <v>1423156627.28</v>
          </cell>
        </row>
        <row r="312">
          <cell r="D312">
            <v>2714532431.6399999</v>
          </cell>
        </row>
        <row r="313">
          <cell r="D313">
            <v>929924085.53999996</v>
          </cell>
        </row>
        <row r="314">
          <cell r="D314">
            <v>182342490.97</v>
          </cell>
        </row>
        <row r="315">
          <cell r="D315">
            <v>3958032214.98</v>
          </cell>
        </row>
        <row r="316">
          <cell r="D316">
            <v>1238342680.0599999</v>
          </cell>
        </row>
        <row r="317">
          <cell r="D317">
            <v>637289808.00999999</v>
          </cell>
        </row>
        <row r="318">
          <cell r="D318">
            <v>3725210.89</v>
          </cell>
        </row>
        <row r="319">
          <cell r="D319">
            <v>318851.75</v>
          </cell>
        </row>
        <row r="320">
          <cell r="D320">
            <v>9456853.4600000009</v>
          </cell>
        </row>
        <row r="321">
          <cell r="D321">
            <v>2376091.48</v>
          </cell>
        </row>
        <row r="322">
          <cell r="D322">
            <v>1131364.71</v>
          </cell>
        </row>
        <row r="323">
          <cell r="D323">
            <v>51003.93</v>
          </cell>
        </row>
        <row r="324">
          <cell r="D324">
            <v>401487.4</v>
          </cell>
        </row>
        <row r="325">
          <cell r="D325">
            <v>387107.15</v>
          </cell>
        </row>
        <row r="326">
          <cell r="D326">
            <v>1077869.97</v>
          </cell>
        </row>
        <row r="327">
          <cell r="D327">
            <v>2731525.98</v>
          </cell>
        </row>
        <row r="328">
          <cell r="D328">
            <v>631051.9</v>
          </cell>
        </row>
        <row r="329">
          <cell r="D329">
            <v>55566.03</v>
          </cell>
        </row>
        <row r="330">
          <cell r="D330">
            <v>5559247.7699999996</v>
          </cell>
        </row>
        <row r="331">
          <cell r="D331">
            <v>812043.22</v>
          </cell>
        </row>
        <row r="332">
          <cell r="D332">
            <v>303712.92</v>
          </cell>
        </row>
        <row r="333">
          <cell r="D333">
            <v>12658760.92</v>
          </cell>
        </row>
        <row r="334">
          <cell r="D334">
            <v>11903301.060000001</v>
          </cell>
        </row>
        <row r="335">
          <cell r="D335">
            <v>100024022.12</v>
          </cell>
        </row>
        <row r="336">
          <cell r="D336">
            <v>36813029.100000001</v>
          </cell>
        </row>
        <row r="337">
          <cell r="D337">
            <v>30585727.579999998</v>
          </cell>
        </row>
        <row r="338">
          <cell r="D338">
            <v>2869045.95</v>
          </cell>
        </row>
        <row r="339">
          <cell r="D339">
            <v>12131994.43</v>
          </cell>
        </row>
        <row r="340">
          <cell r="D340">
            <v>11784455.609999999</v>
          </cell>
        </row>
        <row r="341">
          <cell r="D341">
            <v>22434399.969999999</v>
          </cell>
        </row>
        <row r="342">
          <cell r="D342">
            <v>44124891.82</v>
          </cell>
        </row>
        <row r="343">
          <cell r="D343">
            <v>19152878.710000001</v>
          </cell>
        </row>
        <row r="344">
          <cell r="D344">
            <v>3916275.47</v>
          </cell>
        </row>
        <row r="345">
          <cell r="D345">
            <v>54031386.259999998</v>
          </cell>
        </row>
        <row r="346">
          <cell r="D346">
            <v>15443753.52</v>
          </cell>
        </row>
        <row r="347">
          <cell r="D347">
            <v>7574030.0499999998</v>
          </cell>
        </row>
        <row r="348">
          <cell r="D348">
            <v>27405245.640000001</v>
          </cell>
        </row>
        <row r="349">
          <cell r="D349">
            <v>102581732.78</v>
          </cell>
        </row>
        <row r="350">
          <cell r="D350">
            <v>618758733.92999995</v>
          </cell>
        </row>
        <row r="351">
          <cell r="D351">
            <v>284227982.13999999</v>
          </cell>
        </row>
        <row r="352">
          <cell r="D352">
            <v>241832414.53</v>
          </cell>
        </row>
        <row r="353">
          <cell r="D353">
            <v>29803040.140000001</v>
          </cell>
        </row>
        <row r="354">
          <cell r="D354">
            <v>94648770.230000004</v>
          </cell>
        </row>
        <row r="355">
          <cell r="D355">
            <v>74902850.620000005</v>
          </cell>
        </row>
        <row r="356">
          <cell r="D356">
            <v>148789881.31</v>
          </cell>
        </row>
        <row r="357">
          <cell r="D357">
            <v>135537872.88</v>
          </cell>
        </row>
        <row r="358">
          <cell r="D358">
            <v>90774849.469999999</v>
          </cell>
        </row>
        <row r="359">
          <cell r="D359">
            <v>27629326.870000001</v>
          </cell>
        </row>
        <row r="360">
          <cell r="D360">
            <v>397498910.11000001</v>
          </cell>
        </row>
        <row r="361">
          <cell r="D361">
            <v>108240309.98999999</v>
          </cell>
        </row>
        <row r="362">
          <cell r="D362">
            <v>86246303.670000002</v>
          </cell>
        </row>
        <row r="363">
          <cell r="D363">
            <v>23607755.93</v>
          </cell>
        </row>
        <row r="364">
          <cell r="D364">
            <v>29442731.399999999</v>
          </cell>
        </row>
        <row r="365">
          <cell r="D365">
            <v>102081401.59</v>
          </cell>
        </row>
        <row r="366">
          <cell r="D366">
            <v>65804173.310000002</v>
          </cell>
        </row>
        <row r="367">
          <cell r="D367">
            <v>44808779.799999997</v>
          </cell>
        </row>
        <row r="368">
          <cell r="D368">
            <v>6279007.0700000003</v>
          </cell>
        </row>
        <row r="369">
          <cell r="D369">
            <v>18293939.140000001</v>
          </cell>
        </row>
        <row r="370">
          <cell r="D370">
            <v>18372989.82</v>
          </cell>
        </row>
        <row r="371">
          <cell r="D371">
            <v>37349799.420000002</v>
          </cell>
        </row>
        <row r="372">
          <cell r="D372">
            <v>24849342.640000001</v>
          </cell>
        </row>
        <row r="373">
          <cell r="D373">
            <v>22736992.27</v>
          </cell>
        </row>
        <row r="374">
          <cell r="D374">
            <v>4310142.97</v>
          </cell>
        </row>
        <row r="375">
          <cell r="D375">
            <v>71826338.25</v>
          </cell>
        </row>
        <row r="376">
          <cell r="D376">
            <v>19634976.309999999</v>
          </cell>
        </row>
        <row r="377">
          <cell r="D377">
            <v>16360092.220000001</v>
          </cell>
        </row>
        <row r="378">
          <cell r="D378">
            <v>0</v>
          </cell>
        </row>
        <row r="379">
          <cell r="D379">
            <v>1609580.41</v>
          </cell>
        </row>
        <row r="380">
          <cell r="D380">
            <v>12037394.039999999</v>
          </cell>
        </row>
        <row r="381">
          <cell r="D381">
            <v>5766042.2699999996</v>
          </cell>
        </row>
        <row r="382">
          <cell r="D382">
            <v>4021803.91</v>
          </cell>
        </row>
        <row r="383">
          <cell r="D383">
            <v>207258.77</v>
          </cell>
        </row>
        <row r="384">
          <cell r="D384">
            <v>1172550.3999999999</v>
          </cell>
        </row>
        <row r="385">
          <cell r="D385">
            <v>675895.57</v>
          </cell>
        </row>
        <row r="386">
          <cell r="D386">
            <v>2557668.9300000002</v>
          </cell>
        </row>
        <row r="387">
          <cell r="D387">
            <v>3353957.1</v>
          </cell>
        </row>
        <row r="388">
          <cell r="D388">
            <v>2004341.19</v>
          </cell>
        </row>
        <row r="389">
          <cell r="D389">
            <v>655998.79</v>
          </cell>
        </row>
        <row r="390">
          <cell r="D390">
            <v>6527187.9500000002</v>
          </cell>
        </row>
        <row r="391">
          <cell r="D391">
            <v>7136060.8499999996</v>
          </cell>
        </row>
        <row r="392">
          <cell r="D392">
            <v>1323370.8500000001</v>
          </cell>
        </row>
        <row r="393">
          <cell r="D393">
            <v>0</v>
          </cell>
        </row>
        <row r="394">
          <cell r="D394">
            <v>495408.19</v>
          </cell>
        </row>
        <row r="395">
          <cell r="D395">
            <v>13384753.779999999</v>
          </cell>
        </row>
        <row r="396">
          <cell r="D396">
            <v>1335933.71</v>
          </cell>
        </row>
        <row r="397">
          <cell r="D397">
            <v>2336693.9700000002</v>
          </cell>
        </row>
        <row r="398">
          <cell r="D398">
            <v>381960.7</v>
          </cell>
        </row>
        <row r="399">
          <cell r="D399">
            <v>955284.93</v>
          </cell>
        </row>
        <row r="400">
          <cell r="D400">
            <v>268032.84000000003</v>
          </cell>
        </row>
        <row r="401">
          <cell r="D401">
            <v>693115.58</v>
          </cell>
        </row>
        <row r="402">
          <cell r="D402">
            <v>2573470.19</v>
          </cell>
        </row>
        <row r="403">
          <cell r="D403">
            <v>960611.93</v>
          </cell>
        </row>
        <row r="404">
          <cell r="D404">
            <v>307623.75</v>
          </cell>
        </row>
        <row r="405">
          <cell r="D405">
            <v>3753501.92</v>
          </cell>
        </row>
        <row r="406">
          <cell r="D406">
            <v>2540926.2599999998</v>
          </cell>
        </row>
        <row r="407">
          <cell r="D407">
            <v>730015.61</v>
          </cell>
        </row>
        <row r="408">
          <cell r="D408">
            <v>84328.639999999999</v>
          </cell>
        </row>
        <row r="409">
          <cell r="D409">
            <v>146513677.25999999</v>
          </cell>
        </row>
        <row r="410">
          <cell r="D410">
            <v>1222020677.3699999</v>
          </cell>
        </row>
        <row r="411">
          <cell r="D411">
            <v>453149267.23000002</v>
          </cell>
        </row>
        <row r="412">
          <cell r="D412">
            <v>352532310.31</v>
          </cell>
        </row>
        <row r="413">
          <cell r="D413">
            <v>46198420.240000002</v>
          </cell>
        </row>
        <row r="414">
          <cell r="D414">
            <v>147711852.75999999</v>
          </cell>
        </row>
        <row r="415">
          <cell r="D415">
            <v>88219447.549999997</v>
          </cell>
        </row>
        <row r="416">
          <cell r="D416">
            <v>196915560.25999999</v>
          </cell>
        </row>
        <row r="417">
          <cell r="D417">
            <v>302217587.44</v>
          </cell>
        </row>
        <row r="418">
          <cell r="D418">
            <v>153460832.11000001</v>
          </cell>
        </row>
        <row r="419">
          <cell r="D419">
            <v>35466633.340000004</v>
          </cell>
        </row>
        <row r="420">
          <cell r="D420">
            <v>706657035.01999998</v>
          </cell>
        </row>
        <row r="421">
          <cell r="D421">
            <v>207130039.34</v>
          </cell>
        </row>
        <row r="422">
          <cell r="D422">
            <v>124517426.61</v>
          </cell>
        </row>
        <row r="423">
          <cell r="D423">
            <v>63582.18</v>
          </cell>
        </row>
        <row r="424">
          <cell r="D424">
            <v>219809527.93000001</v>
          </cell>
        </row>
        <row r="425">
          <cell r="D425">
            <v>781156535.80999994</v>
          </cell>
        </row>
        <row r="426">
          <cell r="D426">
            <v>474843147.49000001</v>
          </cell>
        </row>
        <row r="427">
          <cell r="D427">
            <v>369668546.01999998</v>
          </cell>
        </row>
        <row r="428">
          <cell r="D428">
            <v>64299739.759999998</v>
          </cell>
        </row>
        <row r="429">
          <cell r="D429">
            <v>170806449.86000001</v>
          </cell>
        </row>
        <row r="430">
          <cell r="D430">
            <v>125803136.73999999</v>
          </cell>
        </row>
        <row r="431">
          <cell r="D431">
            <v>272639640.49000001</v>
          </cell>
        </row>
        <row r="432">
          <cell r="D432">
            <v>265605243.13999999</v>
          </cell>
        </row>
        <row r="433">
          <cell r="D433">
            <v>182112517.31</v>
          </cell>
        </row>
        <row r="434">
          <cell r="D434">
            <v>45119453.920000002</v>
          </cell>
        </row>
        <row r="435">
          <cell r="D435">
            <v>533554804.36000001</v>
          </cell>
        </row>
        <row r="436">
          <cell r="D436">
            <v>198852749.91999999</v>
          </cell>
        </row>
        <row r="437">
          <cell r="D437">
            <v>151486166.06999999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_18 fleet_v3"/>
    </sheetNames>
    <sheetDataSet>
      <sheetData sheetId="0">
        <row r="34">
          <cell r="D34">
            <v>114</v>
          </cell>
        </row>
        <row r="35">
          <cell r="D35">
            <v>391</v>
          </cell>
        </row>
        <row r="36">
          <cell r="D36">
            <v>2827</v>
          </cell>
        </row>
        <row r="37">
          <cell r="D37">
            <v>560</v>
          </cell>
        </row>
        <row r="38">
          <cell r="D38">
            <v>655</v>
          </cell>
        </row>
        <row r="39">
          <cell r="D39">
            <v>83</v>
          </cell>
        </row>
        <row r="40">
          <cell r="D40">
            <v>312</v>
          </cell>
        </row>
        <row r="41">
          <cell r="D41">
            <v>107</v>
          </cell>
        </row>
        <row r="42">
          <cell r="D42">
            <v>353</v>
          </cell>
        </row>
        <row r="43">
          <cell r="D43">
            <v>785</v>
          </cell>
        </row>
        <row r="44">
          <cell r="D44">
            <v>258</v>
          </cell>
        </row>
        <row r="45">
          <cell r="D45">
            <v>85</v>
          </cell>
        </row>
        <row r="46">
          <cell r="D46">
            <v>1487</v>
          </cell>
        </row>
        <row r="47">
          <cell r="D47">
            <v>589</v>
          </cell>
        </row>
        <row r="48">
          <cell r="D48">
            <v>306</v>
          </cell>
        </row>
        <row r="49">
          <cell r="D49">
            <v>35</v>
          </cell>
        </row>
        <row r="50">
          <cell r="D50">
            <v>97</v>
          </cell>
        </row>
        <row r="51">
          <cell r="D51">
            <v>291</v>
          </cell>
        </row>
        <row r="52">
          <cell r="D52">
            <v>226</v>
          </cell>
        </row>
        <row r="53">
          <cell r="D53">
            <v>180</v>
          </cell>
        </row>
        <row r="54">
          <cell r="D54">
            <v>35</v>
          </cell>
        </row>
        <row r="55">
          <cell r="D55">
            <v>46</v>
          </cell>
        </row>
        <row r="56">
          <cell r="D56">
            <v>87</v>
          </cell>
        </row>
        <row r="57">
          <cell r="D57">
            <v>102</v>
          </cell>
        </row>
        <row r="58">
          <cell r="D58">
            <v>55</v>
          </cell>
        </row>
        <row r="59">
          <cell r="D59">
            <v>121</v>
          </cell>
        </row>
        <row r="60">
          <cell r="D60">
            <v>29</v>
          </cell>
        </row>
        <row r="61">
          <cell r="D61">
            <v>382</v>
          </cell>
        </row>
        <row r="62">
          <cell r="D62">
            <v>100</v>
          </cell>
        </row>
        <row r="63">
          <cell r="D63">
            <v>88</v>
          </cell>
        </row>
        <row r="64">
          <cell r="D64">
            <v>1</v>
          </cell>
        </row>
        <row r="65">
          <cell r="D65">
            <v>71</v>
          </cell>
        </row>
        <row r="66">
          <cell r="D66">
            <v>1172</v>
          </cell>
        </row>
        <row r="67">
          <cell r="D67">
            <v>162</v>
          </cell>
        </row>
        <row r="68">
          <cell r="D68">
            <v>183</v>
          </cell>
        </row>
        <row r="69">
          <cell r="D69">
            <v>3</v>
          </cell>
        </row>
        <row r="70">
          <cell r="D70">
            <v>92</v>
          </cell>
        </row>
        <row r="71">
          <cell r="D71">
            <v>46</v>
          </cell>
        </row>
        <row r="72">
          <cell r="D72">
            <v>63</v>
          </cell>
        </row>
        <row r="73">
          <cell r="D73">
            <v>261</v>
          </cell>
        </row>
        <row r="74">
          <cell r="D74">
            <v>86</v>
          </cell>
        </row>
        <row r="75">
          <cell r="D75">
            <v>20</v>
          </cell>
        </row>
        <row r="76">
          <cell r="D76">
            <v>392</v>
          </cell>
        </row>
        <row r="77">
          <cell r="D77">
            <v>266</v>
          </cell>
        </row>
        <row r="78">
          <cell r="D78">
            <v>41</v>
          </cell>
        </row>
        <row r="79">
          <cell r="D79">
            <v>1</v>
          </cell>
        </row>
        <row r="80">
          <cell r="D80">
            <v>74</v>
          </cell>
        </row>
        <row r="81">
          <cell r="D81">
            <v>7542</v>
          </cell>
        </row>
        <row r="82">
          <cell r="D82">
            <v>462</v>
          </cell>
        </row>
        <row r="83">
          <cell r="D83">
            <v>344</v>
          </cell>
        </row>
        <row r="84">
          <cell r="D84">
            <v>34</v>
          </cell>
        </row>
        <row r="85">
          <cell r="D85">
            <v>154</v>
          </cell>
        </row>
        <row r="86">
          <cell r="D86">
            <v>48</v>
          </cell>
        </row>
        <row r="87">
          <cell r="D87">
            <v>142</v>
          </cell>
        </row>
        <row r="88">
          <cell r="D88">
            <v>2288</v>
          </cell>
        </row>
        <row r="89">
          <cell r="D89">
            <v>128</v>
          </cell>
        </row>
        <row r="90">
          <cell r="D90">
            <v>15</v>
          </cell>
        </row>
        <row r="91">
          <cell r="D91">
            <v>1633</v>
          </cell>
        </row>
        <row r="92">
          <cell r="D92">
            <v>404</v>
          </cell>
        </row>
        <row r="93">
          <cell r="D93">
            <v>69</v>
          </cell>
        </row>
        <row r="94">
          <cell r="D94">
            <v>247</v>
          </cell>
        </row>
        <row r="95">
          <cell r="D95">
            <v>7958</v>
          </cell>
        </row>
        <row r="96">
          <cell r="D96">
            <v>146232</v>
          </cell>
        </row>
        <row r="97">
          <cell r="D97">
            <v>28763</v>
          </cell>
        </row>
        <row r="98">
          <cell r="D98">
            <v>20811</v>
          </cell>
        </row>
        <row r="99">
          <cell r="D99">
            <v>2111</v>
          </cell>
        </row>
        <row r="100">
          <cell r="D100">
            <v>10096</v>
          </cell>
        </row>
        <row r="101">
          <cell r="D101">
            <v>6325</v>
          </cell>
        </row>
        <row r="102">
          <cell r="D102">
            <v>12637</v>
          </cell>
        </row>
        <row r="103">
          <cell r="D103">
            <v>29082</v>
          </cell>
        </row>
        <row r="104">
          <cell r="D104">
            <v>14127</v>
          </cell>
        </row>
        <row r="105">
          <cell r="D105">
            <v>1842</v>
          </cell>
        </row>
        <row r="106">
          <cell r="D106">
            <v>56036</v>
          </cell>
        </row>
        <row r="107">
          <cell r="D107">
            <v>17807</v>
          </cell>
        </row>
        <row r="108">
          <cell r="D108">
            <v>5867</v>
          </cell>
        </row>
        <row r="110">
          <cell r="D110">
            <v>93952</v>
          </cell>
        </row>
        <row r="111">
          <cell r="D111">
            <v>941937</v>
          </cell>
        </row>
        <row r="112">
          <cell r="D112">
            <v>268390</v>
          </cell>
        </row>
        <row r="113">
          <cell r="D113">
            <v>201336</v>
          </cell>
        </row>
        <row r="114">
          <cell r="D114">
            <v>25859</v>
          </cell>
        </row>
        <row r="115">
          <cell r="D115">
            <v>96034</v>
          </cell>
        </row>
        <row r="116">
          <cell r="D116">
            <v>72370</v>
          </cell>
        </row>
        <row r="117">
          <cell r="D117">
            <v>142444</v>
          </cell>
        </row>
        <row r="118">
          <cell r="D118">
            <v>272983</v>
          </cell>
        </row>
        <row r="119">
          <cell r="D119">
            <v>107541</v>
          </cell>
        </row>
        <row r="120">
          <cell r="D120">
            <v>18678</v>
          </cell>
        </row>
        <row r="121">
          <cell r="D121">
            <v>423478</v>
          </cell>
        </row>
        <row r="122">
          <cell r="D122">
            <v>129809</v>
          </cell>
        </row>
        <row r="123">
          <cell r="D123">
            <v>66125</v>
          </cell>
        </row>
        <row r="124">
          <cell r="D124">
            <v>349</v>
          </cell>
        </row>
        <row r="125">
          <cell r="D125">
            <v>100</v>
          </cell>
        </row>
        <row r="126">
          <cell r="D126">
            <v>2043</v>
          </cell>
        </row>
        <row r="127">
          <cell r="D127">
            <v>465</v>
          </cell>
        </row>
        <row r="128">
          <cell r="D128">
            <v>385</v>
          </cell>
        </row>
        <row r="129">
          <cell r="D129">
            <v>18</v>
          </cell>
        </row>
        <row r="130">
          <cell r="D130">
            <v>136</v>
          </cell>
        </row>
        <row r="131">
          <cell r="D131">
            <v>171</v>
          </cell>
        </row>
        <row r="132">
          <cell r="D132">
            <v>277</v>
          </cell>
        </row>
        <row r="133">
          <cell r="D133">
            <v>629</v>
          </cell>
        </row>
        <row r="134">
          <cell r="D134">
            <v>252</v>
          </cell>
        </row>
        <row r="135">
          <cell r="D135">
            <v>32</v>
          </cell>
        </row>
        <row r="136">
          <cell r="D136">
            <v>887</v>
          </cell>
        </row>
        <row r="137">
          <cell r="D137">
            <v>295</v>
          </cell>
        </row>
        <row r="138">
          <cell r="D138">
            <v>128</v>
          </cell>
        </row>
        <row r="139">
          <cell r="D139">
            <v>6156</v>
          </cell>
        </row>
        <row r="140">
          <cell r="D140">
            <v>4821</v>
          </cell>
        </row>
        <row r="141">
          <cell r="D141">
            <v>38488</v>
          </cell>
        </row>
        <row r="142">
          <cell r="D142">
            <v>15292</v>
          </cell>
        </row>
        <row r="143">
          <cell r="D143">
            <v>12385</v>
          </cell>
        </row>
        <row r="144">
          <cell r="D144">
            <v>1392</v>
          </cell>
        </row>
        <row r="145">
          <cell r="D145">
            <v>5346</v>
          </cell>
        </row>
        <row r="146">
          <cell r="D146">
            <v>5566</v>
          </cell>
        </row>
        <row r="147">
          <cell r="D147">
            <v>9625</v>
          </cell>
        </row>
        <row r="148">
          <cell r="D148">
            <v>17948</v>
          </cell>
        </row>
        <row r="149">
          <cell r="D149">
            <v>8701</v>
          </cell>
        </row>
        <row r="150">
          <cell r="D150">
            <v>1800</v>
          </cell>
        </row>
        <row r="151">
          <cell r="D151">
            <v>26217</v>
          </cell>
        </row>
        <row r="152">
          <cell r="D152">
            <v>7894</v>
          </cell>
        </row>
        <row r="153">
          <cell r="D153">
            <v>4256</v>
          </cell>
        </row>
        <row r="154">
          <cell r="D154">
            <v>78</v>
          </cell>
        </row>
        <row r="155">
          <cell r="D155">
            <v>3220</v>
          </cell>
        </row>
        <row r="156">
          <cell r="D156">
            <v>24020</v>
          </cell>
        </row>
        <row r="157">
          <cell r="D157">
            <v>9601</v>
          </cell>
        </row>
        <row r="158">
          <cell r="D158">
            <v>7075</v>
          </cell>
        </row>
        <row r="159">
          <cell r="D159">
            <v>1036</v>
          </cell>
        </row>
        <row r="160">
          <cell r="D160">
            <v>3395</v>
          </cell>
        </row>
        <row r="161">
          <cell r="D161">
            <v>2497</v>
          </cell>
        </row>
        <row r="162">
          <cell r="D162">
            <v>5227</v>
          </cell>
        </row>
        <row r="163">
          <cell r="D163">
            <v>5622</v>
          </cell>
        </row>
        <row r="164">
          <cell r="D164">
            <v>3501</v>
          </cell>
        </row>
        <row r="165">
          <cell r="D165">
            <v>843</v>
          </cell>
        </row>
        <row r="166">
          <cell r="D166">
            <v>15497</v>
          </cell>
        </row>
        <row r="167">
          <cell r="D167">
            <v>4194</v>
          </cell>
        </row>
        <row r="168">
          <cell r="D168">
            <v>2605</v>
          </cell>
        </row>
        <row r="169">
          <cell r="D169">
            <v>470</v>
          </cell>
        </row>
        <row r="170">
          <cell r="D170">
            <v>3266</v>
          </cell>
        </row>
        <row r="171">
          <cell r="D171">
            <v>9495</v>
          </cell>
        </row>
        <row r="172">
          <cell r="D172">
            <v>7685</v>
          </cell>
        </row>
        <row r="173">
          <cell r="D173">
            <v>5471</v>
          </cell>
        </row>
        <row r="174">
          <cell r="D174">
            <v>829</v>
          </cell>
        </row>
        <row r="175">
          <cell r="D175">
            <v>2444</v>
          </cell>
        </row>
        <row r="176">
          <cell r="D176">
            <v>2163</v>
          </cell>
        </row>
        <row r="177">
          <cell r="D177">
            <v>4303</v>
          </cell>
        </row>
        <row r="178">
          <cell r="D178">
            <v>2947</v>
          </cell>
        </row>
        <row r="179">
          <cell r="D179">
            <v>3515</v>
          </cell>
        </row>
        <row r="180">
          <cell r="D180">
            <v>708</v>
          </cell>
        </row>
        <row r="181">
          <cell r="D181">
            <v>9821</v>
          </cell>
        </row>
        <row r="182">
          <cell r="D182">
            <v>2790</v>
          </cell>
        </row>
        <row r="183">
          <cell r="D183">
            <v>2136</v>
          </cell>
        </row>
        <row r="184">
          <cell r="D184">
            <v>0</v>
          </cell>
        </row>
        <row r="185">
          <cell r="D185">
            <v>66</v>
          </cell>
        </row>
        <row r="186">
          <cell r="D186">
            <v>498</v>
          </cell>
        </row>
        <row r="187">
          <cell r="D187">
            <v>197</v>
          </cell>
        </row>
        <row r="188">
          <cell r="D188">
            <v>189</v>
          </cell>
        </row>
        <row r="189">
          <cell r="D189">
            <v>11</v>
          </cell>
        </row>
        <row r="190">
          <cell r="D190">
            <v>84</v>
          </cell>
        </row>
        <row r="191">
          <cell r="D191">
            <v>39</v>
          </cell>
        </row>
        <row r="192">
          <cell r="D192">
            <v>99</v>
          </cell>
        </row>
        <row r="193">
          <cell r="D193">
            <v>121</v>
          </cell>
        </row>
        <row r="194">
          <cell r="D194">
            <v>88</v>
          </cell>
        </row>
        <row r="195">
          <cell r="D195">
            <v>45</v>
          </cell>
        </row>
        <row r="196">
          <cell r="D196">
            <v>328</v>
          </cell>
        </row>
        <row r="197">
          <cell r="D197">
            <v>319</v>
          </cell>
        </row>
        <row r="198">
          <cell r="D198">
            <v>70</v>
          </cell>
        </row>
        <row r="199">
          <cell r="D199">
            <v>0</v>
          </cell>
        </row>
        <row r="200">
          <cell r="D200">
            <v>24</v>
          </cell>
        </row>
        <row r="201">
          <cell r="D201">
            <v>367</v>
          </cell>
        </row>
        <row r="202">
          <cell r="D202">
            <v>47</v>
          </cell>
        </row>
        <row r="203">
          <cell r="D203">
            <v>70</v>
          </cell>
        </row>
        <row r="204">
          <cell r="D204">
            <v>15</v>
          </cell>
        </row>
        <row r="205">
          <cell r="D205">
            <v>31</v>
          </cell>
        </row>
        <row r="206">
          <cell r="D206">
            <v>9</v>
          </cell>
        </row>
        <row r="207">
          <cell r="D207">
            <v>27</v>
          </cell>
        </row>
        <row r="208">
          <cell r="D208">
            <v>68</v>
          </cell>
        </row>
        <row r="209">
          <cell r="D209">
            <v>46</v>
          </cell>
        </row>
        <row r="210">
          <cell r="D210">
            <v>15</v>
          </cell>
        </row>
        <row r="211">
          <cell r="D211">
            <v>131</v>
          </cell>
        </row>
        <row r="212">
          <cell r="D212">
            <v>81</v>
          </cell>
        </row>
        <row r="213">
          <cell r="D213">
            <v>22</v>
          </cell>
        </row>
        <row r="214">
          <cell r="D214">
            <v>113</v>
          </cell>
        </row>
        <row r="215">
          <cell r="D215">
            <v>7781</v>
          </cell>
        </row>
        <row r="216">
          <cell r="D216">
            <v>72538</v>
          </cell>
        </row>
        <row r="217">
          <cell r="D217">
            <v>25414</v>
          </cell>
        </row>
        <row r="218">
          <cell r="D218">
            <v>20171</v>
          </cell>
        </row>
        <row r="219">
          <cell r="D219">
            <v>2814</v>
          </cell>
        </row>
        <row r="220">
          <cell r="D220">
            <v>9106</v>
          </cell>
        </row>
        <row r="221">
          <cell r="D221">
            <v>5855</v>
          </cell>
        </row>
        <row r="222">
          <cell r="D222">
            <v>11581</v>
          </cell>
        </row>
        <row r="223">
          <cell r="D223">
            <v>18463</v>
          </cell>
        </row>
        <row r="224">
          <cell r="D224">
            <v>10164</v>
          </cell>
        </row>
        <row r="225">
          <cell r="D225">
            <v>2037</v>
          </cell>
        </row>
        <row r="226">
          <cell r="D226">
            <v>39943</v>
          </cell>
        </row>
        <row r="227">
          <cell r="D227">
            <v>12282</v>
          </cell>
        </row>
        <row r="228">
          <cell r="D228">
            <v>6948</v>
          </cell>
        </row>
        <row r="230">
          <cell r="D230">
            <v>19297</v>
          </cell>
        </row>
        <row r="231">
          <cell r="D231">
            <v>67411</v>
          </cell>
        </row>
        <row r="232">
          <cell r="D232">
            <v>41023</v>
          </cell>
        </row>
        <row r="233">
          <cell r="D233">
            <v>33897</v>
          </cell>
        </row>
        <row r="234">
          <cell r="D234">
            <v>6365</v>
          </cell>
        </row>
        <row r="235">
          <cell r="D235">
            <v>16299</v>
          </cell>
        </row>
        <row r="236">
          <cell r="D236">
            <v>12464</v>
          </cell>
        </row>
        <row r="237">
          <cell r="D237">
            <v>25049</v>
          </cell>
        </row>
        <row r="238">
          <cell r="D238">
            <v>25204</v>
          </cell>
        </row>
        <row r="239">
          <cell r="D239">
            <v>19024</v>
          </cell>
        </row>
        <row r="240">
          <cell r="D240">
            <v>4500</v>
          </cell>
        </row>
        <row r="241">
          <cell r="D241">
            <v>49899</v>
          </cell>
        </row>
        <row r="242">
          <cell r="D242">
            <v>19105</v>
          </cell>
        </row>
        <row r="243">
          <cell r="D243">
            <v>13845</v>
          </cell>
        </row>
        <row r="278">
          <cell r="D278">
            <v>4435429.82</v>
          </cell>
        </row>
        <row r="279">
          <cell r="D279">
            <v>9104587.6400000006</v>
          </cell>
        </row>
        <row r="280">
          <cell r="D280">
            <v>111831370.47</v>
          </cell>
        </row>
        <row r="281">
          <cell r="D281">
            <v>13811748.08</v>
          </cell>
        </row>
        <row r="282">
          <cell r="D282">
            <v>14923597.220000001</v>
          </cell>
        </row>
        <row r="283">
          <cell r="D283">
            <v>1162483.3899999999</v>
          </cell>
        </row>
        <row r="284">
          <cell r="D284">
            <v>4774512.12</v>
          </cell>
        </row>
        <row r="285">
          <cell r="D285">
            <v>1947876.54</v>
          </cell>
        </row>
        <row r="286">
          <cell r="D286">
            <v>7657593.6900000004</v>
          </cell>
        </row>
        <row r="287">
          <cell r="D287">
            <v>22234813.609999999</v>
          </cell>
        </row>
        <row r="288">
          <cell r="D288">
            <v>5995710.4500000002</v>
          </cell>
        </row>
        <row r="289">
          <cell r="D289">
            <v>1388365.2</v>
          </cell>
        </row>
        <row r="290">
          <cell r="D290">
            <v>53867948.549999997</v>
          </cell>
        </row>
        <row r="291">
          <cell r="D291">
            <v>19010795.52</v>
          </cell>
        </row>
        <row r="292">
          <cell r="D292">
            <v>6625541</v>
          </cell>
        </row>
        <row r="293">
          <cell r="D293">
            <v>16435.48</v>
          </cell>
        </row>
        <row r="294">
          <cell r="D294">
            <v>1040827.23</v>
          </cell>
        </row>
        <row r="295">
          <cell r="D295">
            <v>3722818.61</v>
          </cell>
        </row>
        <row r="296">
          <cell r="D296">
            <v>2577670.64</v>
          </cell>
        </row>
        <row r="297">
          <cell r="D297">
            <v>2140314.04</v>
          </cell>
        </row>
        <row r="298">
          <cell r="D298">
            <v>496267.41</v>
          </cell>
        </row>
        <row r="299">
          <cell r="D299">
            <v>276680.58</v>
          </cell>
        </row>
        <row r="300">
          <cell r="D300">
            <v>1184915.69</v>
          </cell>
        </row>
        <row r="301">
          <cell r="D301">
            <v>1028812.57</v>
          </cell>
        </row>
        <row r="302">
          <cell r="D302">
            <v>336904.58</v>
          </cell>
        </row>
        <row r="303">
          <cell r="D303">
            <v>1299333.45</v>
          </cell>
        </row>
        <row r="304">
          <cell r="D304">
            <v>200536.1</v>
          </cell>
        </row>
        <row r="305">
          <cell r="D305">
            <v>4340237.07</v>
          </cell>
        </row>
        <row r="306">
          <cell r="D306">
            <v>911238.48</v>
          </cell>
        </row>
        <row r="307">
          <cell r="D307">
            <v>858379.5</v>
          </cell>
        </row>
        <row r="308">
          <cell r="D308">
            <v>0</v>
          </cell>
        </row>
        <row r="309">
          <cell r="D309">
            <v>2198557.37</v>
          </cell>
        </row>
        <row r="310">
          <cell r="D310">
            <v>33208740.460000001</v>
          </cell>
        </row>
        <row r="311">
          <cell r="D311">
            <v>3914695.35</v>
          </cell>
        </row>
        <row r="312">
          <cell r="D312">
            <v>3911144.21</v>
          </cell>
        </row>
        <row r="313">
          <cell r="D313">
            <v>19343.25</v>
          </cell>
        </row>
        <row r="314">
          <cell r="D314">
            <v>2273643.1</v>
          </cell>
        </row>
        <row r="315">
          <cell r="D315">
            <v>1705716.39</v>
          </cell>
        </row>
        <row r="316">
          <cell r="D316">
            <v>1486721.9</v>
          </cell>
        </row>
        <row r="317">
          <cell r="D317">
            <v>6792133.7999999998</v>
          </cell>
        </row>
        <row r="318">
          <cell r="D318">
            <v>1497501.14</v>
          </cell>
        </row>
        <row r="319">
          <cell r="D319">
            <v>429153.16</v>
          </cell>
        </row>
        <row r="320">
          <cell r="D320">
            <v>8649709.4199999999</v>
          </cell>
        </row>
        <row r="321">
          <cell r="D321">
            <v>6622667.7000000002</v>
          </cell>
        </row>
        <row r="322">
          <cell r="D322">
            <v>617485.56000000006</v>
          </cell>
        </row>
        <row r="323">
          <cell r="D323">
            <v>0</v>
          </cell>
        </row>
        <row r="324">
          <cell r="D324">
            <v>2031571.07</v>
          </cell>
        </row>
        <row r="325">
          <cell r="D325">
            <v>241862393.36000001</v>
          </cell>
        </row>
        <row r="326">
          <cell r="D326">
            <v>10913113.039999999</v>
          </cell>
        </row>
        <row r="327">
          <cell r="D327">
            <v>9720461.1999999993</v>
          </cell>
        </row>
        <row r="328">
          <cell r="D328">
            <v>1011679.42</v>
          </cell>
        </row>
        <row r="329">
          <cell r="D329">
            <v>4451591.75</v>
          </cell>
        </row>
        <row r="330">
          <cell r="D330">
            <v>1851282.56</v>
          </cell>
        </row>
        <row r="331">
          <cell r="D331">
            <v>4800922.97</v>
          </cell>
        </row>
        <row r="332">
          <cell r="D332">
            <v>72519968.950000003</v>
          </cell>
        </row>
        <row r="333">
          <cell r="D333">
            <v>3759221.91</v>
          </cell>
        </row>
        <row r="334">
          <cell r="D334">
            <v>432484.3</v>
          </cell>
        </row>
        <row r="335">
          <cell r="D335">
            <v>39994971.740000002</v>
          </cell>
        </row>
        <row r="336">
          <cell r="D336">
            <v>12149147.949999999</v>
          </cell>
        </row>
        <row r="337">
          <cell r="D337">
            <v>2071218.79</v>
          </cell>
        </row>
        <row r="338">
          <cell r="D338">
            <v>174325.58</v>
          </cell>
        </row>
        <row r="339">
          <cell r="D339">
            <v>133612965.54000001</v>
          </cell>
        </row>
        <row r="340">
          <cell r="D340">
            <v>2217884322.2600002</v>
          </cell>
        </row>
        <row r="341">
          <cell r="D341">
            <v>482760040.87</v>
          </cell>
        </row>
        <row r="342">
          <cell r="D342">
            <v>342670796.60000002</v>
          </cell>
        </row>
        <row r="343">
          <cell r="D343">
            <v>29061901.789999999</v>
          </cell>
        </row>
        <row r="344">
          <cell r="D344">
            <v>147558091.87</v>
          </cell>
        </row>
        <row r="345">
          <cell r="D345">
            <v>93132035.049999997</v>
          </cell>
        </row>
        <row r="346">
          <cell r="D346">
            <v>198693051.13</v>
          </cell>
        </row>
        <row r="347">
          <cell r="D347">
            <v>428486351.80000001</v>
          </cell>
        </row>
        <row r="348">
          <cell r="D348">
            <v>188873554.56999999</v>
          </cell>
        </row>
        <row r="349">
          <cell r="D349">
            <v>31830265.149999999</v>
          </cell>
        </row>
        <row r="350">
          <cell r="D350">
            <v>922858755.50999999</v>
          </cell>
        </row>
        <row r="351">
          <cell r="D351">
            <v>305138896.36000001</v>
          </cell>
        </row>
        <row r="352">
          <cell r="D352">
            <v>95711717.579999998</v>
          </cell>
        </row>
        <row r="353">
          <cell r="D353">
            <v>159737.18</v>
          </cell>
        </row>
        <row r="354">
          <cell r="D354">
            <v>1045023706.7</v>
          </cell>
        </row>
        <row r="355">
          <cell r="D355">
            <v>9631617906.5100002</v>
          </cell>
        </row>
        <row r="356">
          <cell r="D356">
            <v>3053383786.77</v>
          </cell>
        </row>
        <row r="357">
          <cell r="D357">
            <v>2204292964.73</v>
          </cell>
        </row>
        <row r="358">
          <cell r="D358">
            <v>246793152.72999999</v>
          </cell>
        </row>
        <row r="359">
          <cell r="D359">
            <v>977152378.89999998</v>
          </cell>
        </row>
        <row r="360">
          <cell r="D360">
            <v>743829595.17999995</v>
          </cell>
        </row>
        <row r="361">
          <cell r="D361">
            <v>1443933895.3299999</v>
          </cell>
        </row>
        <row r="362">
          <cell r="D362">
            <v>2753757517.3000002</v>
          </cell>
        </row>
        <row r="363">
          <cell r="D363">
            <v>929235556.79999995</v>
          </cell>
        </row>
        <row r="364">
          <cell r="D364">
            <v>185703751.71000001</v>
          </cell>
        </row>
        <row r="365">
          <cell r="D365">
            <v>4012535220.1700001</v>
          </cell>
        </row>
        <row r="366">
          <cell r="D366">
            <v>1221884648.5899999</v>
          </cell>
        </row>
        <row r="367">
          <cell r="D367">
            <v>642655553.77999997</v>
          </cell>
        </row>
        <row r="368">
          <cell r="D368">
            <v>3593490.66</v>
          </cell>
        </row>
        <row r="369">
          <cell r="D369">
            <v>421504.56</v>
          </cell>
        </row>
        <row r="370">
          <cell r="D370">
            <v>9493767.2599999998</v>
          </cell>
        </row>
        <row r="371">
          <cell r="D371">
            <v>1648718.19</v>
          </cell>
        </row>
        <row r="372">
          <cell r="D372">
            <v>1399601.08</v>
          </cell>
        </row>
        <row r="373">
          <cell r="D373">
            <v>87805.1</v>
          </cell>
        </row>
        <row r="374">
          <cell r="D374">
            <v>477815.67</v>
          </cell>
        </row>
        <row r="375">
          <cell r="D375">
            <v>571896.79</v>
          </cell>
        </row>
        <row r="376">
          <cell r="D376">
            <v>981216.62</v>
          </cell>
        </row>
        <row r="377">
          <cell r="D377">
            <v>2511090.42</v>
          </cell>
        </row>
        <row r="378">
          <cell r="D378">
            <v>796410.07</v>
          </cell>
        </row>
        <row r="379">
          <cell r="D379">
            <v>99501.25</v>
          </cell>
        </row>
        <row r="380">
          <cell r="D380">
            <v>5075018.91</v>
          </cell>
        </row>
        <row r="381">
          <cell r="D381">
            <v>866430.75</v>
          </cell>
        </row>
        <row r="382">
          <cell r="D382">
            <v>273188.55</v>
          </cell>
        </row>
        <row r="383">
          <cell r="D383">
            <v>16163100.82</v>
          </cell>
        </row>
        <row r="384">
          <cell r="D384">
            <v>11912023.949999999</v>
          </cell>
        </row>
        <row r="385">
          <cell r="D385">
            <v>102883745.15000001</v>
          </cell>
        </row>
        <row r="386">
          <cell r="D386">
            <v>38217637.869999997</v>
          </cell>
        </row>
        <row r="387">
          <cell r="D387">
            <v>31643319.129999999</v>
          </cell>
        </row>
        <row r="388">
          <cell r="D388">
            <v>3034605.53</v>
          </cell>
        </row>
        <row r="389">
          <cell r="D389">
            <v>12397767.359999999</v>
          </cell>
        </row>
        <row r="390">
          <cell r="D390">
            <v>11531791.24</v>
          </cell>
        </row>
        <row r="391">
          <cell r="D391">
            <v>22463525.77</v>
          </cell>
        </row>
        <row r="392">
          <cell r="D392">
            <v>46103791.530000001</v>
          </cell>
        </row>
        <row r="393">
          <cell r="D393">
            <v>19064467.079999998</v>
          </cell>
        </row>
        <row r="394">
          <cell r="D394">
            <v>3806812.65</v>
          </cell>
        </row>
        <row r="395">
          <cell r="D395">
            <v>54634852.950000003</v>
          </cell>
        </row>
        <row r="396">
          <cell r="D396">
            <v>15588162.880000001</v>
          </cell>
        </row>
        <row r="397">
          <cell r="D397">
            <v>7390804.3600000003</v>
          </cell>
        </row>
        <row r="398">
          <cell r="D398">
            <v>2661739.52</v>
          </cell>
        </row>
        <row r="399">
          <cell r="D399">
            <v>105195516.67</v>
          </cell>
        </row>
        <row r="400">
          <cell r="D400">
            <v>637582171.65999997</v>
          </cell>
        </row>
        <row r="401">
          <cell r="D401">
            <v>292667736.18000001</v>
          </cell>
        </row>
        <row r="402">
          <cell r="D402">
            <v>249594631.83000001</v>
          </cell>
        </row>
        <row r="403">
          <cell r="D403">
            <v>35462356</v>
          </cell>
        </row>
        <row r="404">
          <cell r="D404">
            <v>103297750.94</v>
          </cell>
        </row>
        <row r="405">
          <cell r="D405">
            <v>77064106.280000001</v>
          </cell>
        </row>
        <row r="406">
          <cell r="D406">
            <v>158279964.84</v>
          </cell>
        </row>
        <row r="407">
          <cell r="D407">
            <v>139654422.50999999</v>
          </cell>
        </row>
        <row r="408">
          <cell r="D408">
            <v>95845932.950000003</v>
          </cell>
        </row>
        <row r="409">
          <cell r="D409">
            <v>26552626.359999999</v>
          </cell>
        </row>
        <row r="410">
          <cell r="D410">
            <v>416052456.22000003</v>
          </cell>
        </row>
        <row r="411">
          <cell r="D411">
            <v>106577213.5</v>
          </cell>
        </row>
        <row r="412">
          <cell r="D412">
            <v>89358079.719999999</v>
          </cell>
        </row>
        <row r="413">
          <cell r="D413">
            <v>314882.59999999998</v>
          </cell>
        </row>
        <row r="414">
          <cell r="D414">
            <v>29803570.010000002</v>
          </cell>
        </row>
        <row r="415">
          <cell r="D415">
            <v>104255771.55</v>
          </cell>
        </row>
        <row r="416">
          <cell r="D416">
            <v>63232283.939999998</v>
          </cell>
        </row>
        <row r="417">
          <cell r="D417">
            <v>46221825.700000003</v>
          </cell>
        </row>
        <row r="418">
          <cell r="D418">
            <v>5462177.4000000004</v>
          </cell>
        </row>
        <row r="419">
          <cell r="D419">
            <v>17543443.239999998</v>
          </cell>
        </row>
        <row r="420">
          <cell r="D420">
            <v>18054283.66</v>
          </cell>
        </row>
        <row r="421">
          <cell r="D421">
            <v>37367320.909999996</v>
          </cell>
        </row>
        <row r="422">
          <cell r="D422">
            <v>25659094.969999999</v>
          </cell>
        </row>
        <row r="423">
          <cell r="D423">
            <v>22688208.449999999</v>
          </cell>
        </row>
        <row r="424">
          <cell r="D424">
            <v>4445298.53</v>
          </cell>
        </row>
        <row r="425">
          <cell r="D425">
            <v>71849964.799999997</v>
          </cell>
        </row>
        <row r="426">
          <cell r="D426">
            <v>19212588.210000001</v>
          </cell>
        </row>
        <row r="427">
          <cell r="D427">
            <v>15710268.77</v>
          </cell>
        </row>
        <row r="428">
          <cell r="D428">
            <v>0</v>
          </cell>
        </row>
        <row r="429">
          <cell r="D429">
            <v>1466040.78</v>
          </cell>
        </row>
        <row r="430">
          <cell r="D430">
            <v>13316920.99</v>
          </cell>
        </row>
        <row r="431">
          <cell r="D431">
            <v>5146633.45</v>
          </cell>
        </row>
        <row r="432">
          <cell r="D432">
            <v>4152598.72</v>
          </cell>
        </row>
        <row r="433">
          <cell r="D433">
            <v>214004.13</v>
          </cell>
        </row>
        <row r="434">
          <cell r="D434">
            <v>1690200.64</v>
          </cell>
        </row>
        <row r="435">
          <cell r="D435">
            <v>713167.94</v>
          </cell>
        </row>
        <row r="436">
          <cell r="D436">
            <v>2220753.31</v>
          </cell>
        </row>
        <row r="437">
          <cell r="D437">
            <v>3651033.71</v>
          </cell>
        </row>
        <row r="438">
          <cell r="D438">
            <v>2041427.56</v>
          </cell>
        </row>
        <row r="439">
          <cell r="D439">
            <v>778401.89</v>
          </cell>
        </row>
        <row r="440">
          <cell r="D440">
            <v>8240164.4100000001</v>
          </cell>
        </row>
        <row r="441">
          <cell r="D441">
            <v>7892950.5899999999</v>
          </cell>
        </row>
        <row r="442">
          <cell r="D442">
            <v>1466295.52</v>
          </cell>
        </row>
        <row r="443">
          <cell r="D443">
            <v>0</v>
          </cell>
        </row>
        <row r="444">
          <cell r="D444">
            <v>587664.59</v>
          </cell>
        </row>
        <row r="445">
          <cell r="D445">
            <v>13006206.970000001</v>
          </cell>
        </row>
        <row r="446">
          <cell r="D446">
            <v>1292432.57</v>
          </cell>
        </row>
        <row r="447">
          <cell r="D447">
            <v>2271406.71</v>
          </cell>
        </row>
        <row r="448">
          <cell r="D448">
            <v>308029.03999999998</v>
          </cell>
        </row>
        <row r="449">
          <cell r="D449">
            <v>830373.76</v>
          </cell>
        </row>
        <row r="450">
          <cell r="D450">
            <v>254280.52</v>
          </cell>
        </row>
        <row r="451">
          <cell r="D451">
            <v>694686.65</v>
          </cell>
        </row>
        <row r="452">
          <cell r="D452">
            <v>2813577.46</v>
          </cell>
        </row>
        <row r="453">
          <cell r="D453">
            <v>873514.02</v>
          </cell>
        </row>
        <row r="454">
          <cell r="D454">
            <v>293191.05</v>
          </cell>
        </row>
        <row r="455">
          <cell r="D455">
            <v>3728873.99</v>
          </cell>
        </row>
        <row r="456">
          <cell r="D456">
            <v>2411383.6800000002</v>
          </cell>
        </row>
        <row r="457">
          <cell r="D457">
            <v>701138.57</v>
          </cell>
        </row>
        <row r="458">
          <cell r="D458">
            <v>95286.46</v>
          </cell>
        </row>
        <row r="459">
          <cell r="D459">
            <v>152458250.88</v>
          </cell>
        </row>
        <row r="460">
          <cell r="D460">
            <v>1329937278.9400001</v>
          </cell>
        </row>
        <row r="461">
          <cell r="D461">
            <v>506861779.29000002</v>
          </cell>
        </row>
        <row r="462">
          <cell r="D462">
            <v>393111054.58999997</v>
          </cell>
        </row>
        <row r="463">
          <cell r="D463">
            <v>53374870.530000001</v>
          </cell>
        </row>
        <row r="464">
          <cell r="D464">
            <v>162128577.56</v>
          </cell>
        </row>
        <row r="465">
          <cell r="D465">
            <v>102478410.77</v>
          </cell>
        </row>
        <row r="466">
          <cell r="D466">
            <v>214132571.44999999</v>
          </cell>
        </row>
        <row r="467">
          <cell r="D467">
            <v>330770899.81</v>
          </cell>
        </row>
        <row r="468">
          <cell r="D468">
            <v>167656861.34</v>
          </cell>
        </row>
        <row r="469">
          <cell r="D469">
            <v>36827496.729999997</v>
          </cell>
        </row>
        <row r="470">
          <cell r="D470">
            <v>748809925.5</v>
          </cell>
        </row>
        <row r="471">
          <cell r="D471">
            <v>221010695.84</v>
          </cell>
        </row>
        <row r="472">
          <cell r="D472">
            <v>133047392.81999999</v>
          </cell>
        </row>
        <row r="473">
          <cell r="D473">
            <v>62011.24</v>
          </cell>
        </row>
        <row r="474">
          <cell r="D474">
            <v>230427296.41</v>
          </cell>
        </row>
        <row r="475">
          <cell r="D475">
            <v>834952216.25999999</v>
          </cell>
        </row>
        <row r="476">
          <cell r="D476">
            <v>509018358.32999998</v>
          </cell>
        </row>
        <row r="477">
          <cell r="D477">
            <v>404243825.19</v>
          </cell>
        </row>
        <row r="478">
          <cell r="D478">
            <v>72740263.030000001</v>
          </cell>
        </row>
        <row r="479">
          <cell r="D479">
            <v>185350827.21000001</v>
          </cell>
        </row>
        <row r="480">
          <cell r="D480">
            <v>140426248.16</v>
          </cell>
        </row>
        <row r="481">
          <cell r="D481">
            <v>288673353.95999998</v>
          </cell>
        </row>
        <row r="482">
          <cell r="D482">
            <v>287945348.61000001</v>
          </cell>
        </row>
        <row r="483">
          <cell r="D483">
            <v>190926960.38</v>
          </cell>
        </row>
        <row r="484">
          <cell r="D484">
            <v>46851642.700000003</v>
          </cell>
        </row>
        <row r="485">
          <cell r="D485">
            <v>549744697.13</v>
          </cell>
        </row>
        <row r="486">
          <cell r="D486">
            <v>208799319.97</v>
          </cell>
        </row>
        <row r="487">
          <cell r="D487">
            <v>160420435.40000001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_19 fleet_v3"/>
    </sheetNames>
    <sheetDataSet>
      <sheetData sheetId="0">
        <row r="34">
          <cell r="D34">
            <v>112</v>
          </cell>
        </row>
        <row r="35">
          <cell r="D35">
            <v>392</v>
          </cell>
        </row>
        <row r="36">
          <cell r="D36">
            <v>2919</v>
          </cell>
        </row>
        <row r="37">
          <cell r="D37">
            <v>552</v>
          </cell>
        </row>
        <row r="38">
          <cell r="D38">
            <v>782</v>
          </cell>
        </row>
        <row r="39">
          <cell r="D39">
            <v>89</v>
          </cell>
        </row>
        <row r="40">
          <cell r="D40">
            <v>324</v>
          </cell>
        </row>
        <row r="41">
          <cell r="D41">
            <v>121</v>
          </cell>
        </row>
        <row r="42">
          <cell r="D42">
            <v>346</v>
          </cell>
        </row>
        <row r="43">
          <cell r="D43">
            <v>863</v>
          </cell>
        </row>
        <row r="44">
          <cell r="D44">
            <v>275</v>
          </cell>
        </row>
        <row r="45">
          <cell r="D45">
            <v>88</v>
          </cell>
        </row>
        <row r="46">
          <cell r="D46">
            <v>1506</v>
          </cell>
        </row>
        <row r="47">
          <cell r="D47">
            <v>586</v>
          </cell>
        </row>
        <row r="48">
          <cell r="D48">
            <v>324</v>
          </cell>
        </row>
        <row r="49">
          <cell r="D49">
            <v>36</v>
          </cell>
        </row>
        <row r="50">
          <cell r="D50">
            <v>102</v>
          </cell>
        </row>
        <row r="51">
          <cell r="D51">
            <v>330</v>
          </cell>
        </row>
        <row r="52">
          <cell r="D52">
            <v>258</v>
          </cell>
        </row>
        <row r="53">
          <cell r="D53">
            <v>208</v>
          </cell>
        </row>
        <row r="54">
          <cell r="D54">
            <v>35</v>
          </cell>
        </row>
        <row r="55">
          <cell r="D55">
            <v>55</v>
          </cell>
        </row>
        <row r="56">
          <cell r="D56">
            <v>89</v>
          </cell>
        </row>
        <row r="57">
          <cell r="D57">
            <v>128</v>
          </cell>
        </row>
        <row r="58">
          <cell r="D58">
            <v>68</v>
          </cell>
        </row>
        <row r="59">
          <cell r="D59">
            <v>134</v>
          </cell>
        </row>
        <row r="60">
          <cell r="D60">
            <v>28</v>
          </cell>
        </row>
        <row r="61">
          <cell r="D61">
            <v>412</v>
          </cell>
        </row>
        <row r="62">
          <cell r="D62">
            <v>125</v>
          </cell>
        </row>
        <row r="63">
          <cell r="D63">
            <v>93</v>
          </cell>
        </row>
        <row r="64">
          <cell r="D64">
            <v>1</v>
          </cell>
        </row>
        <row r="65">
          <cell r="D65">
            <v>81</v>
          </cell>
        </row>
        <row r="66">
          <cell r="D66">
            <v>1290</v>
          </cell>
        </row>
        <row r="67">
          <cell r="D67">
            <v>150</v>
          </cell>
        </row>
        <row r="68">
          <cell r="D68">
            <v>178</v>
          </cell>
        </row>
        <row r="69">
          <cell r="D69">
            <v>3</v>
          </cell>
        </row>
        <row r="70">
          <cell r="D70">
            <v>70</v>
          </cell>
        </row>
        <row r="71">
          <cell r="D71">
            <v>49</v>
          </cell>
        </row>
        <row r="72">
          <cell r="D72">
            <v>70</v>
          </cell>
        </row>
        <row r="73">
          <cell r="D73">
            <v>281</v>
          </cell>
        </row>
        <row r="74">
          <cell r="D74">
            <v>101</v>
          </cell>
        </row>
        <row r="75">
          <cell r="D75">
            <v>21</v>
          </cell>
        </row>
        <row r="76">
          <cell r="D76">
            <v>424</v>
          </cell>
        </row>
        <row r="77">
          <cell r="D77">
            <v>282</v>
          </cell>
        </row>
        <row r="78">
          <cell r="D78">
            <v>47</v>
          </cell>
        </row>
        <row r="79">
          <cell r="D79">
            <v>1</v>
          </cell>
        </row>
        <row r="80">
          <cell r="D80">
            <v>80</v>
          </cell>
        </row>
        <row r="81">
          <cell r="D81">
            <v>8249</v>
          </cell>
        </row>
        <row r="82">
          <cell r="D82">
            <v>569</v>
          </cell>
        </row>
        <row r="83">
          <cell r="D83">
            <v>390</v>
          </cell>
        </row>
        <row r="84">
          <cell r="D84">
            <v>30</v>
          </cell>
        </row>
        <row r="85">
          <cell r="D85">
            <v>169</v>
          </cell>
        </row>
        <row r="86">
          <cell r="D86">
            <v>49</v>
          </cell>
        </row>
        <row r="87">
          <cell r="D87">
            <v>149</v>
          </cell>
        </row>
        <row r="88">
          <cell r="D88">
            <v>2555</v>
          </cell>
        </row>
        <row r="89">
          <cell r="D89">
            <v>127</v>
          </cell>
        </row>
        <row r="90">
          <cell r="D90">
            <v>16</v>
          </cell>
        </row>
        <row r="91">
          <cell r="D91">
            <v>1897</v>
          </cell>
        </row>
        <row r="92">
          <cell r="D92">
            <v>495</v>
          </cell>
        </row>
        <row r="93">
          <cell r="D93">
            <v>66</v>
          </cell>
        </row>
        <row r="94">
          <cell r="D94">
            <v>258</v>
          </cell>
        </row>
        <row r="95">
          <cell r="D95">
            <v>8126</v>
          </cell>
        </row>
        <row r="96">
          <cell r="D96">
            <v>148569</v>
          </cell>
        </row>
        <row r="97">
          <cell r="D97">
            <v>29606</v>
          </cell>
        </row>
        <row r="98">
          <cell r="D98">
            <v>21146</v>
          </cell>
        </row>
        <row r="99">
          <cell r="D99">
            <v>2091</v>
          </cell>
        </row>
        <row r="100">
          <cell r="D100">
            <v>10203</v>
          </cell>
        </row>
        <row r="101">
          <cell r="D101">
            <v>6205</v>
          </cell>
        </row>
        <row r="102">
          <cell r="D102">
            <v>12935</v>
          </cell>
        </row>
        <row r="103">
          <cell r="D103">
            <v>29835</v>
          </cell>
        </row>
        <row r="104">
          <cell r="D104">
            <v>14594</v>
          </cell>
        </row>
        <row r="105">
          <cell r="D105">
            <v>1836</v>
          </cell>
        </row>
        <row r="106">
          <cell r="D106">
            <v>57429</v>
          </cell>
        </row>
        <row r="107">
          <cell r="D107">
            <v>17978</v>
          </cell>
        </row>
        <row r="108">
          <cell r="D108">
            <v>6020</v>
          </cell>
        </row>
        <row r="110">
          <cell r="D110">
            <v>96782</v>
          </cell>
        </row>
        <row r="111">
          <cell r="D111">
            <v>958498</v>
          </cell>
        </row>
        <row r="112">
          <cell r="D112">
            <v>275093</v>
          </cell>
        </row>
        <row r="113">
          <cell r="D113">
            <v>207834</v>
          </cell>
        </row>
        <row r="114">
          <cell r="D114">
            <v>25564</v>
          </cell>
        </row>
        <row r="115">
          <cell r="D115">
            <v>98377</v>
          </cell>
        </row>
        <row r="116">
          <cell r="D116">
            <v>73913</v>
          </cell>
        </row>
        <row r="117">
          <cell r="D117">
            <v>146161</v>
          </cell>
        </row>
        <row r="118">
          <cell r="D118">
            <v>279811</v>
          </cell>
        </row>
        <row r="119">
          <cell r="D119">
            <v>110997</v>
          </cell>
        </row>
        <row r="120">
          <cell r="D120">
            <v>19211</v>
          </cell>
        </row>
        <row r="121">
          <cell r="D121">
            <v>433402</v>
          </cell>
        </row>
        <row r="122">
          <cell r="D122">
            <v>133799</v>
          </cell>
        </row>
        <row r="123">
          <cell r="D123">
            <v>67864</v>
          </cell>
        </row>
        <row r="124">
          <cell r="D124">
            <v>469</v>
          </cell>
        </row>
        <row r="125">
          <cell r="D125">
            <v>100</v>
          </cell>
        </row>
        <row r="126">
          <cell r="D126">
            <v>1929</v>
          </cell>
        </row>
        <row r="127">
          <cell r="D127">
            <v>463</v>
          </cell>
        </row>
        <row r="128">
          <cell r="D128">
            <v>365</v>
          </cell>
        </row>
        <row r="129">
          <cell r="D129">
            <v>16</v>
          </cell>
        </row>
        <row r="130">
          <cell r="D130">
            <v>122</v>
          </cell>
        </row>
        <row r="131">
          <cell r="D131">
            <v>170</v>
          </cell>
        </row>
        <row r="132">
          <cell r="D132">
            <v>254</v>
          </cell>
        </row>
        <row r="133">
          <cell r="D133">
            <v>653</v>
          </cell>
        </row>
        <row r="134">
          <cell r="D134">
            <v>240</v>
          </cell>
        </row>
        <row r="135">
          <cell r="D135">
            <v>29</v>
          </cell>
        </row>
        <row r="136">
          <cell r="D136">
            <v>850</v>
          </cell>
        </row>
        <row r="137">
          <cell r="D137">
            <v>286</v>
          </cell>
        </row>
        <row r="138">
          <cell r="D138">
            <v>112</v>
          </cell>
        </row>
        <row r="139">
          <cell r="D139">
            <v>8103</v>
          </cell>
        </row>
        <row r="140">
          <cell r="D140">
            <v>5046</v>
          </cell>
        </row>
        <row r="141">
          <cell r="D141">
            <v>39505</v>
          </cell>
        </row>
        <row r="142">
          <cell r="D142">
            <v>15880</v>
          </cell>
        </row>
        <row r="143">
          <cell r="D143">
            <v>13011</v>
          </cell>
        </row>
        <row r="144">
          <cell r="D144">
            <v>1329</v>
          </cell>
        </row>
        <row r="145">
          <cell r="D145">
            <v>5534</v>
          </cell>
        </row>
        <row r="146">
          <cell r="D146">
            <v>5667</v>
          </cell>
        </row>
        <row r="147">
          <cell r="D147">
            <v>9885</v>
          </cell>
        </row>
        <row r="148">
          <cell r="D148">
            <v>18545</v>
          </cell>
        </row>
        <row r="149">
          <cell r="D149">
            <v>9034</v>
          </cell>
        </row>
        <row r="150">
          <cell r="D150">
            <v>1855</v>
          </cell>
        </row>
        <row r="151">
          <cell r="D151">
            <v>26839</v>
          </cell>
        </row>
        <row r="152">
          <cell r="D152">
            <v>8172</v>
          </cell>
        </row>
        <row r="153">
          <cell r="D153">
            <v>4379</v>
          </cell>
        </row>
        <row r="154">
          <cell r="D154">
            <v>105</v>
          </cell>
        </row>
        <row r="155">
          <cell r="D155">
            <v>3407</v>
          </cell>
        </row>
        <row r="156">
          <cell r="D156">
            <v>25258</v>
          </cell>
        </row>
        <row r="157">
          <cell r="D157">
            <v>10018</v>
          </cell>
        </row>
        <row r="158">
          <cell r="D158">
            <v>7395</v>
          </cell>
        </row>
        <row r="159">
          <cell r="D159">
            <v>1128</v>
          </cell>
        </row>
        <row r="160">
          <cell r="D160">
            <v>3561</v>
          </cell>
        </row>
        <row r="161">
          <cell r="D161">
            <v>2618</v>
          </cell>
        </row>
        <row r="162">
          <cell r="D162">
            <v>5661</v>
          </cell>
        </row>
        <row r="163">
          <cell r="D163">
            <v>5690</v>
          </cell>
        </row>
        <row r="164">
          <cell r="D164">
            <v>3565</v>
          </cell>
        </row>
        <row r="165">
          <cell r="D165">
            <v>869</v>
          </cell>
        </row>
        <row r="166">
          <cell r="D166">
            <v>15455</v>
          </cell>
        </row>
        <row r="167">
          <cell r="D167">
            <v>4491</v>
          </cell>
        </row>
        <row r="168">
          <cell r="D168">
            <v>2715</v>
          </cell>
        </row>
        <row r="169">
          <cell r="D169">
            <v>462</v>
          </cell>
        </row>
        <row r="170">
          <cell r="D170">
            <v>3425</v>
          </cell>
        </row>
        <row r="171">
          <cell r="D171">
            <v>9595</v>
          </cell>
        </row>
        <row r="172">
          <cell r="D172">
            <v>7788</v>
          </cell>
        </row>
        <row r="173">
          <cell r="D173">
            <v>5556</v>
          </cell>
        </row>
        <row r="174">
          <cell r="D174">
            <v>866</v>
          </cell>
        </row>
        <row r="175">
          <cell r="D175">
            <v>2516</v>
          </cell>
        </row>
        <row r="176">
          <cell r="D176">
            <v>2202</v>
          </cell>
        </row>
        <row r="177">
          <cell r="D177">
            <v>4583</v>
          </cell>
        </row>
        <row r="178">
          <cell r="D178">
            <v>2993</v>
          </cell>
        </row>
        <row r="179">
          <cell r="D179">
            <v>3664</v>
          </cell>
        </row>
        <row r="180">
          <cell r="D180">
            <v>712</v>
          </cell>
        </row>
        <row r="181">
          <cell r="D181">
            <v>9936</v>
          </cell>
        </row>
        <row r="182">
          <cell r="D182">
            <v>2903</v>
          </cell>
        </row>
        <row r="183">
          <cell r="D183">
            <v>2169</v>
          </cell>
        </row>
        <row r="184">
          <cell r="D184">
            <v>0</v>
          </cell>
        </row>
        <row r="185">
          <cell r="D185">
            <v>61</v>
          </cell>
        </row>
        <row r="186">
          <cell r="D186">
            <v>578</v>
          </cell>
        </row>
        <row r="187">
          <cell r="D187">
            <v>188</v>
          </cell>
        </row>
        <row r="188">
          <cell r="D188">
            <v>203</v>
          </cell>
        </row>
        <row r="189">
          <cell r="D189">
            <v>9</v>
          </cell>
        </row>
        <row r="190">
          <cell r="D190">
            <v>83</v>
          </cell>
        </row>
        <row r="191">
          <cell r="D191">
            <v>43</v>
          </cell>
        </row>
        <row r="192">
          <cell r="D192">
            <v>91</v>
          </cell>
        </row>
        <row r="193">
          <cell r="D193">
            <v>126</v>
          </cell>
        </row>
        <row r="194">
          <cell r="D194">
            <v>99</v>
          </cell>
        </row>
        <row r="195">
          <cell r="D195">
            <v>48</v>
          </cell>
        </row>
        <row r="196">
          <cell r="D196">
            <v>358</v>
          </cell>
        </row>
        <row r="197">
          <cell r="D197">
            <v>325</v>
          </cell>
        </row>
        <row r="198">
          <cell r="D198">
            <v>77</v>
          </cell>
        </row>
        <row r="199">
          <cell r="D199">
            <v>0</v>
          </cell>
        </row>
        <row r="200">
          <cell r="D200">
            <v>22</v>
          </cell>
        </row>
        <row r="201">
          <cell r="D201">
            <v>355</v>
          </cell>
        </row>
        <row r="202">
          <cell r="D202">
            <v>47</v>
          </cell>
        </row>
        <row r="203">
          <cell r="D203">
            <v>68</v>
          </cell>
        </row>
        <row r="204">
          <cell r="D204">
            <v>18</v>
          </cell>
        </row>
        <row r="205">
          <cell r="D205">
            <v>30</v>
          </cell>
        </row>
        <row r="206">
          <cell r="D206">
            <v>7</v>
          </cell>
        </row>
        <row r="207">
          <cell r="D207">
            <v>29</v>
          </cell>
        </row>
        <row r="208">
          <cell r="D208">
            <v>59</v>
          </cell>
        </row>
        <row r="209">
          <cell r="D209">
            <v>45</v>
          </cell>
        </row>
        <row r="210">
          <cell r="D210">
            <v>13</v>
          </cell>
        </row>
        <row r="211">
          <cell r="D211">
            <v>142</v>
          </cell>
        </row>
        <row r="212">
          <cell r="D212">
            <v>95</v>
          </cell>
        </row>
        <row r="213">
          <cell r="D213">
            <v>24</v>
          </cell>
        </row>
        <row r="214">
          <cell r="D214">
            <v>134</v>
          </cell>
        </row>
        <row r="215">
          <cell r="D215">
            <v>8523</v>
          </cell>
        </row>
        <row r="216">
          <cell r="D216">
            <v>77700</v>
          </cell>
        </row>
        <row r="217">
          <cell r="D217">
            <v>28003</v>
          </cell>
        </row>
        <row r="218">
          <cell r="D218">
            <v>21821</v>
          </cell>
        </row>
        <row r="219">
          <cell r="D219">
            <v>3008</v>
          </cell>
        </row>
        <row r="220">
          <cell r="D220">
            <v>9829</v>
          </cell>
        </row>
        <row r="221">
          <cell r="D221">
            <v>6162</v>
          </cell>
        </row>
        <row r="222">
          <cell r="D222">
            <v>12166</v>
          </cell>
        </row>
        <row r="223">
          <cell r="D223">
            <v>19841</v>
          </cell>
        </row>
        <row r="224">
          <cell r="D224">
            <v>10794</v>
          </cell>
        </row>
        <row r="225">
          <cell r="D225">
            <v>2083</v>
          </cell>
        </row>
        <row r="226">
          <cell r="D226">
            <v>41614</v>
          </cell>
        </row>
        <row r="227">
          <cell r="D227">
            <v>13239</v>
          </cell>
        </row>
        <row r="228">
          <cell r="D228">
            <v>7431</v>
          </cell>
        </row>
        <row r="230">
          <cell r="D230">
            <v>20665</v>
          </cell>
        </row>
        <row r="231">
          <cell r="D231">
            <v>71666</v>
          </cell>
        </row>
        <row r="232">
          <cell r="D232">
            <v>43756</v>
          </cell>
        </row>
        <row r="233">
          <cell r="D233">
            <v>36719</v>
          </cell>
        </row>
        <row r="234">
          <cell r="D234">
            <v>6745</v>
          </cell>
        </row>
        <row r="235">
          <cell r="D235">
            <v>17595</v>
          </cell>
        </row>
        <row r="236">
          <cell r="D236">
            <v>13025</v>
          </cell>
        </row>
        <row r="237">
          <cell r="D237">
            <v>26791</v>
          </cell>
        </row>
        <row r="238">
          <cell r="D238">
            <v>27316</v>
          </cell>
        </row>
        <row r="239">
          <cell r="D239">
            <v>20133</v>
          </cell>
        </row>
        <row r="240">
          <cell r="D240">
            <v>4733</v>
          </cell>
        </row>
        <row r="241">
          <cell r="D241">
            <v>52724</v>
          </cell>
        </row>
        <row r="242">
          <cell r="D242">
            <v>20622</v>
          </cell>
        </row>
        <row r="243">
          <cell r="D243">
            <v>14538</v>
          </cell>
        </row>
        <row r="278">
          <cell r="D278">
            <v>3996738.44</v>
          </cell>
        </row>
        <row r="279">
          <cell r="D279">
            <v>8780870.5500000007</v>
          </cell>
        </row>
        <row r="280">
          <cell r="D280">
            <v>118688676.58</v>
          </cell>
        </row>
        <row r="281">
          <cell r="D281">
            <v>14753172.1</v>
          </cell>
        </row>
        <row r="282">
          <cell r="D282">
            <v>18788975.199999999</v>
          </cell>
        </row>
        <row r="283">
          <cell r="D283">
            <v>1327714.6000000001</v>
          </cell>
        </row>
        <row r="284">
          <cell r="D284">
            <v>5132042.92</v>
          </cell>
        </row>
        <row r="285">
          <cell r="D285">
            <v>2499291.36</v>
          </cell>
        </row>
        <row r="286">
          <cell r="D286">
            <v>7961951.4299999997</v>
          </cell>
        </row>
        <row r="287">
          <cell r="D287">
            <v>27363957.530000001</v>
          </cell>
        </row>
        <row r="288">
          <cell r="D288">
            <v>5838727.2400000002</v>
          </cell>
        </row>
        <row r="289">
          <cell r="D289">
            <v>1513259.72</v>
          </cell>
        </row>
        <row r="290">
          <cell r="D290">
            <v>54372826.479999997</v>
          </cell>
        </row>
        <row r="291">
          <cell r="D291">
            <v>19625950.739999998</v>
          </cell>
        </row>
        <row r="292">
          <cell r="D292">
            <v>6624761.6500000004</v>
          </cell>
        </row>
        <row r="293">
          <cell r="D293">
            <v>14839.66</v>
          </cell>
        </row>
        <row r="294">
          <cell r="D294">
            <v>1092332.71</v>
          </cell>
        </row>
        <row r="295">
          <cell r="D295">
            <v>4448974.8099999996</v>
          </cell>
        </row>
        <row r="296">
          <cell r="D296">
            <v>2850832.43</v>
          </cell>
        </row>
        <row r="297">
          <cell r="D297">
            <v>2258876.5499999998</v>
          </cell>
        </row>
        <row r="298">
          <cell r="D298">
            <v>479081.23</v>
          </cell>
        </row>
        <row r="299">
          <cell r="D299">
            <v>414773.01</v>
          </cell>
        </row>
        <row r="300">
          <cell r="D300">
            <v>1179789.3799999999</v>
          </cell>
        </row>
        <row r="301">
          <cell r="D301">
            <v>1420969.12</v>
          </cell>
        </row>
        <row r="302">
          <cell r="D302">
            <v>455466.45</v>
          </cell>
        </row>
        <row r="303">
          <cell r="D303">
            <v>1347785.69</v>
          </cell>
        </row>
        <row r="304">
          <cell r="D304">
            <v>190971.34</v>
          </cell>
        </row>
        <row r="305">
          <cell r="D305">
            <v>4627174.3</v>
          </cell>
        </row>
        <row r="306">
          <cell r="D306">
            <v>1278432.72</v>
          </cell>
        </row>
        <row r="307">
          <cell r="D307">
            <v>980414.28</v>
          </cell>
        </row>
        <row r="308">
          <cell r="D308">
            <v>0</v>
          </cell>
        </row>
        <row r="309">
          <cell r="D309">
            <v>2638076.2400000002</v>
          </cell>
        </row>
        <row r="310">
          <cell r="D310">
            <v>39854640.630000003</v>
          </cell>
        </row>
        <row r="311">
          <cell r="D311">
            <v>3772338.07</v>
          </cell>
        </row>
        <row r="312">
          <cell r="D312">
            <v>3956023.97</v>
          </cell>
        </row>
        <row r="313">
          <cell r="D313">
            <v>41901.089999999997</v>
          </cell>
        </row>
        <row r="314">
          <cell r="D314">
            <v>1576483.75</v>
          </cell>
        </row>
        <row r="315">
          <cell r="D315">
            <v>1953148.16</v>
          </cell>
        </row>
        <row r="316">
          <cell r="D316">
            <v>1801243.52</v>
          </cell>
        </row>
        <row r="317">
          <cell r="D317">
            <v>7289914.8399999999</v>
          </cell>
        </row>
        <row r="318">
          <cell r="D318">
            <v>1684732.64</v>
          </cell>
        </row>
        <row r="319">
          <cell r="D319">
            <v>453808.73</v>
          </cell>
        </row>
        <row r="320">
          <cell r="D320">
            <v>9384414.1699999999</v>
          </cell>
        </row>
        <row r="321">
          <cell r="D321">
            <v>6768359.4699999997</v>
          </cell>
        </row>
        <row r="322">
          <cell r="D322">
            <v>881047.96</v>
          </cell>
        </row>
        <row r="323">
          <cell r="D323">
            <v>0</v>
          </cell>
        </row>
        <row r="324">
          <cell r="D324">
            <v>2271471.86</v>
          </cell>
        </row>
        <row r="325">
          <cell r="D325">
            <v>276764775.16000003</v>
          </cell>
        </row>
        <row r="326">
          <cell r="D326">
            <v>14914144.279999999</v>
          </cell>
        </row>
        <row r="327">
          <cell r="D327">
            <v>11736189.09</v>
          </cell>
        </row>
        <row r="328">
          <cell r="D328">
            <v>922755.51</v>
          </cell>
        </row>
        <row r="329">
          <cell r="D329">
            <v>5671159.5700000003</v>
          </cell>
        </row>
        <row r="330">
          <cell r="D330">
            <v>1882867.35</v>
          </cell>
        </row>
        <row r="331">
          <cell r="D331">
            <v>4750568.3899999997</v>
          </cell>
        </row>
        <row r="332">
          <cell r="D332">
            <v>84279188.510000005</v>
          </cell>
        </row>
        <row r="333">
          <cell r="D333">
            <v>3629516.38</v>
          </cell>
        </row>
        <row r="334">
          <cell r="D334">
            <v>489710.83</v>
          </cell>
        </row>
        <row r="335">
          <cell r="D335">
            <v>48118927.920000002</v>
          </cell>
        </row>
        <row r="336">
          <cell r="D336">
            <v>14161147.619999999</v>
          </cell>
        </row>
        <row r="337">
          <cell r="D337">
            <v>2049222.54</v>
          </cell>
        </row>
        <row r="338">
          <cell r="D338">
            <v>7759178.8200000003</v>
          </cell>
        </row>
        <row r="339">
          <cell r="D339">
            <v>130805051.53</v>
          </cell>
        </row>
        <row r="340">
          <cell r="D340">
            <v>2218292543</v>
          </cell>
        </row>
        <row r="341">
          <cell r="D341">
            <v>480824051.64999998</v>
          </cell>
        </row>
        <row r="342">
          <cell r="D342">
            <v>335414212.51999998</v>
          </cell>
        </row>
        <row r="343">
          <cell r="D343">
            <v>28792223.309999999</v>
          </cell>
        </row>
        <row r="344">
          <cell r="D344">
            <v>145736206.06</v>
          </cell>
        </row>
        <row r="345">
          <cell r="D345">
            <v>89427178.060000002</v>
          </cell>
        </row>
        <row r="346">
          <cell r="D346">
            <v>194244035.91</v>
          </cell>
        </row>
        <row r="347">
          <cell r="D347">
            <v>432686312.68000001</v>
          </cell>
        </row>
        <row r="348">
          <cell r="D348">
            <v>199972730.72</v>
          </cell>
        </row>
        <row r="349">
          <cell r="D349">
            <v>32075285.66</v>
          </cell>
        </row>
        <row r="350">
          <cell r="D350">
            <v>949585993.25999999</v>
          </cell>
        </row>
        <row r="351">
          <cell r="D351">
            <v>311597309.89999998</v>
          </cell>
        </row>
        <row r="352">
          <cell r="D352">
            <v>94881885.939999998</v>
          </cell>
        </row>
        <row r="353">
          <cell r="D353">
            <v>253863.48</v>
          </cell>
        </row>
        <row r="354">
          <cell r="D354">
            <v>1058655536.86</v>
          </cell>
        </row>
        <row r="355">
          <cell r="D355">
            <v>9694781476.6599998</v>
          </cell>
        </row>
        <row r="356">
          <cell r="D356">
            <v>3089224237.8099999</v>
          </cell>
        </row>
        <row r="357">
          <cell r="D357">
            <v>2251636093</v>
          </cell>
        </row>
        <row r="358">
          <cell r="D358">
            <v>238440086.97999999</v>
          </cell>
        </row>
        <row r="359">
          <cell r="D359">
            <v>987411128.86000001</v>
          </cell>
        </row>
        <row r="360">
          <cell r="D360">
            <v>750428619.97000003</v>
          </cell>
        </row>
        <row r="361">
          <cell r="D361">
            <v>1462109308.5699999</v>
          </cell>
        </row>
        <row r="362">
          <cell r="D362">
            <v>2780444656.5</v>
          </cell>
        </row>
        <row r="363">
          <cell r="D363">
            <v>962074252.37</v>
          </cell>
        </row>
        <row r="364">
          <cell r="D364">
            <v>187416395.74000001</v>
          </cell>
        </row>
        <row r="365">
          <cell r="D365">
            <v>4062301667.02</v>
          </cell>
        </row>
        <row r="366">
          <cell r="D366">
            <v>1243107077.55</v>
          </cell>
        </row>
        <row r="367">
          <cell r="D367">
            <v>649123954.14999998</v>
          </cell>
        </row>
        <row r="368">
          <cell r="D368">
            <v>3842433.41</v>
          </cell>
        </row>
        <row r="369">
          <cell r="D369">
            <v>377793.63</v>
          </cell>
        </row>
        <row r="370">
          <cell r="D370">
            <v>8209197.21</v>
          </cell>
        </row>
        <row r="371">
          <cell r="D371">
            <v>1586314.4</v>
          </cell>
        </row>
        <row r="372">
          <cell r="D372">
            <v>1252221.6499999999</v>
          </cell>
        </row>
        <row r="373">
          <cell r="D373">
            <v>49331.74</v>
          </cell>
        </row>
        <row r="374">
          <cell r="D374">
            <v>312466.38</v>
          </cell>
        </row>
        <row r="375">
          <cell r="D375">
            <v>623263.32999999996</v>
          </cell>
        </row>
        <row r="376">
          <cell r="D376">
            <v>911829.85</v>
          </cell>
        </row>
        <row r="377">
          <cell r="D377">
            <v>2253968.0099999998</v>
          </cell>
        </row>
        <row r="378">
          <cell r="D378">
            <v>624301.22</v>
          </cell>
        </row>
        <row r="379">
          <cell r="D379">
            <v>76909.8</v>
          </cell>
        </row>
        <row r="380">
          <cell r="D380">
            <v>5451124.7599999998</v>
          </cell>
        </row>
        <row r="381">
          <cell r="D381">
            <v>889218.86</v>
          </cell>
        </row>
        <row r="382">
          <cell r="D382">
            <v>211027.46</v>
          </cell>
        </row>
        <row r="383">
          <cell r="D383">
            <v>19847306.52</v>
          </cell>
        </row>
        <row r="384">
          <cell r="D384">
            <v>12109151.17</v>
          </cell>
        </row>
        <row r="385">
          <cell r="D385">
            <v>101318694.06</v>
          </cell>
        </row>
        <row r="386">
          <cell r="D386">
            <v>38437286.770000003</v>
          </cell>
        </row>
        <row r="387">
          <cell r="D387">
            <v>32215938.510000002</v>
          </cell>
        </row>
        <row r="388">
          <cell r="D388">
            <v>2746205.78</v>
          </cell>
        </row>
        <row r="389">
          <cell r="D389">
            <v>12666906.550000001</v>
          </cell>
        </row>
        <row r="390">
          <cell r="D390">
            <v>11656469.130000001</v>
          </cell>
        </row>
        <row r="391">
          <cell r="D391">
            <v>23009948.25</v>
          </cell>
        </row>
        <row r="392">
          <cell r="D392">
            <v>46153769.920000002</v>
          </cell>
        </row>
        <row r="393">
          <cell r="D393">
            <v>19657755.469999999</v>
          </cell>
        </row>
        <row r="394">
          <cell r="D394">
            <v>3795615.11</v>
          </cell>
        </row>
        <row r="395">
          <cell r="D395">
            <v>53573255.770000003</v>
          </cell>
        </row>
        <row r="396">
          <cell r="D396">
            <v>15563324.699999999</v>
          </cell>
        </row>
        <row r="397">
          <cell r="D397">
            <v>7288201.9699999997</v>
          </cell>
        </row>
        <row r="398">
          <cell r="D398">
            <v>3211508.33</v>
          </cell>
        </row>
        <row r="399">
          <cell r="D399">
            <v>107022652.02</v>
          </cell>
        </row>
        <row r="400">
          <cell r="D400">
            <v>660146601.45000005</v>
          </cell>
        </row>
        <row r="401">
          <cell r="D401">
            <v>298914297.68000001</v>
          </cell>
        </row>
        <row r="402">
          <cell r="D402">
            <v>258831971.68000001</v>
          </cell>
        </row>
        <row r="403">
          <cell r="D403">
            <v>36354293.689999998</v>
          </cell>
        </row>
        <row r="404">
          <cell r="D404">
            <v>104980352.51000001</v>
          </cell>
        </row>
        <row r="405">
          <cell r="D405">
            <v>78582948.890000001</v>
          </cell>
        </row>
        <row r="406">
          <cell r="D406">
            <v>170722162.58000001</v>
          </cell>
        </row>
        <row r="407">
          <cell r="D407">
            <v>142912068.11000001</v>
          </cell>
        </row>
        <row r="408">
          <cell r="D408">
            <v>93029770.459999993</v>
          </cell>
        </row>
        <row r="409">
          <cell r="D409">
            <v>28237290.620000001</v>
          </cell>
        </row>
        <row r="410">
          <cell r="D410">
            <v>406819257.80000001</v>
          </cell>
        </row>
        <row r="411">
          <cell r="D411">
            <v>110925401.09999999</v>
          </cell>
        </row>
        <row r="412">
          <cell r="D412">
            <v>91681137.810000002</v>
          </cell>
        </row>
        <row r="413">
          <cell r="D413">
            <v>477656.63</v>
          </cell>
        </row>
        <row r="414">
          <cell r="D414">
            <v>30671356.93</v>
          </cell>
        </row>
        <row r="415">
          <cell r="D415">
            <v>102008044.19</v>
          </cell>
        </row>
        <row r="416">
          <cell r="D416">
            <v>61878503.390000001</v>
          </cell>
        </row>
        <row r="417">
          <cell r="D417">
            <v>46328814.659999996</v>
          </cell>
        </row>
        <row r="418">
          <cell r="D418">
            <v>7108881.3700000001</v>
          </cell>
        </row>
        <row r="419">
          <cell r="D419">
            <v>18637212.629999999</v>
          </cell>
        </row>
        <row r="420">
          <cell r="D420">
            <v>18315564.800000001</v>
          </cell>
        </row>
        <row r="421">
          <cell r="D421">
            <v>39352993.829999998</v>
          </cell>
        </row>
        <row r="422">
          <cell r="D422">
            <v>25539667.510000002</v>
          </cell>
        </row>
        <row r="423">
          <cell r="D423">
            <v>23214133.710000001</v>
          </cell>
        </row>
        <row r="424">
          <cell r="D424">
            <v>3975454.43</v>
          </cell>
        </row>
        <row r="425">
          <cell r="D425">
            <v>71247527.269999996</v>
          </cell>
        </row>
        <row r="426">
          <cell r="D426">
            <v>19938297.640000001</v>
          </cell>
        </row>
        <row r="427">
          <cell r="D427">
            <v>16130524.970000001</v>
          </cell>
        </row>
        <row r="428">
          <cell r="D428">
            <v>0</v>
          </cell>
        </row>
        <row r="429">
          <cell r="D429">
            <v>1381662.54</v>
          </cell>
        </row>
        <row r="430">
          <cell r="D430">
            <v>15365590.630000001</v>
          </cell>
        </row>
        <row r="431">
          <cell r="D431">
            <v>5164975.92</v>
          </cell>
        </row>
        <row r="432">
          <cell r="D432">
            <v>4819784.63</v>
          </cell>
        </row>
        <row r="433">
          <cell r="D433">
            <v>206605.01</v>
          </cell>
        </row>
        <row r="434">
          <cell r="D434">
            <v>1614603.77</v>
          </cell>
        </row>
        <row r="435">
          <cell r="D435">
            <v>801473.47</v>
          </cell>
        </row>
        <row r="436">
          <cell r="D436">
            <v>2172053.64</v>
          </cell>
        </row>
        <row r="437">
          <cell r="D437">
            <v>4088845.3</v>
          </cell>
        </row>
        <row r="438">
          <cell r="D438">
            <v>2200140.1</v>
          </cell>
        </row>
        <row r="439">
          <cell r="D439">
            <v>761889.26</v>
          </cell>
        </row>
        <row r="440">
          <cell r="D440">
            <v>8629176.0399999991</v>
          </cell>
        </row>
        <row r="441">
          <cell r="D441">
            <v>7760640.3200000003</v>
          </cell>
        </row>
        <row r="442">
          <cell r="D442">
            <v>1458729.7</v>
          </cell>
        </row>
        <row r="443">
          <cell r="D443">
            <v>0</v>
          </cell>
        </row>
        <row r="444">
          <cell r="D444">
            <v>509066.52</v>
          </cell>
        </row>
        <row r="445">
          <cell r="D445">
            <v>12373286.390000001</v>
          </cell>
        </row>
        <row r="446">
          <cell r="D446">
            <v>1186202.3</v>
          </cell>
        </row>
        <row r="447">
          <cell r="D447">
            <v>2278708.23</v>
          </cell>
        </row>
        <row r="448">
          <cell r="D448">
            <v>348293.16</v>
          </cell>
        </row>
        <row r="449">
          <cell r="D449">
            <v>797935.86</v>
          </cell>
        </row>
        <row r="450">
          <cell r="D450">
            <v>219207.94</v>
          </cell>
        </row>
        <row r="451">
          <cell r="D451">
            <v>692784.9</v>
          </cell>
        </row>
        <row r="452">
          <cell r="D452">
            <v>2316680.7999999998</v>
          </cell>
        </row>
        <row r="453">
          <cell r="D453">
            <v>913386.82</v>
          </cell>
        </row>
        <row r="454">
          <cell r="D454">
            <v>456757.8</v>
          </cell>
        </row>
        <row r="455">
          <cell r="D455">
            <v>3724345.49</v>
          </cell>
        </row>
        <row r="456">
          <cell r="D456">
            <v>2285708.0699999998</v>
          </cell>
        </row>
        <row r="457">
          <cell r="D457">
            <v>640342.14</v>
          </cell>
        </row>
        <row r="458">
          <cell r="D458">
            <v>4543443.28</v>
          </cell>
        </row>
        <row r="459">
          <cell r="D459">
            <v>163805036.90000001</v>
          </cell>
        </row>
        <row r="460">
          <cell r="D460">
            <v>1407103823.2</v>
          </cell>
        </row>
        <row r="461">
          <cell r="D461">
            <v>545291721.11000001</v>
          </cell>
        </row>
        <row r="462">
          <cell r="D462">
            <v>417129519.94999999</v>
          </cell>
        </row>
        <row r="463">
          <cell r="D463">
            <v>55171791.229999997</v>
          </cell>
        </row>
        <row r="464">
          <cell r="D464">
            <v>173632725.41999999</v>
          </cell>
        </row>
        <row r="465">
          <cell r="D465">
            <v>107748888.51000001</v>
          </cell>
        </row>
        <row r="466">
          <cell r="D466">
            <v>222010512.75999999</v>
          </cell>
        </row>
        <row r="467">
          <cell r="D467">
            <v>354660575.81999999</v>
          </cell>
        </row>
        <row r="468">
          <cell r="D468">
            <v>175540116.41999999</v>
          </cell>
        </row>
        <row r="469">
          <cell r="D469">
            <v>37792771.020000003</v>
          </cell>
        </row>
        <row r="470">
          <cell r="D470">
            <v>767953290.10000002</v>
          </cell>
        </row>
        <row r="471">
          <cell r="D471">
            <v>238571451.28</v>
          </cell>
        </row>
        <row r="472">
          <cell r="D472">
            <v>140220814.49000001</v>
          </cell>
        </row>
        <row r="473">
          <cell r="D473">
            <v>85824.39</v>
          </cell>
        </row>
        <row r="474">
          <cell r="D474">
            <v>248998458.25</v>
          </cell>
        </row>
        <row r="475">
          <cell r="D475">
            <v>900192430.22000003</v>
          </cell>
        </row>
        <row r="476">
          <cell r="D476">
            <v>547455927.76999998</v>
          </cell>
        </row>
        <row r="477">
          <cell r="D477">
            <v>446169854.10000002</v>
          </cell>
        </row>
        <row r="478">
          <cell r="D478">
            <v>78381573.700000003</v>
          </cell>
        </row>
        <row r="479">
          <cell r="D479">
            <v>202240920.09999999</v>
          </cell>
        </row>
        <row r="480">
          <cell r="D480">
            <v>148928978.30000001</v>
          </cell>
        </row>
        <row r="481">
          <cell r="D481">
            <v>309930987.63999999</v>
          </cell>
        </row>
        <row r="482">
          <cell r="D482">
            <v>317477755.14999998</v>
          </cell>
        </row>
        <row r="483">
          <cell r="D483">
            <v>204160109.75999999</v>
          </cell>
        </row>
        <row r="484">
          <cell r="D484">
            <v>48373710.439999998</v>
          </cell>
        </row>
        <row r="485">
          <cell r="D485">
            <v>585024671.77999997</v>
          </cell>
        </row>
        <row r="486">
          <cell r="D486">
            <v>226454047.99000001</v>
          </cell>
        </row>
        <row r="487">
          <cell r="D487">
            <v>167902078.53999999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Zealand Total"/>
      <sheetName val="Northland"/>
      <sheetName val="Auckland"/>
      <sheetName val="Waikato"/>
      <sheetName val="Bay of Plenty"/>
      <sheetName val="Gisborne"/>
      <sheetName val="Hawke's Bay"/>
      <sheetName val="Taranaki"/>
      <sheetName val="Manawatu"/>
      <sheetName val="Wellington"/>
      <sheetName val="TMN"/>
      <sheetName val="West Coast"/>
      <sheetName val="Canterbury"/>
      <sheetName val="Otago"/>
      <sheetName val="Southland"/>
      <sheetName val="Regional Summary"/>
    </sheetNames>
    <sheetDataSet>
      <sheetData sheetId="0"/>
      <sheetData sheetId="1">
        <row r="8">
          <cell r="I8">
            <v>1671647290</v>
          </cell>
          <cell r="J8">
            <v>1732273620</v>
          </cell>
          <cell r="K8">
            <v>1754501466</v>
          </cell>
          <cell r="L8">
            <v>1780826720</v>
          </cell>
        </row>
      </sheetData>
      <sheetData sheetId="2">
        <row r="8">
          <cell r="I8">
            <v>12716727027</v>
          </cell>
          <cell r="J8">
            <v>12690381682</v>
          </cell>
          <cell r="K8">
            <v>12651418256</v>
          </cell>
          <cell r="L8">
            <v>12626203601</v>
          </cell>
        </row>
      </sheetData>
      <sheetData sheetId="3">
        <row r="8">
          <cell r="I8">
            <v>5330097913</v>
          </cell>
          <cell r="J8">
            <v>5214845498</v>
          </cell>
          <cell r="K8">
            <v>5341811060</v>
          </cell>
          <cell r="L8">
            <v>5470126769</v>
          </cell>
        </row>
      </sheetData>
      <sheetData sheetId="4">
        <row r="8">
          <cell r="I8">
            <v>2713309750</v>
          </cell>
          <cell r="J8">
            <v>2775961366</v>
          </cell>
          <cell r="K8">
            <v>2737305606</v>
          </cell>
          <cell r="L8">
            <v>2758485376</v>
          </cell>
        </row>
      </sheetData>
      <sheetData sheetId="5">
        <row r="8">
          <cell r="I8">
            <v>389394415</v>
          </cell>
          <cell r="J8">
            <v>390232432</v>
          </cell>
          <cell r="K8">
            <v>400717300</v>
          </cell>
          <cell r="L8">
            <v>399923920</v>
          </cell>
        </row>
      </sheetData>
      <sheetData sheetId="6">
        <row r="8">
          <cell r="I8">
            <v>1473708149</v>
          </cell>
          <cell r="J8">
            <v>1450292863</v>
          </cell>
          <cell r="K8">
            <v>1488177907</v>
          </cell>
          <cell r="L8">
            <v>1516034191</v>
          </cell>
        </row>
      </sheetData>
      <sheetData sheetId="7">
        <row r="8">
          <cell r="I8">
            <v>1036331293</v>
          </cell>
          <cell r="J8">
            <v>1051209196</v>
          </cell>
          <cell r="K8">
            <v>1073475032</v>
          </cell>
          <cell r="L8">
            <v>1082715829</v>
          </cell>
        </row>
      </sheetData>
      <sheetData sheetId="8">
        <row r="8">
          <cell r="I8">
            <v>2404273936</v>
          </cell>
          <cell r="J8">
            <v>2403302425</v>
          </cell>
          <cell r="K8">
            <v>2407590934</v>
          </cell>
          <cell r="L8">
            <v>2461335251</v>
          </cell>
        </row>
      </sheetData>
      <sheetData sheetId="9">
        <row r="8">
          <cell r="I8">
            <v>3506928468</v>
          </cell>
          <cell r="J8">
            <v>3522370423</v>
          </cell>
          <cell r="K8">
            <v>3708289323</v>
          </cell>
          <cell r="L8">
            <v>3526817767</v>
          </cell>
        </row>
      </sheetData>
      <sheetData sheetId="10">
        <row r="8">
          <cell r="I8">
            <v>1315502670</v>
          </cell>
          <cell r="J8">
            <v>1318822028</v>
          </cell>
          <cell r="K8">
            <v>1235117266</v>
          </cell>
          <cell r="L8">
            <v>1394458697</v>
          </cell>
        </row>
      </sheetData>
      <sheetData sheetId="11">
        <row r="8">
          <cell r="I8">
            <v>506199251</v>
          </cell>
          <cell r="J8">
            <v>499078882</v>
          </cell>
          <cell r="K8">
            <v>525576055</v>
          </cell>
          <cell r="L8">
            <v>535009307</v>
          </cell>
        </row>
      </sheetData>
      <sheetData sheetId="12">
        <row r="8">
          <cell r="I8">
            <v>5470683357</v>
          </cell>
          <cell r="J8">
            <v>5679327968</v>
          </cell>
          <cell r="K8">
            <v>5839352447</v>
          </cell>
          <cell r="L8">
            <v>6009728723</v>
          </cell>
        </row>
      </sheetData>
      <sheetData sheetId="13">
        <row r="8">
          <cell r="I8">
            <v>2195422671</v>
          </cell>
          <cell r="J8">
            <v>2238550028</v>
          </cell>
          <cell r="K8">
            <v>2275743583</v>
          </cell>
          <cell r="L8">
            <v>2304976445</v>
          </cell>
        </row>
      </sheetData>
      <sheetData sheetId="14">
        <row r="8">
          <cell r="I8">
            <v>1133115471</v>
          </cell>
          <cell r="J8">
            <v>1146437773</v>
          </cell>
          <cell r="K8">
            <v>1091082811</v>
          </cell>
          <cell r="L8">
            <v>1191649550</v>
          </cell>
        </row>
      </sheetData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"/>
      <sheetName val="Vehicle Class"/>
      <sheetName val="SHLR"/>
      <sheetName val="RU"/>
      <sheetName val="RegionTotal"/>
      <sheetName val="NZ summary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Auckland</v>
          </cell>
          <cell r="C2">
            <v>13323239887</v>
          </cell>
          <cell r="D2">
            <v>13020416205</v>
          </cell>
          <cell r="E2">
            <v>13690398865</v>
          </cell>
        </row>
        <row r="3">
          <cell r="B3" t="str">
            <v>Bay of Plenty</v>
          </cell>
          <cell r="C3">
            <v>3057645084</v>
          </cell>
          <cell r="D3">
            <v>3090815638</v>
          </cell>
          <cell r="E3">
            <v>3144728223</v>
          </cell>
        </row>
        <row r="4">
          <cell r="B4" t="str">
            <v>Canterbury</v>
          </cell>
          <cell r="C4">
            <v>6135470725</v>
          </cell>
          <cell r="D4">
            <v>6423501713</v>
          </cell>
          <cell r="E4">
            <v>6500827131</v>
          </cell>
        </row>
        <row r="5">
          <cell r="B5" t="str">
            <v>Gisborne</v>
          </cell>
          <cell r="C5">
            <v>400110220</v>
          </cell>
          <cell r="D5">
            <v>404502635</v>
          </cell>
          <cell r="E5">
            <v>413360723</v>
          </cell>
        </row>
        <row r="6">
          <cell r="B6" t="str">
            <v>Hawke’s Bay</v>
          </cell>
          <cell r="C6">
            <v>1589882920</v>
          </cell>
          <cell r="D6">
            <v>1614930536</v>
          </cell>
          <cell r="E6">
            <v>1680327280</v>
          </cell>
        </row>
        <row r="7">
          <cell r="B7" t="str">
            <v>Manawatu</v>
          </cell>
          <cell r="C7">
            <v>2522721651</v>
          </cell>
          <cell r="D7">
            <v>2531271233</v>
          </cell>
          <cell r="E7">
            <v>2598675545</v>
          </cell>
        </row>
        <row r="8">
          <cell r="B8" t="str">
            <v>TNM</v>
          </cell>
          <cell r="C8">
            <v>1468714477</v>
          </cell>
          <cell r="D8">
            <v>1552420410</v>
          </cell>
          <cell r="E8">
            <v>1522915597</v>
          </cell>
        </row>
        <row r="9">
          <cell r="B9" t="str">
            <v>Northland</v>
          </cell>
          <cell r="C9">
            <v>1819024283</v>
          </cell>
          <cell r="D9">
            <v>1987255403</v>
          </cell>
          <cell r="E9">
            <v>2051937995</v>
          </cell>
        </row>
        <row r="10">
          <cell r="B10" t="str">
            <v>Otago</v>
          </cell>
          <cell r="C10">
            <v>2434780107</v>
          </cell>
          <cell r="D10">
            <v>2634490708</v>
          </cell>
          <cell r="E10">
            <v>2721430608</v>
          </cell>
        </row>
        <row r="11">
          <cell r="B11" t="str">
            <v>Southland</v>
          </cell>
          <cell r="C11">
            <v>1229738023</v>
          </cell>
          <cell r="D11">
            <v>1260818897</v>
          </cell>
          <cell r="E11">
            <v>1386844116</v>
          </cell>
        </row>
        <row r="12">
          <cell r="B12" t="str">
            <v>Taranaki</v>
          </cell>
          <cell r="C12">
            <v>1121322802</v>
          </cell>
          <cell r="D12">
            <v>1149626746</v>
          </cell>
          <cell r="E12">
            <v>1112377435</v>
          </cell>
        </row>
        <row r="13">
          <cell r="B13" t="str">
            <v>Waikato</v>
          </cell>
          <cell r="C13">
            <v>5796262642</v>
          </cell>
          <cell r="D13">
            <v>6197564852</v>
          </cell>
          <cell r="E13">
            <v>6342839737</v>
          </cell>
        </row>
        <row r="14">
          <cell r="B14" t="str">
            <v>Wellington</v>
          </cell>
          <cell r="C14">
            <v>3560579889</v>
          </cell>
          <cell r="D14">
            <v>3706429080</v>
          </cell>
          <cell r="E14">
            <v>3750758103</v>
          </cell>
        </row>
        <row r="15">
          <cell r="B15" t="str">
            <v>West Coast</v>
          </cell>
          <cell r="C15">
            <v>558740492</v>
          </cell>
          <cell r="D15">
            <v>601967339</v>
          </cell>
          <cell r="E15">
            <v>597571840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transport.govt.nz/ourwork/tmif/transport-volume/tv020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"/>
  <sheetViews>
    <sheetView workbookViewId="0">
      <selection activeCell="A4" sqref="A4"/>
    </sheetView>
  </sheetViews>
  <sheetFormatPr baseColWidth="10" defaultColWidth="8.83203125" defaultRowHeight="13" x14ac:dyDescent="0.15"/>
  <sheetData>
    <row r="3" spans="1:1" x14ac:dyDescent="0.15">
      <c r="A3" t="s">
        <v>173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pageSetUpPr fitToPage="1"/>
  </sheetPr>
  <dimension ref="C3:R29"/>
  <sheetViews>
    <sheetView topLeftCell="D1" zoomScale="90" zoomScaleNormal="90" workbookViewId="0">
      <selection activeCell="K28" sqref="K28"/>
    </sheetView>
  </sheetViews>
  <sheetFormatPr baseColWidth="10" defaultColWidth="8.83203125" defaultRowHeight="13" x14ac:dyDescent="0.15"/>
  <cols>
    <col min="3" max="3" width="27.6640625" customWidth="1"/>
    <col min="4" max="18" width="17.6640625" customWidth="1"/>
  </cols>
  <sheetData>
    <row r="3" spans="3:18" ht="14" thickBot="1" x14ac:dyDescent="0.2"/>
    <row r="4" spans="3:18" ht="17" thickTop="1" x14ac:dyDescent="0.2">
      <c r="C4" s="32" t="s">
        <v>51</v>
      </c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34"/>
      <c r="Q4" s="34"/>
      <c r="R4" s="35"/>
    </row>
    <row r="5" spans="3:18" ht="14" thickBot="1" x14ac:dyDescent="0.2">
      <c r="C5" s="36"/>
      <c r="D5" s="37" t="s">
        <v>25</v>
      </c>
      <c r="E5" s="37" t="s">
        <v>37</v>
      </c>
      <c r="F5" s="37" t="s">
        <v>38</v>
      </c>
      <c r="G5" s="37" t="s">
        <v>177</v>
      </c>
      <c r="H5" s="37" t="s">
        <v>178</v>
      </c>
      <c r="I5" s="37" t="s">
        <v>26</v>
      </c>
      <c r="J5" s="37" t="s">
        <v>183</v>
      </c>
      <c r="K5" s="37" t="s">
        <v>27</v>
      </c>
      <c r="L5" s="37" t="s">
        <v>28</v>
      </c>
      <c r="M5" s="37" t="s">
        <v>29</v>
      </c>
      <c r="N5" s="37" t="s">
        <v>30</v>
      </c>
      <c r="O5" s="37" t="s">
        <v>31</v>
      </c>
      <c r="P5" s="37" t="s">
        <v>174</v>
      </c>
      <c r="Q5" s="37" t="s">
        <v>175</v>
      </c>
      <c r="R5" s="38" t="s">
        <v>176</v>
      </c>
    </row>
    <row r="6" spans="3:18" ht="15" thickTop="1" thickBot="1" x14ac:dyDescent="0.2">
      <c r="C6" s="70"/>
      <c r="D6" s="71" t="s">
        <v>39</v>
      </c>
      <c r="E6" s="65" t="s">
        <v>39</v>
      </c>
      <c r="F6" s="65" t="s">
        <v>39</v>
      </c>
      <c r="G6" s="65" t="s">
        <v>39</v>
      </c>
      <c r="H6" s="65" t="s">
        <v>39</v>
      </c>
      <c r="I6" s="71" t="s">
        <v>39</v>
      </c>
      <c r="J6" s="71" t="s">
        <v>39</v>
      </c>
      <c r="K6" s="71" t="s">
        <v>32</v>
      </c>
      <c r="L6" s="71" t="s">
        <v>32</v>
      </c>
      <c r="M6" s="71" t="s">
        <v>32</v>
      </c>
      <c r="N6" s="71" t="s">
        <v>32</v>
      </c>
      <c r="O6" s="71" t="s">
        <v>32</v>
      </c>
      <c r="P6" s="65" t="s">
        <v>32</v>
      </c>
      <c r="Q6" s="65" t="s">
        <v>32</v>
      </c>
      <c r="R6" s="66" t="s">
        <v>32</v>
      </c>
    </row>
    <row r="7" spans="3:18" ht="17" thickTop="1" x14ac:dyDescent="0.2">
      <c r="C7" s="24" t="s">
        <v>0</v>
      </c>
      <c r="D7" s="52">
        <f>'Scaled 2012-13 Data'!$E6</f>
        <v>126.51769458108933</v>
      </c>
      <c r="E7" s="53">
        <f>'Scaled 2013-14 Data'!$E6</f>
        <v>135.67452055937187</v>
      </c>
      <c r="F7" s="53">
        <f>'Scaled 2014-15 Data'!$E6</f>
        <v>141.72576536799093</v>
      </c>
      <c r="G7" s="53">
        <f>'Scaled 2015-16 Data'!$E6</f>
        <v>145.12569054563383</v>
      </c>
      <c r="H7" s="53">
        <f>'Scaled 2016-17 Data'!$E6</f>
        <v>144.68127590537878</v>
      </c>
      <c r="I7" s="53">
        <f>'Scaled 2017-18 Data'!$E6</f>
        <v>158.0202591150495</v>
      </c>
      <c r="J7" s="53">
        <f>'Scaled 2018-19 Data'!$E6</f>
        <v>161.54626781920962</v>
      </c>
      <c r="K7" s="53">
        <f>$J7*'Heavy Truck Supporting Data'!K7/'Heavy Truck Supporting Data'!$J7*('Heavy Truck Supporting Data'!$J$28/'Heavy Truck Supporting Data'!K$28)</f>
        <v>162.74308470823797</v>
      </c>
      <c r="L7" s="53">
        <f>$J7*'Heavy Truck Supporting Data'!L7/'Heavy Truck Supporting Data'!$J7*('Heavy Truck Supporting Data'!$J$28/'Heavy Truck Supporting Data'!L$28)</f>
        <v>159.38707458338274</v>
      </c>
      <c r="M7" s="53">
        <f>$J7*'Heavy Truck Supporting Data'!M7/'Heavy Truck Supporting Data'!$J7*('Heavy Truck Supporting Data'!$J$28/'Heavy Truck Supporting Data'!M$28)</f>
        <v>156.09765642881268</v>
      </c>
      <c r="N7" s="53">
        <f>$J7*'Heavy Truck Supporting Data'!N7/'Heavy Truck Supporting Data'!$J7*('Heavy Truck Supporting Data'!$J$28/'Heavy Truck Supporting Data'!N$28)</f>
        <v>155.16268919871325</v>
      </c>
      <c r="O7" s="53">
        <f>$J7*'Heavy Truck Supporting Data'!O7/'Heavy Truck Supporting Data'!$J7*('Heavy Truck Supporting Data'!$J$28/'Heavy Truck Supporting Data'!O$28)</f>
        <v>154.17908774538097</v>
      </c>
      <c r="P7" s="53">
        <f>$J7*'Heavy Truck Supporting Data'!P7/'Heavy Truck Supporting Data'!$J7*('Heavy Truck Supporting Data'!$J$28/'Heavy Truck Supporting Data'!P$28)</f>
        <v>160.12245954383607</v>
      </c>
      <c r="Q7" s="53">
        <f>$J7*'Heavy Truck Supporting Data'!Q7/'Heavy Truck Supporting Data'!$J7*('Heavy Truck Supporting Data'!$J$28/'Heavy Truck Supporting Data'!Q$28)</f>
        <v>165.67954314431191</v>
      </c>
      <c r="R7" s="54">
        <f>$J7*'Heavy Truck Supporting Data'!R7/'Heavy Truck Supporting Data'!$J7*('Heavy Truck Supporting Data'!$J$28/'Heavy Truck Supporting Data'!R$28)</f>
        <v>170.86576131411209</v>
      </c>
    </row>
    <row r="8" spans="3:18" ht="16" x14ac:dyDescent="0.2">
      <c r="C8" s="24" t="s">
        <v>1</v>
      </c>
      <c r="D8" s="55">
        <f>'Scaled 2012-13 Data'!E7</f>
        <v>642.75675605882645</v>
      </c>
      <c r="E8" s="56">
        <f>'Scaled 2013-14 Data'!$E7</f>
        <v>620.39545906303897</v>
      </c>
      <c r="F8" s="56">
        <f>'Scaled 2014-15 Data'!$E7</f>
        <v>621.32383738757562</v>
      </c>
      <c r="G8" s="56">
        <f>'Scaled 2015-16 Data'!$E7</f>
        <v>635.71847683363285</v>
      </c>
      <c r="H8" s="56">
        <f>'Scaled 2016-17 Data'!$E7</f>
        <v>661.10320489409708</v>
      </c>
      <c r="I8" s="56">
        <f>'Scaled 2017-18 Data'!$E7</f>
        <v>640.5330068847943</v>
      </c>
      <c r="J8" s="56">
        <f>'Scaled 2018-19 Data'!$E7</f>
        <v>676.69884221560619</v>
      </c>
      <c r="K8" s="56">
        <f>$J8*'Heavy Truck Supporting Data'!K8/'Heavy Truck Supporting Data'!$J8*('Heavy Truck Supporting Data'!$J$28/'Heavy Truck Supporting Data'!K$28)</f>
        <v>715.58866927774682</v>
      </c>
      <c r="L8" s="56">
        <f>$J8*'Heavy Truck Supporting Data'!L8/'Heavy Truck Supporting Data'!$J8*('Heavy Truck Supporting Data'!$J$28/'Heavy Truck Supporting Data'!L$28)</f>
        <v>762.90522121539209</v>
      </c>
      <c r="M8" s="56">
        <f>$J8*'Heavy Truck Supporting Data'!M8/'Heavy Truck Supporting Data'!$J8*('Heavy Truck Supporting Data'!$J$28/'Heavy Truck Supporting Data'!M$28)</f>
        <v>807.45694412080275</v>
      </c>
      <c r="N8" s="56">
        <f>$J8*'Heavy Truck Supporting Data'!N8/'Heavy Truck Supporting Data'!$J8*('Heavy Truck Supporting Data'!$J$28/'Heavy Truck Supporting Data'!N$28)</f>
        <v>838.23688608469536</v>
      </c>
      <c r="O8" s="56">
        <f>$J8*'Heavy Truck Supporting Data'!O8/'Heavy Truck Supporting Data'!$J8*('Heavy Truck Supporting Data'!$J$28/'Heavy Truck Supporting Data'!O$28)</f>
        <v>867.01084265797385</v>
      </c>
      <c r="P8" s="56">
        <f>$J8*'Heavy Truck Supporting Data'!P8/'Heavy Truck Supporting Data'!$J8*('Heavy Truck Supporting Data'!$J$28/'Heavy Truck Supporting Data'!P$28)</f>
        <v>895.57073013683839</v>
      </c>
      <c r="Q8" s="56">
        <f>$J8*'Heavy Truck Supporting Data'!Q8/'Heavy Truck Supporting Data'!$J8*('Heavy Truck Supporting Data'!$J$28/'Heavy Truck Supporting Data'!Q$28)</f>
        <v>922.1978635097305</v>
      </c>
      <c r="R8" s="57">
        <f>$J8*'Heavy Truck Supporting Data'!R8/'Heavy Truck Supporting Data'!$J8*('Heavy Truck Supporting Data'!$J$28/'Heavy Truck Supporting Data'!R$28)</f>
        <v>946.97012311903165</v>
      </c>
    </row>
    <row r="9" spans="3:18" ht="16" x14ac:dyDescent="0.2">
      <c r="C9" s="24" t="s">
        <v>2</v>
      </c>
      <c r="D9" s="55">
        <f>'Scaled 2012-13 Data'!E8</f>
        <v>344.892919704458</v>
      </c>
      <c r="E9" s="56">
        <f>'Scaled 2013-14 Data'!$E8</f>
        <v>390.39041080250428</v>
      </c>
      <c r="F9" s="56">
        <f>'Scaled 2014-15 Data'!$E8</f>
        <v>406.30331344723265</v>
      </c>
      <c r="G9" s="56">
        <f>'Scaled 2015-16 Data'!$E8</f>
        <v>417.32085698264092</v>
      </c>
      <c r="H9" s="56">
        <f>'Scaled 2016-17 Data'!$E8</f>
        <v>433.93649280746615</v>
      </c>
      <c r="I9" s="56">
        <f>'Scaled 2017-18 Data'!$E8</f>
        <v>449.3713775830206</v>
      </c>
      <c r="J9" s="56">
        <f>'Scaled 2018-19 Data'!$E8</f>
        <v>453.08792070709507</v>
      </c>
      <c r="K9" s="56">
        <f>$J9*'Heavy Truck Supporting Data'!K9/'Heavy Truck Supporting Data'!$J9*('Heavy Truck Supporting Data'!$J$28/'Heavy Truck Supporting Data'!K$28)</f>
        <v>461.84688240371304</v>
      </c>
      <c r="L9" s="56">
        <f>$J9*'Heavy Truck Supporting Data'!L9/'Heavy Truck Supporting Data'!$J9*('Heavy Truck Supporting Data'!$J$28/'Heavy Truck Supporting Data'!L$28)</f>
        <v>478.68511338842092</v>
      </c>
      <c r="M9" s="56">
        <f>$J9*'Heavy Truck Supporting Data'!M9/'Heavy Truck Supporting Data'!$J9*('Heavy Truck Supporting Data'!$J$28/'Heavy Truck Supporting Data'!M$28)</f>
        <v>494.41375746714783</v>
      </c>
      <c r="N9" s="56">
        <f>$J9*'Heavy Truck Supporting Data'!N9/'Heavy Truck Supporting Data'!$J9*('Heavy Truck Supporting Data'!$J$28/'Heavy Truck Supporting Data'!N$28)</f>
        <v>499.41134761791437</v>
      </c>
      <c r="O9" s="56">
        <f>$J9*'Heavy Truck Supporting Data'!O9/'Heavy Truck Supporting Data'!$J9*('Heavy Truck Supporting Data'!$J$28/'Heavy Truck Supporting Data'!O$28)</f>
        <v>503.86284980663669</v>
      </c>
      <c r="P9" s="56">
        <f>$J9*'Heavy Truck Supporting Data'!P9/'Heavy Truck Supporting Data'!$J9*('Heavy Truck Supporting Data'!$J$28/'Heavy Truck Supporting Data'!P$28)</f>
        <v>509.25462373314514</v>
      </c>
      <c r="Q9" s="56">
        <f>$J9*'Heavy Truck Supporting Data'!Q9/'Heavy Truck Supporting Data'!$J9*('Heavy Truck Supporting Data'!$J$28/'Heavy Truck Supporting Data'!Q$28)</f>
        <v>514.07516087473653</v>
      </c>
      <c r="R9" s="57">
        <f>$J9*'Heavy Truck Supporting Data'!R9/'Heavy Truck Supporting Data'!$J9*('Heavy Truck Supporting Data'!$J$28/'Heavy Truck Supporting Data'!R$28)</f>
        <v>518.34932892034533</v>
      </c>
    </row>
    <row r="10" spans="3:18" ht="16" x14ac:dyDescent="0.2">
      <c r="C10" s="24" t="s">
        <v>3</v>
      </c>
      <c r="D10" s="55">
        <f>'Scaled 2012-13 Data'!E9</f>
        <v>214.15647055925635</v>
      </c>
      <c r="E10" s="56">
        <f>'Scaled 2013-14 Data'!$E9</f>
        <v>223.73085009383851</v>
      </c>
      <c r="F10" s="56">
        <f>'Scaled 2014-15 Data'!$E9</f>
        <v>227.06239639810516</v>
      </c>
      <c r="G10" s="56">
        <f>'Scaled 2015-16 Data'!$E9</f>
        <v>229.06209102137444</v>
      </c>
      <c r="H10" s="56">
        <f>'Scaled 2016-17 Data'!$E9</f>
        <v>260.02752815483871</v>
      </c>
      <c r="I10" s="56">
        <f>'Scaled 2017-18 Data'!$E9</f>
        <v>250.38503342657634</v>
      </c>
      <c r="J10" s="56">
        <f>'Scaled 2018-19 Data'!$E9</f>
        <v>253.20870606161878</v>
      </c>
      <c r="K10" s="56">
        <f>$J10*'Heavy Truck Supporting Data'!K10/'Heavy Truck Supporting Data'!$J10*('Heavy Truck Supporting Data'!$J$28/'Heavy Truck Supporting Data'!K$28)</f>
        <v>254.50514980179955</v>
      </c>
      <c r="L10" s="56">
        <f>$J10*'Heavy Truck Supporting Data'!L10/'Heavy Truck Supporting Data'!$J10*('Heavy Truck Supporting Data'!$J$28/'Heavy Truck Supporting Data'!L$28)</f>
        <v>261.85002691280511</v>
      </c>
      <c r="M10" s="56">
        <f>$J10*'Heavy Truck Supporting Data'!M10/'Heavy Truck Supporting Data'!$J10*('Heavy Truck Supporting Data'!$J$28/'Heavy Truck Supporting Data'!M$28)</f>
        <v>268.67872135930804</v>
      </c>
      <c r="N10" s="56">
        <f>$J10*'Heavy Truck Supporting Data'!N10/'Heavy Truck Supporting Data'!$J10*('Heavy Truck Supporting Data'!$J$28/'Heavy Truck Supporting Data'!N$28)</f>
        <v>266.65023266203497</v>
      </c>
      <c r="O10" s="56">
        <f>$J10*'Heavy Truck Supporting Data'!O10/'Heavy Truck Supporting Data'!$J10*('Heavy Truck Supporting Data'!$J$28/'Heavy Truck Supporting Data'!O$28)</f>
        <v>264.55868302554302</v>
      </c>
      <c r="P10" s="56">
        <f>$J10*'Heavy Truck Supporting Data'!P10/'Heavy Truck Supporting Data'!$J10*('Heavy Truck Supporting Data'!$J$28/'Heavy Truck Supporting Data'!P$28)</f>
        <v>268.6560221572206</v>
      </c>
      <c r="Q10" s="56">
        <f>$J10*'Heavy Truck Supporting Data'!Q10/'Heavy Truck Supporting Data'!$J10*('Heavy Truck Supporting Data'!$J$28/'Heavy Truck Supporting Data'!Q$28)</f>
        <v>272.39104949097458</v>
      </c>
      <c r="R10" s="57">
        <f>$J10*'Heavy Truck Supporting Data'!R10/'Heavy Truck Supporting Data'!$J10*('Heavy Truck Supporting Data'!$J$28/'Heavy Truck Supporting Data'!R$28)</f>
        <v>275.77912655944886</v>
      </c>
    </row>
    <row r="11" spans="3:18" ht="16" x14ac:dyDescent="0.2">
      <c r="C11" s="24" t="s">
        <v>4</v>
      </c>
      <c r="D11" s="55">
        <f>'Scaled 2012-13 Data'!E10</f>
        <v>33.915973005218945</v>
      </c>
      <c r="E11" s="56">
        <f>'Scaled 2013-14 Data'!$E10</f>
        <v>36.059626125440786</v>
      </c>
      <c r="F11" s="56">
        <f>'Scaled 2014-15 Data'!$E10</f>
        <v>36.934309376738085</v>
      </c>
      <c r="G11" s="56">
        <f>'Scaled 2015-16 Data'!$E10</f>
        <v>34.474453336572367</v>
      </c>
      <c r="H11" s="56">
        <f>'Scaled 2016-17 Data'!$E10</f>
        <v>37.903907769942656</v>
      </c>
      <c r="I11" s="56">
        <f>'Scaled 2017-18 Data'!$E10</f>
        <v>37.511559866784808</v>
      </c>
      <c r="J11" s="56">
        <f>'Scaled 2018-19 Data'!$E10</f>
        <v>40.423259817139218</v>
      </c>
      <c r="K11" s="56">
        <f>$J11*'Heavy Truck Supporting Data'!K11/'Heavy Truck Supporting Data'!$J11*('Heavy Truck Supporting Data'!$J$28/'Heavy Truck Supporting Data'!K$28)</f>
        <v>40.071301806257495</v>
      </c>
      <c r="L11" s="56">
        <f>$J11*'Heavy Truck Supporting Data'!L11/'Heavy Truck Supporting Data'!$J11*('Heavy Truck Supporting Data'!$J$28/'Heavy Truck Supporting Data'!L$28)</f>
        <v>39.908454487210328</v>
      </c>
      <c r="M11" s="56">
        <f>$J11*'Heavy Truck Supporting Data'!M11/'Heavy Truck Supporting Data'!$J11*('Heavy Truck Supporting Data'!$J$28/'Heavy Truck Supporting Data'!M$28)</f>
        <v>39.72932139837679</v>
      </c>
      <c r="N11" s="56">
        <f>$J11*'Heavy Truck Supporting Data'!N11/'Heavy Truck Supporting Data'!$J11*('Heavy Truck Supporting Data'!$J$28/'Heavy Truck Supporting Data'!N$28)</f>
        <v>34.622091798088263</v>
      </c>
      <c r="O11" s="56">
        <f>$J11*'Heavy Truck Supporting Data'!O11/'Heavy Truck Supporting Data'!$J11*('Heavy Truck Supporting Data'!$J$28/'Heavy Truck Supporting Data'!O$28)</f>
        <v>29.742337536613</v>
      </c>
      <c r="P11" s="56">
        <f>$J11*'Heavy Truck Supporting Data'!P11/'Heavy Truck Supporting Data'!$J11*('Heavy Truck Supporting Data'!$J$28/'Heavy Truck Supporting Data'!P$28)</f>
        <v>32.40022087222841</v>
      </c>
      <c r="Q11" s="56">
        <f>$J11*'Heavy Truck Supporting Data'!Q11/'Heavy Truck Supporting Data'!$J11*('Heavy Truck Supporting Data'!$J$28/'Heavy Truck Supporting Data'!Q$28)</f>
        <v>34.909138607337887</v>
      </c>
      <c r="R11" s="57">
        <f>$J11*'Heavy Truck Supporting Data'!R11/'Heavy Truck Supporting Data'!$J11*('Heavy Truck Supporting Data'!$J$28/'Heavy Truck Supporting Data'!R$28)</f>
        <v>37.274816305695282</v>
      </c>
    </row>
    <row r="12" spans="3:18" ht="16" x14ac:dyDescent="0.2">
      <c r="C12" s="24" t="s">
        <v>5</v>
      </c>
      <c r="D12" s="55">
        <f>'Scaled 2012-13 Data'!E11</f>
        <v>105.40675076508299</v>
      </c>
      <c r="E12" s="56">
        <f>'Scaled 2013-14 Data'!$E11</f>
        <v>106.76392106951823</v>
      </c>
      <c r="F12" s="56">
        <f>'Scaled 2014-15 Data'!$E11</f>
        <v>110.27688080452752</v>
      </c>
      <c r="G12" s="56">
        <f>'Scaled 2015-16 Data'!$E11</f>
        <v>111.58416614165577</v>
      </c>
      <c r="H12" s="56">
        <f>'Scaled 2016-17 Data'!$E11</f>
        <v>118.48078788976672</v>
      </c>
      <c r="I12" s="56">
        <f>'Scaled 2017-18 Data'!$E11</f>
        <v>122.3776581796696</v>
      </c>
      <c r="J12" s="56">
        <f>'Scaled 2018-19 Data'!$E11</f>
        <v>126.48576944621682</v>
      </c>
      <c r="K12" s="56">
        <f>$J12*'Heavy Truck Supporting Data'!K12/'Heavy Truck Supporting Data'!$J12*('Heavy Truck Supporting Data'!$J$28/'Heavy Truck Supporting Data'!K$28)</f>
        <v>126.63582819184096</v>
      </c>
      <c r="L12" s="56">
        <f>$J12*'Heavy Truck Supporting Data'!L12/'Heavy Truck Supporting Data'!$J12*('Heavy Truck Supporting Data'!$J$28/'Heavy Truck Supporting Data'!L$28)</f>
        <v>129.10474265115039</v>
      </c>
      <c r="M12" s="56">
        <f>$J12*'Heavy Truck Supporting Data'!M12/'Heavy Truck Supporting Data'!$J12*('Heavy Truck Supporting Data'!$J$28/'Heavy Truck Supporting Data'!M$28)</f>
        <v>131.37522388742002</v>
      </c>
      <c r="N12" s="56">
        <f>$J12*'Heavy Truck Supporting Data'!N12/'Heavy Truck Supporting Data'!$J12*('Heavy Truck Supporting Data'!$J$28/'Heavy Truck Supporting Data'!N$28)</f>
        <v>128.31250019772827</v>
      </c>
      <c r="O12" s="56">
        <f>$J12*'Heavy Truck Supporting Data'!O12/'Heavy Truck Supporting Data'!$J12*('Heavy Truck Supporting Data'!$J$28/'Heavy Truck Supporting Data'!O$28)</f>
        <v>125.32094944969286</v>
      </c>
      <c r="P12" s="56">
        <f>$J12*'Heavy Truck Supporting Data'!P12/'Heavy Truck Supporting Data'!$J12*('Heavy Truck Supporting Data'!$J$28/'Heavy Truck Supporting Data'!P$28)</f>
        <v>125.57143834963045</v>
      </c>
      <c r="Q12" s="56">
        <f>$J12*'Heavy Truck Supporting Data'!Q12/'Heavy Truck Supporting Data'!$J12*('Heavy Truck Supporting Data'!$J$28/'Heavy Truck Supporting Data'!Q$28)</f>
        <v>125.73356831484558</v>
      </c>
      <c r="R12" s="57">
        <f>$J12*'Heavy Truck Supporting Data'!R12/'Heavy Truck Supporting Data'!$J12*('Heavy Truck Supporting Data'!$J$28/'Heavy Truck Supporting Data'!R$28)</f>
        <v>125.81153984078874</v>
      </c>
    </row>
    <row r="13" spans="3:18" ht="16" x14ac:dyDescent="0.2">
      <c r="C13" s="24" t="s">
        <v>6</v>
      </c>
      <c r="D13" s="55">
        <f>'Scaled 2012-13 Data'!E12</f>
        <v>84.096097549876319</v>
      </c>
      <c r="E13" s="56">
        <f>'Scaled 2013-14 Data'!$E12</f>
        <v>87.906568292027828</v>
      </c>
      <c r="F13" s="56">
        <f>'Scaled 2014-15 Data'!$E12</f>
        <v>95.017511822066183</v>
      </c>
      <c r="G13" s="56">
        <f>'Scaled 2015-16 Data'!$E12</f>
        <v>97.182869967109781</v>
      </c>
      <c r="H13" s="56">
        <f>'Scaled 2016-17 Data'!$E12</f>
        <v>95.754915641963777</v>
      </c>
      <c r="I13" s="56">
        <f>'Scaled 2017-18 Data'!$E12</f>
        <v>92.970199440918265</v>
      </c>
      <c r="J13" s="56">
        <f>'Scaled 2018-19 Data'!$E12</f>
        <v>89.744744126569302</v>
      </c>
      <c r="K13" s="56">
        <f>$J13*'Heavy Truck Supporting Data'!K13/'Heavy Truck Supporting Data'!$J13*('Heavy Truck Supporting Data'!$J$28/'Heavy Truck Supporting Data'!K$28)</f>
        <v>88.717389278642244</v>
      </c>
      <c r="L13" s="56">
        <f>$J13*'Heavy Truck Supporting Data'!L13/'Heavy Truck Supporting Data'!$J13*('Heavy Truck Supporting Data'!$J$28/'Heavy Truck Supporting Data'!L$28)</f>
        <v>88.526144550381431</v>
      </c>
      <c r="M13" s="56">
        <f>$J13*'Heavy Truck Supporting Data'!M13/'Heavy Truck Supporting Data'!$J13*('Heavy Truck Supporting Data'!$J$28/'Heavy Truck Supporting Data'!M$28)</f>
        <v>88.290503960623724</v>
      </c>
      <c r="N13" s="56">
        <f>$J13*'Heavy Truck Supporting Data'!N13/'Heavy Truck Supporting Data'!$J13*('Heavy Truck Supporting Data'!$J$28/'Heavy Truck Supporting Data'!N$28)</f>
        <v>86.187555768604128</v>
      </c>
      <c r="O13" s="56">
        <f>$J13*'Heavy Truck Supporting Data'!O13/'Heavy Truck Supporting Data'!$J13*('Heavy Truck Supporting Data'!$J$28/'Heavy Truck Supporting Data'!O$28)</f>
        <v>84.134638622633659</v>
      </c>
      <c r="P13" s="56">
        <f>$J13*'Heavy Truck Supporting Data'!P13/'Heavy Truck Supporting Data'!$J13*('Heavy Truck Supporting Data'!$J$28/'Heavy Truck Supporting Data'!P$28)</f>
        <v>83.566658798455052</v>
      </c>
      <c r="Q13" s="56">
        <f>$J13*'Heavy Truck Supporting Data'!Q13/'Heavy Truck Supporting Data'!$J13*('Heavy Truck Supporting Data'!$J$28/'Heavy Truck Supporting Data'!Q$28)</f>
        <v>82.975620494789254</v>
      </c>
      <c r="R13" s="57">
        <f>$J13*'Heavy Truck Supporting Data'!R13/'Heavy Truck Supporting Data'!$J13*('Heavy Truck Supporting Data'!$J$28/'Heavy Truck Supporting Data'!R$28)</f>
        <v>82.363004080333369</v>
      </c>
    </row>
    <row r="14" spans="3:18" ht="16" x14ac:dyDescent="0.2">
      <c r="C14" s="24" t="s">
        <v>7</v>
      </c>
      <c r="D14" s="55">
        <f>'Scaled 2012-13 Data'!E13</f>
        <v>189.52653351064563</v>
      </c>
      <c r="E14" s="56">
        <f>'Scaled 2013-14 Data'!$E13</f>
        <v>192.89161165616255</v>
      </c>
      <c r="F14" s="56">
        <f>'Scaled 2014-15 Data'!$E13</f>
        <v>199.05709684352797</v>
      </c>
      <c r="G14" s="56">
        <f>'Scaled 2015-16 Data'!$E13</f>
        <v>208.5474490765514</v>
      </c>
      <c r="H14" s="56">
        <f>'Scaled 2016-17 Data'!$E13</f>
        <v>210.09530635285617</v>
      </c>
      <c r="I14" s="56">
        <f>'Scaled 2017-18 Data'!$E13</f>
        <v>211.19843611896437</v>
      </c>
      <c r="J14" s="56">
        <f>'Scaled 2018-19 Data'!$E13</f>
        <v>226.15471584095553</v>
      </c>
      <c r="K14" s="56">
        <f>$J14*'Heavy Truck Supporting Data'!K14/'Heavy Truck Supporting Data'!$J14*('Heavy Truck Supporting Data'!$J$28/'Heavy Truck Supporting Data'!K$28)</f>
        <v>228.03988476671029</v>
      </c>
      <c r="L14" s="56">
        <f>$J14*'Heavy Truck Supporting Data'!L14/'Heavy Truck Supporting Data'!$J14*('Heavy Truck Supporting Data'!$J$28/'Heavy Truck Supporting Data'!L$28)</f>
        <v>232.16093945291641</v>
      </c>
      <c r="M14" s="56">
        <f>$J14*'Heavy Truck Supporting Data'!M14/'Heavy Truck Supporting Data'!$J14*('Heavy Truck Supporting Data'!$J$28/'Heavy Truck Supporting Data'!M$28)</f>
        <v>235.94066659294501</v>
      </c>
      <c r="N14" s="56">
        <f>$J14*'Heavy Truck Supporting Data'!N14/'Heavy Truck Supporting Data'!$J14*('Heavy Truck Supporting Data'!$J$28/'Heavy Truck Supporting Data'!N$28)</f>
        <v>235.2297113880725</v>
      </c>
      <c r="O14" s="56">
        <f>$J14*'Heavy Truck Supporting Data'!O14/'Heavy Truck Supporting Data'!$J14*('Heavy Truck Supporting Data'!$J$28/'Heavy Truck Supporting Data'!O$28)</f>
        <v>234.41065433953986</v>
      </c>
      <c r="P14" s="56">
        <f>$J14*'Heavy Truck Supporting Data'!P14/'Heavy Truck Supporting Data'!$J14*('Heavy Truck Supporting Data'!$J$28/'Heavy Truck Supporting Data'!P$28)</f>
        <v>235.8887055947568</v>
      </c>
      <c r="Q14" s="56">
        <f>$J14*'Heavy Truck Supporting Data'!Q14/'Heavy Truck Supporting Data'!$J14*('Heavy Truck Supporting Data'!$J$28/'Heavy Truck Supporting Data'!Q$28)</f>
        <v>237.15175558569393</v>
      </c>
      <c r="R14" s="57">
        <f>$J14*'Heavy Truck Supporting Data'!R14/'Heavy Truck Supporting Data'!$J14*('Heavy Truck Supporting Data'!$J$28/'Heavy Truck Supporting Data'!R$28)</f>
        <v>238.20949839546378</v>
      </c>
    </row>
    <row r="15" spans="3:18" ht="16" x14ac:dyDescent="0.2">
      <c r="C15" s="24" t="s">
        <v>8</v>
      </c>
      <c r="D15" s="55">
        <f>'Scaled 2012-13 Data'!E14</f>
        <v>129.41036193266035</v>
      </c>
      <c r="E15" s="56">
        <f>'Scaled 2013-14 Data'!$E14</f>
        <v>133.77417405686103</v>
      </c>
      <c r="F15" s="56">
        <f>'Scaled 2014-15 Data'!$E14</f>
        <v>146.71155515151918</v>
      </c>
      <c r="G15" s="56">
        <f>'Scaled 2015-16 Data'!$E14</f>
        <v>144.43275007217164</v>
      </c>
      <c r="H15" s="56">
        <f>'Scaled 2016-17 Data'!$E14</f>
        <v>145.99577978492675</v>
      </c>
      <c r="I15" s="56">
        <f>'Scaled 2017-18 Data'!$E14</f>
        <v>150.61210925022857</v>
      </c>
      <c r="J15" s="56">
        <f>'Scaled 2018-19 Data'!$E14</f>
        <v>150.77207510197138</v>
      </c>
      <c r="K15" s="56">
        <f>$J15*'Heavy Truck Supporting Data'!K15/'Heavy Truck Supporting Data'!$J15*('Heavy Truck Supporting Data'!$J$28/'Heavy Truck Supporting Data'!K$28)</f>
        <v>152.57176829126954</v>
      </c>
      <c r="L15" s="56">
        <f>$J15*'Heavy Truck Supporting Data'!L15/'Heavy Truck Supporting Data'!$J15*('Heavy Truck Supporting Data'!$J$28/'Heavy Truck Supporting Data'!L$28)</f>
        <v>155.87231360433938</v>
      </c>
      <c r="M15" s="56">
        <f>$J15*'Heavy Truck Supporting Data'!M15/'Heavy Truck Supporting Data'!$J15*('Heavy Truck Supporting Data'!$J$28/'Heavy Truck Supporting Data'!M$28)</f>
        <v>158.91772782575694</v>
      </c>
      <c r="N15" s="56">
        <f>$J15*'Heavy Truck Supporting Data'!N15/'Heavy Truck Supporting Data'!$J15*('Heavy Truck Supporting Data'!$J$28/'Heavy Truck Supporting Data'!N$28)</f>
        <v>158.67166377095577</v>
      </c>
      <c r="O15" s="56">
        <f>$J15*'Heavy Truck Supporting Data'!O15/'Heavy Truck Supporting Data'!$J15*('Heavy Truck Supporting Data'!$J$28/'Heavy Truck Supporting Data'!O$28)</f>
        <v>158.3413203768516</v>
      </c>
      <c r="P15" s="56">
        <f>$J15*'Heavy Truck Supporting Data'!P15/'Heavy Truck Supporting Data'!$J15*('Heavy Truck Supporting Data'!$J$28/'Heavy Truck Supporting Data'!P$28)</f>
        <v>160.95264508034444</v>
      </c>
      <c r="Q15" s="56">
        <f>$J15*'Heavy Truck Supporting Data'!Q15/'Heavy Truck Supporting Data'!$J15*('Heavy Truck Supporting Data'!$J$28/'Heavy Truck Supporting Data'!Q$28)</f>
        <v>163.3392889448775</v>
      </c>
      <c r="R15" s="57">
        <f>$J15*'Heavy Truck Supporting Data'!R15/'Heavy Truck Supporting Data'!$J15*('Heavy Truck Supporting Data'!$J$28/'Heavy Truck Supporting Data'!R$28)</f>
        <v>165.51073540829222</v>
      </c>
    </row>
    <row r="16" spans="3:18" ht="16" x14ac:dyDescent="0.2">
      <c r="C16" s="24" t="s">
        <v>9</v>
      </c>
      <c r="D16" s="55">
        <f>'Scaled 2012-13 Data'!E15</f>
        <v>97.700150458941565</v>
      </c>
      <c r="E16" s="56">
        <f>'Scaled 2013-14 Data'!$E15</f>
        <v>101.2492551025969</v>
      </c>
      <c r="F16" s="56">
        <f>'Scaled 2014-15 Data'!$E15</f>
        <v>94.411223487199464</v>
      </c>
      <c r="G16" s="56">
        <f>'Scaled 2015-16 Data'!$E15</f>
        <v>102.53476450188491</v>
      </c>
      <c r="H16" s="56">
        <f>'Scaled 2016-17 Data'!$E15</f>
        <v>107.78043224530198</v>
      </c>
      <c r="I16" s="56">
        <f>'Scaled 2017-18 Data'!$E15</f>
        <v>114.64710438824891</v>
      </c>
      <c r="J16" s="56">
        <f>'Scaled 2018-19 Data'!$E15</f>
        <v>105.65103050706753</v>
      </c>
      <c r="K16" s="56">
        <f>$J16*'Heavy Truck Supporting Data'!K16/'Heavy Truck Supporting Data'!$J16*('Heavy Truck Supporting Data'!$J$28/'Heavy Truck Supporting Data'!K$28)</f>
        <v>106.73926350389218</v>
      </c>
      <c r="L16" s="56">
        <f>$J16*'Heavy Truck Supporting Data'!L16/'Heavy Truck Supporting Data'!$J16*('Heavy Truck Supporting Data'!$J$28/'Heavy Truck Supporting Data'!L$28)</f>
        <v>109.74794581712399</v>
      </c>
      <c r="M16" s="56">
        <f>$J16*'Heavy Truck Supporting Data'!M16/'Heavy Truck Supporting Data'!$J16*('Heavy Truck Supporting Data'!$J$28/'Heavy Truck Supporting Data'!M$28)</f>
        <v>112.54367599961923</v>
      </c>
      <c r="N16" s="56">
        <f>$J16*'Heavy Truck Supporting Data'!N16/'Heavy Truck Supporting Data'!$J16*('Heavy Truck Supporting Data'!$J$28/'Heavy Truck Supporting Data'!N$28)</f>
        <v>110.86858264195665</v>
      </c>
      <c r="O16" s="56">
        <f>$J16*'Heavy Truck Supporting Data'!O16/'Heavy Truck Supporting Data'!$J16*('Heavy Truck Supporting Data'!$J$28/'Heavy Truck Supporting Data'!O$28)</f>
        <v>109.20773270250938</v>
      </c>
      <c r="P16" s="56">
        <f>$J16*'Heavy Truck Supporting Data'!P16/'Heavy Truck Supporting Data'!$J16*('Heavy Truck Supporting Data'!$J$28/'Heavy Truck Supporting Data'!P$28)</f>
        <v>111.70229099181611</v>
      </c>
      <c r="Q16" s="56">
        <f>$J16*'Heavy Truck Supporting Data'!Q16/'Heavy Truck Supporting Data'!$J16*('Heavy Truck Supporting Data'!$J$28/'Heavy Truck Supporting Data'!Q$28)</f>
        <v>114.00772482933235</v>
      </c>
      <c r="R16" s="57">
        <f>$J16*'Heavy Truck Supporting Data'!R16/'Heavy Truck Supporting Data'!$J16*('Heavy Truck Supporting Data'!$J$28/'Heavy Truck Supporting Data'!R$28)</f>
        <v>116.13183702376769</v>
      </c>
    </row>
    <row r="17" spans="3:18" ht="16" x14ac:dyDescent="0.2">
      <c r="C17" s="24" t="s">
        <v>10</v>
      </c>
      <c r="D17" s="55">
        <f>'Scaled 2012-13 Data'!E16</f>
        <v>43.405863172759247</v>
      </c>
      <c r="E17" s="56">
        <f>'Scaled 2013-14 Data'!$E16</f>
        <v>44.964471592553494</v>
      </c>
      <c r="F17" s="56">
        <f>'Scaled 2014-15 Data'!$E16</f>
        <v>51.199204018245595</v>
      </c>
      <c r="G17" s="56">
        <f>'Scaled 2015-16 Data'!$E16</f>
        <v>53.773933142395627</v>
      </c>
      <c r="H17" s="56">
        <f>'Scaled 2016-17 Data'!$E16</f>
        <v>55.38083484363041</v>
      </c>
      <c r="I17" s="56">
        <f>'Scaled 2017-18 Data'!$E16</f>
        <v>55.872355957955477</v>
      </c>
      <c r="J17" s="56">
        <f>'Scaled 2018-19 Data'!$E16</f>
        <v>56.36582709996118</v>
      </c>
      <c r="K17" s="56">
        <f>$J17*'Heavy Truck Supporting Data'!K17/'Heavy Truck Supporting Data'!$J17*('Heavy Truck Supporting Data'!$J$28/'Heavy Truck Supporting Data'!K$28)</f>
        <v>56.171344021363083</v>
      </c>
      <c r="L17" s="56">
        <f>$J17*'Heavy Truck Supporting Data'!L17/'Heavy Truck Supporting Data'!$J17*('Heavy Truck Supporting Data'!$J$28/'Heavy Truck Supporting Data'!L$28)</f>
        <v>57.015472616803308</v>
      </c>
      <c r="M17" s="56">
        <f>$J17*'Heavy Truck Supporting Data'!M17/'Heavy Truck Supporting Data'!$J17*('Heavy Truck Supporting Data'!$J$28/'Heavy Truck Supporting Data'!M$28)</f>
        <v>57.783946805314891</v>
      </c>
      <c r="N17" s="56">
        <f>$J17*'Heavy Truck Supporting Data'!N17/'Heavy Truck Supporting Data'!$J17*('Heavy Truck Supporting Data'!$J$28/'Heavy Truck Supporting Data'!N$28)</f>
        <v>56.499243800836069</v>
      </c>
      <c r="O17" s="56">
        <f>$J17*'Heavy Truck Supporting Data'!O17/'Heavy Truck Supporting Data'!$J17*('Heavy Truck Supporting Data'!$J$28/'Heavy Truck Supporting Data'!O$28)</f>
        <v>55.242771577128778</v>
      </c>
      <c r="P17" s="56">
        <f>$J17*'Heavy Truck Supporting Data'!P17/'Heavy Truck Supporting Data'!$J17*('Heavy Truck Supporting Data'!$J$28/'Heavy Truck Supporting Data'!P$28)</f>
        <v>54.384416913534018</v>
      </c>
      <c r="Q17" s="56">
        <f>$J17*'Heavy Truck Supporting Data'!Q17/'Heavy Truck Supporting Data'!$J17*('Heavy Truck Supporting Data'!$J$28/'Heavy Truck Supporting Data'!Q$28)</f>
        <v>53.534833168346573</v>
      </c>
      <c r="R17" s="57">
        <f>$J17*'Heavy Truck Supporting Data'!R17/'Heavy Truck Supporting Data'!$J17*('Heavy Truck Supporting Data'!$J$28/'Heavy Truck Supporting Data'!R$28)</f>
        <v>52.694108979202625</v>
      </c>
    </row>
    <row r="18" spans="3:18" ht="16" x14ac:dyDescent="0.2">
      <c r="C18" s="24" t="s">
        <v>11</v>
      </c>
      <c r="D18" s="55">
        <f>'Scaled 2012-13 Data'!E17</f>
        <v>381.81723753110873</v>
      </c>
      <c r="E18" s="56">
        <f>'Scaled 2013-14 Data'!$E17</f>
        <v>410.17269428376483</v>
      </c>
      <c r="F18" s="56">
        <f>'Scaled 2014-15 Data'!$E17</f>
        <v>432.02884000366595</v>
      </c>
      <c r="G18" s="56">
        <f>'Scaled 2015-16 Data'!$E17</f>
        <v>444.15135276672709</v>
      </c>
      <c r="H18" s="56">
        <f>'Scaled 2016-17 Data'!$E17</f>
        <v>438.52715852727829</v>
      </c>
      <c r="I18" s="56">
        <f>'Scaled 2017-18 Data'!$E17</f>
        <v>461.06139376698286</v>
      </c>
      <c r="J18" s="56">
        <f>'Scaled 2018-19 Data'!$E17</f>
        <v>446.59338245603811</v>
      </c>
      <c r="K18" s="56">
        <f>$J18*'Heavy Truck Supporting Data'!K18/'Heavy Truck Supporting Data'!$J18*('Heavy Truck Supporting Data'!$J$28/'Heavy Truck Supporting Data'!K$28)</f>
        <v>441.57312939477862</v>
      </c>
      <c r="L18" s="56">
        <f>$J18*'Heavy Truck Supporting Data'!L18/'Heavy Truck Supporting Data'!$J18*('Heavy Truck Supporting Data'!$J$28/'Heavy Truck Supporting Data'!L$28)</f>
        <v>455.39180682638738</v>
      </c>
      <c r="M18" s="56">
        <f>$J18*'Heavy Truck Supporting Data'!M18/'Heavy Truck Supporting Data'!$J18*('Heavy Truck Supporting Data'!$J$28/'Heavy Truck Supporting Data'!M$28)</f>
        <v>468.26193466295149</v>
      </c>
      <c r="N18" s="56">
        <f>$J18*'Heavy Truck Supporting Data'!N18/'Heavy Truck Supporting Data'!$J18*('Heavy Truck Supporting Data'!$J$28/'Heavy Truck Supporting Data'!N$28)</f>
        <v>473.7078507860237</v>
      </c>
      <c r="O18" s="56">
        <f>$J18*'Heavy Truck Supporting Data'!O18/'Heavy Truck Supporting Data'!$J18*('Heavy Truck Supporting Data'!$J$28/'Heavy Truck Supporting Data'!O$28)</f>
        <v>478.60145880866196</v>
      </c>
      <c r="P18" s="56">
        <f>$J18*'Heavy Truck Supporting Data'!P18/'Heavy Truck Supporting Data'!$J18*('Heavy Truck Supporting Data'!$J$28/'Heavy Truck Supporting Data'!P$28)</f>
        <v>481.67238338856623</v>
      </c>
      <c r="Q18" s="56">
        <f>$J18*'Heavy Truck Supporting Data'!Q18/'Heavy Truck Supporting Data'!$J18*('Heavy Truck Supporting Data'!$J$28/'Heavy Truck Supporting Data'!Q$28)</f>
        <v>484.30171678028887</v>
      </c>
      <c r="R18" s="57">
        <f>$J18*'Heavy Truck Supporting Data'!R18/'Heavy Truck Supporting Data'!$J18*('Heavy Truck Supporting Data'!$J$28/'Heavy Truck Supporting Data'!R$28)</f>
        <v>486.50934834041283</v>
      </c>
    </row>
    <row r="19" spans="3:18" ht="16" x14ac:dyDescent="0.2">
      <c r="C19" s="24" t="s">
        <v>12</v>
      </c>
      <c r="D19" s="55">
        <f>'Scaled 2012-13 Data'!E18</f>
        <v>135.01202074409633</v>
      </c>
      <c r="E19" s="56">
        <f>'Scaled 2013-14 Data'!$E18</f>
        <v>139.58455031725936</v>
      </c>
      <c r="F19" s="56">
        <f>'Scaled 2014-15 Data'!$E18</f>
        <v>147.91666617185348</v>
      </c>
      <c r="G19" s="56">
        <f>'Scaled 2015-16 Data'!$E18</f>
        <v>149.29002963131651</v>
      </c>
      <c r="H19" s="56">
        <f>'Scaled 2016-17 Data'!$E18</f>
        <v>150.45720998322528</v>
      </c>
      <c r="I19" s="56">
        <f>'Scaled 2017-18 Data'!$E18</f>
        <v>156.62490771933028</v>
      </c>
      <c r="J19" s="56">
        <f>'Scaled 2018-19 Data'!$E18</f>
        <v>162.19786403904789</v>
      </c>
      <c r="K19" s="56">
        <f>$J19*'Heavy Truck Supporting Data'!K19/'Heavy Truck Supporting Data'!$J19*('Heavy Truck Supporting Data'!$J$28/'Heavy Truck Supporting Data'!K$28)</f>
        <v>165.86374465802899</v>
      </c>
      <c r="L19" s="56">
        <f>$J19*'Heavy Truck Supporting Data'!L19/'Heavy Truck Supporting Data'!$J19*('Heavy Truck Supporting Data'!$J$28/'Heavy Truck Supporting Data'!L$28)</f>
        <v>170.27882008004099</v>
      </c>
      <c r="M19" s="56">
        <f>$J19*'Heavy Truck Supporting Data'!M19/'Heavy Truck Supporting Data'!$J19*('Heavy Truck Supporting Data'!$J$28/'Heavy Truck Supporting Data'!M$28)</f>
        <v>174.37580118132078</v>
      </c>
      <c r="N19" s="56">
        <f>$J19*'Heavy Truck Supporting Data'!N19/'Heavy Truck Supporting Data'!$J19*('Heavy Truck Supporting Data'!$J$28/'Heavy Truck Supporting Data'!N$28)</f>
        <v>175.50778078104906</v>
      </c>
      <c r="O19" s="56">
        <f>$J19*'Heavy Truck Supporting Data'!O19/'Heavy Truck Supporting Data'!$J19*('Heavy Truck Supporting Data'!$J$28/'Heavy Truck Supporting Data'!O$28)</f>
        <v>176.47822352433425</v>
      </c>
      <c r="P19" s="56">
        <f>$J19*'Heavy Truck Supporting Data'!P19/'Heavy Truck Supporting Data'!$J19*('Heavy Truck Supporting Data'!$J$28/'Heavy Truck Supporting Data'!P$28)</f>
        <v>177.54698420250025</v>
      </c>
      <c r="Q19" s="56">
        <f>$J19*'Heavy Truck Supporting Data'!Q19/'Heavy Truck Supporting Data'!$J19*('Heavy Truck Supporting Data'!$J$28/'Heavy Truck Supporting Data'!Q$28)</f>
        <v>178.45604676603864</v>
      </c>
      <c r="R19" s="57">
        <f>$J19*'Heavy Truck Supporting Data'!R19/'Heavy Truck Supporting Data'!$J19*('Heavy Truck Supporting Data'!$J$28/'Heavy Truck Supporting Data'!R$28)</f>
        <v>179.2126294161265</v>
      </c>
    </row>
    <row r="20" spans="3:18" ht="17" thickBot="1" x14ac:dyDescent="0.25">
      <c r="C20" s="25" t="s">
        <v>13</v>
      </c>
      <c r="D20" s="58">
        <f>'Scaled 2012-13 Data'!E19</f>
        <v>96.966901647804377</v>
      </c>
      <c r="E20" s="59">
        <f>'Scaled 2013-14 Data'!$E19</f>
        <v>101.5350793421801</v>
      </c>
      <c r="F20" s="59">
        <f>'Scaled 2014-15 Data'!$E19</f>
        <v>101.18252022580538</v>
      </c>
      <c r="G20" s="59">
        <f>'Scaled 2015-16 Data'!$E19</f>
        <v>113.26364560172489</v>
      </c>
      <c r="H20" s="59">
        <f>'Scaled 2016-17 Data'!$E19</f>
        <v>114.5199435578987</v>
      </c>
      <c r="I20" s="59">
        <f>'Scaled 2017-18 Data'!$E19</f>
        <v>116.48228622147489</v>
      </c>
      <c r="J20" s="59">
        <f>'Scaled 2018-19 Data'!$E19</f>
        <v>128.27535960407803</v>
      </c>
      <c r="K20" s="59">
        <f>$J20*'Heavy Truck Supporting Data'!K20/'Heavy Truck Supporting Data'!$J20*('Heavy Truck Supporting Data'!$J$28/'Heavy Truck Supporting Data'!K$28)</f>
        <v>129.17344189152013</v>
      </c>
      <c r="L20" s="59">
        <f>$J20*'Heavy Truck Supporting Data'!L20/'Heavy Truck Supporting Data'!$J20*('Heavy Truck Supporting Data'!$J$28/'Heavy Truck Supporting Data'!L$28)</f>
        <v>128.18200955191057</v>
      </c>
      <c r="M20" s="59">
        <f>$J20*'Heavy Truck Supporting Data'!M20/'Heavy Truck Supporting Data'!$J20*('Heavy Truck Supporting Data'!$J$28/'Heavy Truck Supporting Data'!M$28)</f>
        <v>127.16105672050216</v>
      </c>
      <c r="N20" s="59">
        <f>$J20*'Heavy Truck Supporting Data'!N20/'Heavy Truck Supporting Data'!$J20*('Heavy Truck Supporting Data'!$J$28/'Heavy Truck Supporting Data'!N$28)</f>
        <v>125.78258875599336</v>
      </c>
      <c r="O20" s="59">
        <f>$J20*'Heavy Truck Supporting Data'!O20/'Heavy Truck Supporting Data'!$J20*('Heavy Truck Supporting Data'!$J$28/'Heavy Truck Supporting Data'!O$28)</f>
        <v>124.39488587805845</v>
      </c>
      <c r="P20" s="59">
        <f>$J20*'Heavy Truck Supporting Data'!P20/'Heavy Truck Supporting Data'!$J20*('Heavy Truck Supporting Data'!$J$28/'Heavy Truck Supporting Data'!P$28)</f>
        <v>123.79858489147477</v>
      </c>
      <c r="Q20" s="59">
        <f>$J20*'Heavy Truck Supporting Data'!Q20/'Heavy Truck Supporting Data'!$J20*('Heavy Truck Supporting Data'!$J$28/'Heavy Truck Supporting Data'!Q$28)</f>
        <v>123.15619846190411</v>
      </c>
      <c r="R20" s="60">
        <f>$J20*'Heavy Truck Supporting Data'!R20/'Heavy Truck Supporting Data'!$J20*('Heavy Truck Supporting Data'!$J$28/'Heavy Truck Supporting Data'!R$28)</f>
        <v>122.4703584152147</v>
      </c>
    </row>
    <row r="21" spans="3:18" ht="17.25" customHeight="1" thickTop="1" thickBot="1" x14ac:dyDescent="0.25">
      <c r="C21" s="31" t="s">
        <v>24</v>
      </c>
      <c r="D21" s="61">
        <f t="shared" ref="D21:O21" si="0">SUM(D7:D20)</f>
        <v>2625.5817312218246</v>
      </c>
      <c r="E21" s="62">
        <f t="shared" si="0"/>
        <v>2725.0931923571188</v>
      </c>
      <c r="F21" s="62">
        <f t="shared" si="0"/>
        <v>2811.1511205060533</v>
      </c>
      <c r="G21" s="62">
        <f t="shared" ref="G21:H21" si="1">SUM(G7:G20)</f>
        <v>2886.4625296213922</v>
      </c>
      <c r="H21" s="62">
        <f t="shared" si="1"/>
        <v>2974.6447783585722</v>
      </c>
      <c r="I21" s="62">
        <f t="shared" si="0"/>
        <v>3017.6676879199986</v>
      </c>
      <c r="J21" s="62">
        <f t="shared" ref="J21" si="2">SUM(J7:J20)</f>
        <v>3077.2057648425744</v>
      </c>
      <c r="K21" s="62">
        <f t="shared" si="0"/>
        <v>3130.2408819958014</v>
      </c>
      <c r="L21" s="62">
        <f t="shared" si="0"/>
        <v>3229.0160857382652</v>
      </c>
      <c r="M21" s="62">
        <f t="shared" si="0"/>
        <v>3321.0269384109019</v>
      </c>
      <c r="N21" s="62">
        <f t="shared" si="0"/>
        <v>3344.8507252526656</v>
      </c>
      <c r="O21" s="62">
        <f t="shared" si="0"/>
        <v>3365.486436051558</v>
      </c>
      <c r="P21" s="62">
        <f t="shared" ref="P21:R21" si="3">SUM(P7:P20)</f>
        <v>3421.0881646543467</v>
      </c>
      <c r="Q21" s="62">
        <f t="shared" si="3"/>
        <v>3471.9095089732086</v>
      </c>
      <c r="R21" s="63">
        <f t="shared" si="3"/>
        <v>3518.1522161182356</v>
      </c>
    </row>
    <row r="22" spans="3:18" ht="19" thickTop="1" thickBot="1" x14ac:dyDescent="0.25">
      <c r="C22" s="31" t="s">
        <v>96</v>
      </c>
      <c r="D22" s="61">
        <f>'Scaled 2012-13 Data'!$E21</f>
        <v>2625.5817312218246</v>
      </c>
      <c r="E22" s="62">
        <f>'Scaled 2013-14 Data'!$E21</f>
        <v>2725.0931923571188</v>
      </c>
      <c r="F22" s="62">
        <f>'Scaled 2014-15 Data'!$E21</f>
        <v>2811.1511205060533</v>
      </c>
      <c r="G22" s="62">
        <f>'Scaled 2015-16 Data'!$E21</f>
        <v>2886.4625296213922</v>
      </c>
      <c r="H22" s="62">
        <f>'Scaled 2016-17 Data'!$E21</f>
        <v>2974.6447783585722</v>
      </c>
      <c r="I22" s="62">
        <f>'Scaled 2017-18 Data'!$E21</f>
        <v>3017.6676879199986</v>
      </c>
      <c r="J22" s="62">
        <f>'Scaled 2018-19 Data'!$E21</f>
        <v>3077.2057648425744</v>
      </c>
      <c r="K22" s="62"/>
      <c r="L22" s="62"/>
      <c r="M22" s="62"/>
      <c r="N22" s="62"/>
      <c r="O22" s="62"/>
      <c r="P22" s="62"/>
      <c r="Q22" s="62"/>
      <c r="R22" s="63"/>
    </row>
    <row r="23" spans="3:18" ht="14" thickTop="1" x14ac:dyDescent="0.15"/>
    <row r="24" spans="3:18" ht="14" thickBot="1" x14ac:dyDescent="0.2"/>
    <row r="25" spans="3:18" ht="17" thickTop="1" x14ac:dyDescent="0.2">
      <c r="C25" s="32" t="s">
        <v>54</v>
      </c>
      <c r="D25" s="34"/>
      <c r="E25" s="33"/>
      <c r="F25" s="33"/>
      <c r="G25" s="33"/>
      <c r="H25" s="33"/>
      <c r="I25" s="34"/>
      <c r="J25" s="34"/>
      <c r="K25" s="34"/>
      <c r="L25" s="34"/>
      <c r="M25" s="34"/>
      <c r="N25" s="34"/>
      <c r="O25" s="34"/>
      <c r="P25" s="34"/>
      <c r="Q25" s="34"/>
      <c r="R25" s="35"/>
    </row>
    <row r="26" spans="3:18" ht="14" thickBot="1" x14ac:dyDescent="0.2">
      <c r="C26" s="18"/>
      <c r="D26" s="65" t="s">
        <v>25</v>
      </c>
      <c r="E26" s="37" t="s">
        <v>37</v>
      </c>
      <c r="F26" s="37" t="s">
        <v>38</v>
      </c>
      <c r="G26" s="37" t="s">
        <v>177</v>
      </c>
      <c r="H26" s="37" t="s">
        <v>178</v>
      </c>
      <c r="I26" s="65" t="s">
        <v>26</v>
      </c>
      <c r="J26" s="65"/>
      <c r="K26" s="65" t="s">
        <v>27</v>
      </c>
      <c r="L26" s="65" t="s">
        <v>28</v>
      </c>
      <c r="M26" s="65" t="s">
        <v>29</v>
      </c>
      <c r="N26" s="65" t="s">
        <v>30</v>
      </c>
      <c r="O26" s="65" t="s">
        <v>31</v>
      </c>
      <c r="P26" s="37" t="s">
        <v>29</v>
      </c>
      <c r="Q26" s="37" t="s">
        <v>30</v>
      </c>
      <c r="R26" s="38" t="s">
        <v>31</v>
      </c>
    </row>
    <row r="27" spans="3:18" ht="15" thickTop="1" thickBot="1" x14ac:dyDescent="0.2">
      <c r="C27" s="70"/>
      <c r="D27" s="71" t="s">
        <v>39</v>
      </c>
      <c r="E27" s="65" t="s">
        <v>39</v>
      </c>
      <c r="F27" s="65" t="s">
        <v>39</v>
      </c>
      <c r="G27" s="65" t="s">
        <v>39</v>
      </c>
      <c r="H27" s="65" t="s">
        <v>39</v>
      </c>
      <c r="I27" s="71" t="s">
        <v>39</v>
      </c>
      <c r="J27" s="71" t="s">
        <v>39</v>
      </c>
      <c r="K27" s="71" t="s">
        <v>32</v>
      </c>
      <c r="L27" s="71" t="s">
        <v>32</v>
      </c>
      <c r="M27" s="71" t="s">
        <v>32</v>
      </c>
      <c r="N27" s="71" t="s">
        <v>32</v>
      </c>
      <c r="O27" s="71" t="s">
        <v>32</v>
      </c>
      <c r="P27" s="65" t="s">
        <v>32</v>
      </c>
      <c r="Q27" s="65" t="s">
        <v>32</v>
      </c>
      <c r="R27" s="66" t="s">
        <v>32</v>
      </c>
    </row>
    <row r="28" spans="3:18" ht="19" thickTop="1" thickBot="1" x14ac:dyDescent="0.25">
      <c r="C28" s="20" t="s">
        <v>24</v>
      </c>
      <c r="D28" s="48">
        <f>SUM('[1]12_13 fleet'!$D$128:$D$157)</f>
        <v>143848</v>
      </c>
      <c r="E28" s="62">
        <f>SUM('[2]13_14 fleet'!$D$129:$D$158)</f>
        <v>150083</v>
      </c>
      <c r="F28" s="62">
        <f>SUM('[3]14_15 fleet'!$D$129:$D$158)</f>
        <v>157513</v>
      </c>
      <c r="G28" s="62">
        <f>SUM('[4]15_16 fleet'!$D$129:$D$158)</f>
        <v>164004</v>
      </c>
      <c r="H28" s="62">
        <f>SUM('[5]16_17 fleet_v2'!$D$129:$D$158)</f>
        <v>170042</v>
      </c>
      <c r="I28" s="48">
        <f>SUM('[6]17_18 fleet_v3'!$D$154:$D$183)</f>
        <v>146454</v>
      </c>
      <c r="J28" s="48">
        <f>SUM('[7]18_19 fleet_v3'!$D$154:$D$183)</f>
        <v>151306</v>
      </c>
      <c r="K28" s="48">
        <f>$J28*'Heavy Truck Supporting Data'!K21/'Heavy Truck Supporting Data'!$I21*('Heavy Truck Supporting Data'!$I$28/'Heavy Truck Supporting Data'!K$28)</f>
        <v>153901.1437978165</v>
      </c>
      <c r="L28" s="48">
        <f>$J28*'Heavy Truck Supporting Data'!L21/'Heavy Truck Supporting Data'!$I21*('Heavy Truck Supporting Data'!$I$28/'Heavy Truck Supporting Data'!L$28)</f>
        <v>158342.62904259309</v>
      </c>
      <c r="M28" s="48">
        <f>$J28*'Heavy Truck Supporting Data'!M21/'Heavy Truck Supporting Data'!$I21*('Heavy Truck Supporting Data'!$I$28/'Heavy Truck Supporting Data'!M$28)</f>
        <v>162471.97561532832</v>
      </c>
      <c r="N28" s="48">
        <f>$J28*'Heavy Truck Supporting Data'!N21/'Heavy Truck Supporting Data'!$I21*('Heavy Truck Supporting Data'!$I$28/'Heavy Truck Supporting Data'!N$28)</f>
        <v>162971.96460365996</v>
      </c>
      <c r="O28" s="48">
        <f>$J28*'Heavy Truck Supporting Data'!O21/'Heavy Truck Supporting Data'!$I21*('Heavy Truck Supporting Data'!$I$28/'Heavy Truck Supporting Data'!O$28)</f>
        <v>163348.76865620245</v>
      </c>
      <c r="P28" s="48">
        <f>$J28*'Heavy Truck Supporting Data'!P21/'Heavy Truck Supporting Data'!$I21*('Heavy Truck Supporting Data'!$I$28/'Heavy Truck Supporting Data'!P$28)</f>
        <v>165790.46804953905</v>
      </c>
      <c r="Q28" s="48">
        <f>$J28*'Heavy Truck Supporting Data'!Q21/'Heavy Truck Supporting Data'!$I21*('Heavy Truck Supporting Data'!$I$28/'Heavy Truck Supporting Data'!Q$28)</f>
        <v>168012.80458191145</v>
      </c>
      <c r="R28" s="48">
        <f>$J28*'Heavy Truck Supporting Data'!R21/'Heavy Truck Supporting Data'!$I21*('Heavy Truck Supporting Data'!$I$28/'Heavy Truck Supporting Data'!R$28)</f>
        <v>170025.10263006168</v>
      </c>
    </row>
    <row r="29" spans="3:18" ht="14" thickTop="1" x14ac:dyDescent="0.15"/>
  </sheetData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C3:R29"/>
  <sheetViews>
    <sheetView topLeftCell="D1" zoomScale="90" zoomScaleNormal="90" workbookViewId="0">
      <selection activeCell="K28" sqref="K28:R28"/>
    </sheetView>
  </sheetViews>
  <sheetFormatPr baseColWidth="10" defaultColWidth="8.83203125" defaultRowHeight="13" x14ac:dyDescent="0.15"/>
  <cols>
    <col min="3" max="3" width="27.6640625" customWidth="1"/>
    <col min="4" max="18" width="17.6640625" customWidth="1"/>
  </cols>
  <sheetData>
    <row r="3" spans="3:18" ht="14" thickBot="1" x14ac:dyDescent="0.2"/>
    <row r="4" spans="3:18" ht="17" thickTop="1" x14ac:dyDescent="0.2">
      <c r="C4" s="32" t="s">
        <v>52</v>
      </c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34"/>
      <c r="Q4" s="34"/>
      <c r="R4" s="35"/>
    </row>
    <row r="5" spans="3:18" ht="14" thickBot="1" x14ac:dyDescent="0.2">
      <c r="C5" s="36"/>
      <c r="D5" s="37" t="s">
        <v>25</v>
      </c>
      <c r="E5" s="37" t="s">
        <v>37</v>
      </c>
      <c r="F5" s="37" t="s">
        <v>38</v>
      </c>
      <c r="G5" s="37" t="s">
        <v>177</v>
      </c>
      <c r="H5" s="37" t="s">
        <v>178</v>
      </c>
      <c r="I5" s="37" t="s">
        <v>26</v>
      </c>
      <c r="J5" s="37"/>
      <c r="K5" s="37" t="s">
        <v>27</v>
      </c>
      <c r="L5" s="37" t="s">
        <v>28</v>
      </c>
      <c r="M5" s="37" t="s">
        <v>29</v>
      </c>
      <c r="N5" s="37" t="s">
        <v>30</v>
      </c>
      <c r="O5" s="37" t="s">
        <v>31</v>
      </c>
      <c r="P5" s="37" t="s">
        <v>174</v>
      </c>
      <c r="Q5" s="37" t="s">
        <v>175</v>
      </c>
      <c r="R5" s="38" t="s">
        <v>176</v>
      </c>
    </row>
    <row r="6" spans="3:18" ht="15" thickTop="1" thickBot="1" x14ac:dyDescent="0.2">
      <c r="C6" s="70"/>
      <c r="D6" s="71" t="s">
        <v>39</v>
      </c>
      <c r="E6" s="65" t="s">
        <v>39</v>
      </c>
      <c r="F6" s="65" t="s">
        <v>39</v>
      </c>
      <c r="G6" s="65" t="s">
        <v>39</v>
      </c>
      <c r="H6" s="65" t="s">
        <v>39</v>
      </c>
      <c r="I6" s="65" t="s">
        <v>39</v>
      </c>
      <c r="J6" s="65"/>
      <c r="K6" s="71" t="s">
        <v>32</v>
      </c>
      <c r="L6" s="71" t="s">
        <v>32</v>
      </c>
      <c r="M6" s="71" t="s">
        <v>32</v>
      </c>
      <c r="N6" s="71" t="s">
        <v>32</v>
      </c>
      <c r="O6" s="71" t="s">
        <v>32</v>
      </c>
      <c r="P6" s="65" t="s">
        <v>32</v>
      </c>
      <c r="Q6" s="65" t="s">
        <v>32</v>
      </c>
      <c r="R6" s="66" t="s">
        <v>32</v>
      </c>
    </row>
    <row r="7" spans="3:18" ht="17" thickTop="1" x14ac:dyDescent="0.2">
      <c r="C7" s="24" t="s">
        <v>0</v>
      </c>
      <c r="D7" s="52">
        <f>'Scaled 2012-13 Data'!$F6</f>
        <v>9.7590652962429942</v>
      </c>
      <c r="E7" s="53">
        <f>'Scaled 2013-14 Data'!$F6</f>
        <v>10.401779044802701</v>
      </c>
      <c r="F7" s="53">
        <f>'Scaled 2014-15 Data'!$F6</f>
        <v>11.633802891815147</v>
      </c>
      <c r="G7" s="53">
        <f>'Scaled 2015-16 Data'!$F6</f>
        <v>11.652795408584044</v>
      </c>
      <c r="H7" s="53">
        <f>'Scaled 2016-17 Data'!$F6</f>
        <v>11.219540743730134</v>
      </c>
      <c r="I7" s="53">
        <f>'Scaled 2017-18 Data'!$F6</f>
        <v>12.491270326757105</v>
      </c>
      <c r="J7" s="53">
        <f>'Scaled 2018-19 Data'!$F6</f>
        <v>12.131562583166078</v>
      </c>
      <c r="K7" s="53">
        <f>$J7*('Heavy Bus Supporting Data'!$J35*('Heavy Bus Supporting Data'!K7/'Heavy Bus Supporting Data'!$J7)+(1-'Heavy Bus Supporting Data'!$J35)*('Heavy Bus Supporting Data'!K$28/'Heavy Bus Supporting Data'!$J$28))</f>
        <v>13.291769219986737</v>
      </c>
      <c r="L7" s="53">
        <f>$J7*('Heavy Bus Supporting Data'!$J35*('Heavy Bus Supporting Data'!L7/'Heavy Bus Supporting Data'!$J7)+(1-'Heavy Bus Supporting Data'!$J35)*('Heavy Bus Supporting Data'!L$28/'Heavy Bus Supporting Data'!$J$28))</f>
        <v>14.946506930994966</v>
      </c>
      <c r="M7" s="53">
        <f>$J7*('Heavy Bus Supporting Data'!$J35*('Heavy Bus Supporting Data'!M7/'Heavy Bus Supporting Data'!$J7)+(1-'Heavy Bus Supporting Data'!$J35)*('Heavy Bus Supporting Data'!M$28/'Heavy Bus Supporting Data'!$J$28))</f>
        <v>16.437434767026982</v>
      </c>
      <c r="N7" s="53">
        <f>$J7*('Heavy Bus Supporting Data'!$J35*('Heavy Bus Supporting Data'!N7/'Heavy Bus Supporting Data'!$J7)+(1-'Heavy Bus Supporting Data'!$J35)*('Heavy Bus Supporting Data'!N$28/'Heavy Bus Supporting Data'!$J$28))</f>
        <v>18.239851059519161</v>
      </c>
      <c r="O7" s="53">
        <f>$J7*('Heavy Bus Supporting Data'!$J35*('Heavy Bus Supporting Data'!O7/'Heavy Bus Supporting Data'!$J7)+(1-'Heavy Bus Supporting Data'!$J35)*('Heavy Bus Supporting Data'!O$28/'Heavy Bus Supporting Data'!$J$28))</f>
        <v>20.323421112242613</v>
      </c>
      <c r="P7" s="53">
        <f>$J7*('Heavy Bus Supporting Data'!$J35*('Heavy Bus Supporting Data'!P7/'Heavy Bus Supporting Data'!$J7)+(1-'Heavy Bus Supporting Data'!$J35)*('Heavy Bus Supporting Data'!P$28/'Heavy Bus Supporting Data'!$J$28))</f>
        <v>22.90616447414029</v>
      </c>
      <c r="Q7" s="53">
        <f>$J7*('Heavy Bus Supporting Data'!$J35*('Heavy Bus Supporting Data'!Q7/'Heavy Bus Supporting Data'!$J7)+(1-'Heavy Bus Supporting Data'!$J35)*('Heavy Bus Supporting Data'!Q$28/'Heavy Bus Supporting Data'!$J$28))</f>
        <v>25.882040359859499</v>
      </c>
      <c r="R7" s="54">
        <f>$J7*('Heavy Bus Supporting Data'!$J35*('Heavy Bus Supporting Data'!R7/'Heavy Bus Supporting Data'!$J7)+(1-'Heavy Bus Supporting Data'!$J35)*('Heavy Bus Supporting Data'!R$28/'Heavy Bus Supporting Data'!$J$28))</f>
        <v>29.320188199960725</v>
      </c>
    </row>
    <row r="8" spans="3:18" ht="16" x14ac:dyDescent="0.2">
      <c r="C8" s="24" t="s">
        <v>1</v>
      </c>
      <c r="D8" s="55">
        <f>'Scaled 2012-13 Data'!F7</f>
        <v>85.402371473777777</v>
      </c>
      <c r="E8" s="56">
        <f>'Scaled 2013-14 Data'!$F7</f>
        <v>88.715466881974692</v>
      </c>
      <c r="F8" s="56">
        <f>'Scaled 2014-15 Data'!$F7</f>
        <v>89.958725264677341</v>
      </c>
      <c r="G8" s="56">
        <f>'Scaled 2015-16 Data'!$F7</f>
        <v>91.803050625011281</v>
      </c>
      <c r="H8" s="56">
        <f>'Scaled 2016-17 Data'!$F7</f>
        <v>101.89383247207647</v>
      </c>
      <c r="I8" s="56">
        <f>'Scaled 2017-18 Data'!$F7</f>
        <v>104.94772347926632</v>
      </c>
      <c r="J8" s="56">
        <f>'Scaled 2018-19 Data'!$F7</f>
        <v>114.50382086297746</v>
      </c>
      <c r="K8" s="56">
        <f>$J8*('Heavy Bus Supporting Data'!$J36*('Heavy Bus Supporting Data'!K8/'Heavy Bus Supporting Data'!$J8)+(1-'Heavy Bus Supporting Data'!$J36)*('Heavy Bus Supporting Data'!K$28/'Heavy Bus Supporting Data'!$J$28))</f>
        <v>139.23335660788419</v>
      </c>
      <c r="L8" s="56">
        <f>$J8*('Heavy Bus Supporting Data'!$J36*('Heavy Bus Supporting Data'!L8/'Heavy Bus Supporting Data'!$J8)+(1-'Heavy Bus Supporting Data'!$J36)*('Heavy Bus Supporting Data'!L$28/'Heavy Bus Supporting Data'!$J$28))</f>
        <v>171.66129092188763</v>
      </c>
      <c r="M8" s="56">
        <f>$J8*('Heavy Bus Supporting Data'!$J36*('Heavy Bus Supporting Data'!M8/'Heavy Bus Supporting Data'!$J8)+(1-'Heavy Bus Supporting Data'!$J36)*('Heavy Bus Supporting Data'!M$28/'Heavy Bus Supporting Data'!$J$28))</f>
        <v>196.10496101999112</v>
      </c>
      <c r="N8" s="56">
        <f>$J8*('Heavy Bus Supporting Data'!$J36*('Heavy Bus Supporting Data'!N8/'Heavy Bus Supporting Data'!$J8)+(1-'Heavy Bus Supporting Data'!$J36)*('Heavy Bus Supporting Data'!N$28/'Heavy Bus Supporting Data'!$J$28))</f>
        <v>222.58439178324622</v>
      </c>
      <c r="O8" s="56">
        <f>$J8*('Heavy Bus Supporting Data'!$J36*('Heavy Bus Supporting Data'!O8/'Heavy Bus Supporting Data'!$J8)+(1-'Heavy Bus Supporting Data'!$J36)*('Heavy Bus Supporting Data'!O$28/'Heavy Bus Supporting Data'!$J$28))</f>
        <v>251.42382710709137</v>
      </c>
      <c r="P8" s="56">
        <f>$J8*('Heavy Bus Supporting Data'!$J36*('Heavy Bus Supporting Data'!P8/'Heavy Bus Supporting Data'!$J8)+(1-'Heavy Bus Supporting Data'!$J36)*('Heavy Bus Supporting Data'!P$28/'Heavy Bus Supporting Data'!$J$28))</f>
        <v>282.99915453325832</v>
      </c>
      <c r="Q8" s="56">
        <f>$J8*('Heavy Bus Supporting Data'!$J36*('Heavy Bus Supporting Data'!Q8/'Heavy Bus Supporting Data'!$J8)+(1-'Heavy Bus Supporting Data'!$J36)*('Heavy Bus Supporting Data'!Q$28/'Heavy Bus Supporting Data'!$J$28))</f>
        <v>318.36131062931707</v>
      </c>
      <c r="R8" s="57">
        <f>$J8*('Heavy Bus Supporting Data'!$J36*('Heavy Bus Supporting Data'!R8/'Heavy Bus Supporting Data'!$J8)+(1-'Heavy Bus Supporting Data'!$J36)*('Heavy Bus Supporting Data'!R$28/'Heavy Bus Supporting Data'!$J$28))</f>
        <v>358.49206133803222</v>
      </c>
    </row>
    <row r="9" spans="3:18" ht="16" x14ac:dyDescent="0.2">
      <c r="C9" s="24" t="s">
        <v>2</v>
      </c>
      <c r="D9" s="55">
        <f>'Scaled 2012-13 Data'!F8</f>
        <v>19.836624405115462</v>
      </c>
      <c r="E9" s="56">
        <f>'Scaled 2013-14 Data'!$F8</f>
        <v>20.79901394805454</v>
      </c>
      <c r="F9" s="56">
        <f>'Scaled 2014-15 Data'!$F8</f>
        <v>20.835262851845872</v>
      </c>
      <c r="G9" s="56">
        <f>'Scaled 2015-16 Data'!$F8</f>
        <v>22.413106218844494</v>
      </c>
      <c r="H9" s="56">
        <f>'Scaled 2016-17 Data'!$F8</f>
        <v>22.969028075780507</v>
      </c>
      <c r="I9" s="56">
        <f>'Scaled 2017-18 Data'!$F8</f>
        <v>21.76686089997424</v>
      </c>
      <c r="J9" s="56">
        <f>'Scaled 2018-19 Data'!$F8</f>
        <v>23.153298604409645</v>
      </c>
      <c r="K9" s="56">
        <f>$J9*('Heavy Bus Supporting Data'!$J37*('Heavy Bus Supporting Data'!K9/'Heavy Bus Supporting Data'!$J9)+(1-'Heavy Bus Supporting Data'!$J37)*('Heavy Bus Supporting Data'!K$28/'Heavy Bus Supporting Data'!$J$28))</f>
        <v>25.799124477353747</v>
      </c>
      <c r="L9" s="56">
        <f>$J9*('Heavy Bus Supporting Data'!$J37*('Heavy Bus Supporting Data'!L9/'Heavy Bus Supporting Data'!$J9)+(1-'Heavy Bus Supporting Data'!$J37)*('Heavy Bus Supporting Data'!L$28/'Heavy Bus Supporting Data'!$J$28))</f>
        <v>29.532450780892393</v>
      </c>
      <c r="M9" s="56">
        <f>$J9*('Heavy Bus Supporting Data'!$J37*('Heavy Bus Supporting Data'!M9/'Heavy Bus Supporting Data'!$J9)+(1-'Heavy Bus Supporting Data'!$J37)*('Heavy Bus Supporting Data'!M$28/'Heavy Bus Supporting Data'!$J$28))</f>
        <v>32.96503864694683</v>
      </c>
      <c r="N9" s="56">
        <f>$J9*('Heavy Bus Supporting Data'!$J37*('Heavy Bus Supporting Data'!N9/'Heavy Bus Supporting Data'!$J9)+(1-'Heavy Bus Supporting Data'!$J37)*('Heavy Bus Supporting Data'!N$28/'Heavy Bus Supporting Data'!$J$28))</f>
        <v>37.043418118396275</v>
      </c>
      <c r="O9" s="56">
        <f>$J9*('Heavy Bus Supporting Data'!$J37*('Heavy Bus Supporting Data'!O9/'Heavy Bus Supporting Data'!$J9)+(1-'Heavy Bus Supporting Data'!$J37)*('Heavy Bus Supporting Data'!O$28/'Heavy Bus Supporting Data'!$J$28))</f>
        <v>41.748471426528575</v>
      </c>
      <c r="P9" s="56">
        <f>$J9*('Heavy Bus Supporting Data'!$J37*('Heavy Bus Supporting Data'!P9/'Heavy Bus Supporting Data'!$J9)+(1-'Heavy Bus Supporting Data'!$J37)*('Heavy Bus Supporting Data'!P$28/'Heavy Bus Supporting Data'!$J$28))</f>
        <v>47.45463724397014</v>
      </c>
      <c r="Q9" s="56">
        <f>$J9*('Heavy Bus Supporting Data'!$J37*('Heavy Bus Supporting Data'!Q9/'Heavy Bus Supporting Data'!$J9)+(1-'Heavy Bus Supporting Data'!$J37)*('Heavy Bus Supporting Data'!Q$28/'Heavy Bus Supporting Data'!$J$28))</f>
        <v>54.024557537301007</v>
      </c>
      <c r="R9" s="57">
        <f>$J9*('Heavy Bus Supporting Data'!$J37*('Heavy Bus Supporting Data'!R9/'Heavy Bus Supporting Data'!$J9)+(1-'Heavy Bus Supporting Data'!$J37)*('Heavy Bus Supporting Data'!R$28/'Heavy Bus Supporting Data'!$J$28))</f>
        <v>61.605223305271146</v>
      </c>
    </row>
    <row r="10" spans="3:18" ht="16" x14ac:dyDescent="0.2">
      <c r="C10" s="24" t="s">
        <v>3</v>
      </c>
      <c r="D10" s="55">
        <f>'Scaled 2012-13 Data'!F9</f>
        <v>13.259233392712881</v>
      </c>
      <c r="E10" s="56">
        <f>'Scaled 2013-14 Data'!$F9</f>
        <v>14.756134418666809</v>
      </c>
      <c r="F10" s="56">
        <f>'Scaled 2014-15 Data'!$F9</f>
        <v>14.472403850445561</v>
      </c>
      <c r="G10" s="56">
        <f>'Scaled 2015-16 Data'!$F9</f>
        <v>15.451537176180921</v>
      </c>
      <c r="H10" s="56">
        <f>'Scaled 2016-17 Data'!$F9</f>
        <v>15.704149949548299</v>
      </c>
      <c r="I10" s="56">
        <f>'Scaled 2017-18 Data'!$F9</f>
        <v>15.192158209388204</v>
      </c>
      <c r="J10" s="56">
        <f>'Scaled 2018-19 Data'!$F9</f>
        <v>18.29087430637912</v>
      </c>
      <c r="K10" s="56">
        <f>$J10*('Heavy Bus Supporting Data'!$J38*('Heavy Bus Supporting Data'!K10/'Heavy Bus Supporting Data'!$J10)+(1-'Heavy Bus Supporting Data'!$J38)*('Heavy Bus Supporting Data'!K$28/'Heavy Bus Supporting Data'!$J$28))</f>
        <v>19.750253391460799</v>
      </c>
      <c r="L10" s="56">
        <f>$J10*('Heavy Bus Supporting Data'!$J38*('Heavy Bus Supporting Data'!L10/'Heavy Bus Supporting Data'!$J10)+(1-'Heavy Bus Supporting Data'!$J38)*('Heavy Bus Supporting Data'!L$28/'Heavy Bus Supporting Data'!$J$28))</f>
        <v>21.823594751277017</v>
      </c>
      <c r="M10" s="56">
        <f>$J10*('Heavy Bus Supporting Data'!$J38*('Heavy Bus Supporting Data'!M10/'Heavy Bus Supporting Data'!$J10)+(1-'Heavy Bus Supporting Data'!$J38)*('Heavy Bus Supporting Data'!M$28/'Heavy Bus Supporting Data'!$J$28))</f>
        <v>23.650271382791892</v>
      </c>
      <c r="N10" s="56">
        <f>$J10*('Heavy Bus Supporting Data'!$J38*('Heavy Bus Supporting Data'!N10/'Heavy Bus Supporting Data'!$J10)+(1-'Heavy Bus Supporting Data'!$J38)*('Heavy Bus Supporting Data'!N$28/'Heavy Bus Supporting Data'!$J$28))</f>
        <v>25.898958658213807</v>
      </c>
      <c r="O10" s="56">
        <f>$J10*('Heavy Bus Supporting Data'!$J38*('Heavy Bus Supporting Data'!O10/'Heavy Bus Supporting Data'!$J10)+(1-'Heavy Bus Supporting Data'!$J38)*('Heavy Bus Supporting Data'!O$28/'Heavy Bus Supporting Data'!$J$28))</f>
        <v>28.48870280301038</v>
      </c>
      <c r="P10" s="56">
        <f>$J10*('Heavy Bus Supporting Data'!$J38*('Heavy Bus Supporting Data'!P10/'Heavy Bus Supporting Data'!$J10)+(1-'Heavy Bus Supporting Data'!$J38)*('Heavy Bus Supporting Data'!P$28/'Heavy Bus Supporting Data'!$J$28))</f>
        <v>31.809052329068319</v>
      </c>
      <c r="Q10" s="56">
        <f>$J10*('Heavy Bus Supporting Data'!$J38*('Heavy Bus Supporting Data'!Q10/'Heavy Bus Supporting Data'!$J10)+(1-'Heavy Bus Supporting Data'!$J38)*('Heavy Bus Supporting Data'!Q$28/'Heavy Bus Supporting Data'!$J$28))</f>
        <v>35.610305057495751</v>
      </c>
      <c r="R10" s="57">
        <f>$J10*('Heavy Bus Supporting Data'!$J38*('Heavy Bus Supporting Data'!R10/'Heavy Bus Supporting Data'!$J10)+(1-'Heavy Bus Supporting Data'!$J38)*('Heavy Bus Supporting Data'!R$28/'Heavy Bus Supporting Data'!$J$28))</f>
        <v>39.98127444558407</v>
      </c>
    </row>
    <row r="11" spans="3:18" ht="16" x14ac:dyDescent="0.2">
      <c r="C11" s="24" t="s">
        <v>4</v>
      </c>
      <c r="D11" s="55">
        <f>'Scaled 2012-13 Data'!F10</f>
        <v>1.5184457280733668</v>
      </c>
      <c r="E11" s="56">
        <f>'Scaled 2013-14 Data'!$F10</f>
        <v>1.9072379251640335</v>
      </c>
      <c r="F11" s="56">
        <f>'Scaled 2014-15 Data'!$F10</f>
        <v>2.0051713428473192</v>
      </c>
      <c r="G11" s="56">
        <f>'Scaled 2015-16 Data'!$F10</f>
        <v>2.1004346546201038</v>
      </c>
      <c r="H11" s="56">
        <f>'Scaled 2016-17 Data'!$F10</f>
        <v>1.8437925209266235</v>
      </c>
      <c r="I11" s="56">
        <f>'Scaled 2017-18 Data'!$F10</f>
        <v>1.599253794013906</v>
      </c>
      <c r="J11" s="56">
        <f>'Scaled 2018-19 Data'!$F10</f>
        <v>1.7599314168397928</v>
      </c>
      <c r="K11" s="56">
        <f>$J11*('Heavy Bus Supporting Data'!$J39*('Heavy Bus Supporting Data'!K11/'Heavy Bus Supporting Data'!$J11)+(1-'Heavy Bus Supporting Data'!$J39)*('Heavy Bus Supporting Data'!K$28/'Heavy Bus Supporting Data'!$J$28))</f>
        <v>2.0092622520456902</v>
      </c>
      <c r="L11" s="56">
        <f>$J11*('Heavy Bus Supporting Data'!$J39*('Heavy Bus Supporting Data'!L11/'Heavy Bus Supporting Data'!$J11)+(1-'Heavy Bus Supporting Data'!$J39)*('Heavy Bus Supporting Data'!L$28/'Heavy Bus Supporting Data'!$J$28))</f>
        <v>2.363417028727604</v>
      </c>
      <c r="M11" s="56">
        <f>$J11*('Heavy Bus Supporting Data'!$J39*('Heavy Bus Supporting Data'!M11/'Heavy Bus Supporting Data'!$J11)+(1-'Heavy Bus Supporting Data'!$J39)*('Heavy Bus Supporting Data'!M$28/'Heavy Bus Supporting Data'!$J$28))</f>
        <v>2.6967244183389698</v>
      </c>
      <c r="N11" s="56">
        <f>$J11*('Heavy Bus Supporting Data'!$J39*('Heavy Bus Supporting Data'!N11/'Heavy Bus Supporting Data'!$J11)+(1-'Heavy Bus Supporting Data'!$J39)*('Heavy Bus Supporting Data'!N$28/'Heavy Bus Supporting Data'!$J$28))</f>
        <v>3.0869202685988952</v>
      </c>
      <c r="O11" s="56">
        <f>$J11*('Heavy Bus Supporting Data'!$J39*('Heavy Bus Supporting Data'!O11/'Heavy Bus Supporting Data'!$J11)+(1-'Heavy Bus Supporting Data'!$J39)*('Heavy Bus Supporting Data'!O$28/'Heavy Bus Supporting Data'!$J$28))</f>
        <v>3.5399163075227942</v>
      </c>
      <c r="P11" s="56">
        <f>$J11*('Heavy Bus Supporting Data'!$J39*('Heavy Bus Supporting Data'!P11/'Heavy Bus Supporting Data'!$J11)+(1-'Heavy Bus Supporting Data'!$J39)*('Heavy Bus Supporting Data'!P$28/'Heavy Bus Supporting Data'!$J$28))</f>
        <v>4.072822804789344</v>
      </c>
      <c r="Q11" s="56">
        <f>$J11*('Heavy Bus Supporting Data'!$J39*('Heavy Bus Supporting Data'!Q11/'Heavy Bus Supporting Data'!$J11)+(1-'Heavy Bus Supporting Data'!$J39)*('Heavy Bus Supporting Data'!Q$28/'Heavy Bus Supporting Data'!$J$28))</f>
        <v>4.6902559365660048</v>
      </c>
      <c r="R11" s="57">
        <f>$J11*('Heavy Bus Supporting Data'!$J39*('Heavy Bus Supporting Data'!R11/'Heavy Bus Supporting Data'!$J11)+(1-'Heavy Bus Supporting Data'!$J39)*('Heavy Bus Supporting Data'!R$28/'Heavy Bus Supporting Data'!$J$28))</f>
        <v>5.4059742625659339</v>
      </c>
    </row>
    <row r="12" spans="3:18" ht="16" x14ac:dyDescent="0.2">
      <c r="C12" s="24" t="s">
        <v>5</v>
      </c>
      <c r="D12" s="55">
        <f>'Scaled 2012-13 Data'!F11</f>
        <v>5.3007389387002126</v>
      </c>
      <c r="E12" s="56">
        <f>'Scaled 2013-14 Data'!$F11</f>
        <v>5.7748539322517694</v>
      </c>
      <c r="F12" s="56">
        <f>'Scaled 2014-15 Data'!$F11</f>
        <v>5.4696381884381386</v>
      </c>
      <c r="G12" s="56">
        <f>'Scaled 2015-16 Data'!$F11</f>
        <v>5.461851902141678</v>
      </c>
      <c r="H12" s="56">
        <f>'Scaled 2016-17 Data'!$F11</f>
        <v>5.410971667425196</v>
      </c>
      <c r="I12" s="56">
        <f>'Scaled 2017-18 Data'!$F11</f>
        <v>5.3806646264228695</v>
      </c>
      <c r="J12" s="56">
        <f>'Scaled 2018-19 Data'!$F11</f>
        <v>5.94404401345097</v>
      </c>
      <c r="K12" s="56">
        <f>$J12*('Heavy Bus Supporting Data'!$J40*('Heavy Bus Supporting Data'!K12/'Heavy Bus Supporting Data'!$J12)+(1-'Heavy Bus Supporting Data'!$J40)*('Heavy Bus Supporting Data'!K$28/'Heavy Bus Supporting Data'!$J$28))</f>
        <v>6.3526087091268693</v>
      </c>
      <c r="L12" s="56">
        <f>$J12*('Heavy Bus Supporting Data'!$J40*('Heavy Bus Supporting Data'!L12/'Heavy Bus Supporting Data'!$J12)+(1-'Heavy Bus Supporting Data'!$J40)*('Heavy Bus Supporting Data'!L$28/'Heavy Bus Supporting Data'!$J$28))</f>
        <v>6.969285465353626</v>
      </c>
      <c r="M12" s="56">
        <f>$J12*('Heavy Bus Supporting Data'!$J40*('Heavy Bus Supporting Data'!M12/'Heavy Bus Supporting Data'!$J12)+(1-'Heavy Bus Supporting Data'!$J40)*('Heavy Bus Supporting Data'!M$28/'Heavy Bus Supporting Data'!$J$28))</f>
        <v>7.508782065462567</v>
      </c>
      <c r="N12" s="56">
        <f>$J12*('Heavy Bus Supporting Data'!$J40*('Heavy Bus Supporting Data'!N12/'Heavy Bus Supporting Data'!$J12)+(1-'Heavy Bus Supporting Data'!$J40)*('Heavy Bus Supporting Data'!N$28/'Heavy Bus Supporting Data'!$J$28))</f>
        <v>8.1877949812926207</v>
      </c>
      <c r="O12" s="56">
        <f>$J12*('Heavy Bus Supporting Data'!$J40*('Heavy Bus Supporting Data'!O12/'Heavy Bus Supporting Data'!$J12)+(1-'Heavy Bus Supporting Data'!$J40)*('Heavy Bus Supporting Data'!O$28/'Heavy Bus Supporting Data'!$J$28))</f>
        <v>8.9800542830419268</v>
      </c>
      <c r="P12" s="56">
        <f>$J12*('Heavy Bus Supporting Data'!$J40*('Heavy Bus Supporting Data'!P12/'Heavy Bus Supporting Data'!$J12)+(1-'Heavy Bus Supporting Data'!$J40)*('Heavy Bus Supporting Data'!P$28/'Heavy Bus Supporting Data'!$J$28))</f>
        <v>10.001390407108913</v>
      </c>
      <c r="Q12" s="56">
        <f>$J12*('Heavy Bus Supporting Data'!$J40*('Heavy Bus Supporting Data'!Q12/'Heavy Bus Supporting Data'!$J12)+(1-'Heavy Bus Supporting Data'!$J40)*('Heavy Bus Supporting Data'!Q$28/'Heavy Bus Supporting Data'!$J$28))</f>
        <v>11.179582078288801</v>
      </c>
      <c r="R12" s="57">
        <f>$J12*('Heavy Bus Supporting Data'!$J40*('Heavy Bus Supporting Data'!R12/'Heavy Bus Supporting Data'!$J12)+(1-'Heavy Bus Supporting Data'!$J40)*('Heavy Bus Supporting Data'!R$28/'Heavy Bus Supporting Data'!$J$28))</f>
        <v>12.543563871862286</v>
      </c>
    </row>
    <row r="13" spans="3:18" ht="16" x14ac:dyDescent="0.2">
      <c r="C13" s="24" t="s">
        <v>6</v>
      </c>
      <c r="D13" s="55">
        <f>'Scaled 2012-13 Data'!F12</f>
        <v>3.203949144786765</v>
      </c>
      <c r="E13" s="56">
        <f>'Scaled 2013-14 Data'!$F12</f>
        <v>3.5740403432055636</v>
      </c>
      <c r="F13" s="56">
        <f>'Scaled 2014-15 Data'!$F12</f>
        <v>3.8117059405101812</v>
      </c>
      <c r="G13" s="56">
        <f>'Scaled 2015-16 Data'!$F12</f>
        <v>3.4933687028547404</v>
      </c>
      <c r="H13" s="56">
        <f>'Scaled 2016-17 Data'!$F12</f>
        <v>3.5737925857278485</v>
      </c>
      <c r="I13" s="56">
        <f>'Scaled 2017-18 Data'!$F12</f>
        <v>3.2208145687528273</v>
      </c>
      <c r="J13" s="56">
        <f>'Scaled 2018-19 Data'!$F12</f>
        <v>3.5686832916507809</v>
      </c>
      <c r="K13" s="56">
        <f>$J13*('Heavy Bus Supporting Data'!$J41*('Heavy Bus Supporting Data'!K13/'Heavy Bus Supporting Data'!$J13)+(1-'Heavy Bus Supporting Data'!$J41)*('Heavy Bus Supporting Data'!K$28/'Heavy Bus Supporting Data'!$J$28))</f>
        <v>3.9093063505339125</v>
      </c>
      <c r="L13" s="56">
        <f>$J13*('Heavy Bus Supporting Data'!$J41*('Heavy Bus Supporting Data'!L13/'Heavy Bus Supporting Data'!$J13)+(1-'Heavy Bus Supporting Data'!$J41)*('Heavy Bus Supporting Data'!L$28/'Heavy Bus Supporting Data'!$J$28))</f>
        <v>4.4072731335466271</v>
      </c>
      <c r="M13" s="56">
        <f>$J13*('Heavy Bus Supporting Data'!$J41*('Heavy Bus Supporting Data'!M13/'Heavy Bus Supporting Data'!$J13)+(1-'Heavy Bus Supporting Data'!$J41)*('Heavy Bus Supporting Data'!M$28/'Heavy Bus Supporting Data'!$J$28))</f>
        <v>4.8604332221586741</v>
      </c>
      <c r="N13" s="56">
        <f>$J13*('Heavy Bus Supporting Data'!$J41*('Heavy Bus Supporting Data'!N13/'Heavy Bus Supporting Data'!$J13)+(1-'Heavy Bus Supporting Data'!$J41)*('Heavy Bus Supporting Data'!N$28/'Heavy Bus Supporting Data'!$J$28))</f>
        <v>5.4093768797219131</v>
      </c>
      <c r="O13" s="56">
        <f>$J13*('Heavy Bus Supporting Data'!$J41*('Heavy Bus Supporting Data'!O13/'Heavy Bus Supporting Data'!$J13)+(1-'Heavy Bus Supporting Data'!$J41)*('Heavy Bus Supporting Data'!O$28/'Heavy Bus Supporting Data'!$J$28))</f>
        <v>6.0465654220762159</v>
      </c>
      <c r="P13" s="56">
        <f>$J13*('Heavy Bus Supporting Data'!$J41*('Heavy Bus Supporting Data'!P13/'Heavy Bus Supporting Data'!$J13)+(1-'Heavy Bus Supporting Data'!$J41)*('Heavy Bus Supporting Data'!P$28/'Heavy Bus Supporting Data'!$J$28))</f>
        <v>6.8310668904483069</v>
      </c>
      <c r="Q13" s="56">
        <f>$J13*('Heavy Bus Supporting Data'!$J41*('Heavy Bus Supporting Data'!Q13/'Heavy Bus Supporting Data'!$J13)+(1-'Heavy Bus Supporting Data'!$J41)*('Heavy Bus Supporting Data'!Q$28/'Heavy Bus Supporting Data'!$J$28))</f>
        <v>7.7351557214609734</v>
      </c>
      <c r="R13" s="57">
        <f>$J13*('Heavy Bus Supporting Data'!$J41*('Heavy Bus Supporting Data'!R13/'Heavy Bus Supporting Data'!$J13)+(1-'Heavy Bus Supporting Data'!$J41)*('Heavy Bus Supporting Data'!R$28/'Heavy Bus Supporting Data'!$J$28))</f>
        <v>8.7796641143430172</v>
      </c>
    </row>
    <row r="14" spans="3:18" ht="16" x14ac:dyDescent="0.2">
      <c r="C14" s="24" t="s">
        <v>7</v>
      </c>
      <c r="D14" s="55">
        <f>'Scaled 2012-13 Data'!F13</f>
        <v>8.1031372449564749</v>
      </c>
      <c r="E14" s="56">
        <f>'Scaled 2013-14 Data'!$F13</f>
        <v>8.680327588734146</v>
      </c>
      <c r="F14" s="56">
        <f>'Scaled 2014-15 Data'!$F13</f>
        <v>8.8252999028763366</v>
      </c>
      <c r="G14" s="56">
        <f>'Scaled 2015-16 Data'!$F13</f>
        <v>9.2252425092049108</v>
      </c>
      <c r="H14" s="56">
        <f>'Scaled 2016-17 Data'!$F13</f>
        <v>9.6975881647231397</v>
      </c>
      <c r="I14" s="56">
        <f>'Scaled 2017-18 Data'!$F13</f>
        <v>9.8630643106969487</v>
      </c>
      <c r="J14" s="56">
        <f>'Scaled 2018-19 Data'!$F13</f>
        <v>10.57902813497406</v>
      </c>
      <c r="K14" s="56">
        <f>$J14*('Heavy Bus Supporting Data'!$J42*('Heavy Bus Supporting Data'!K14/'Heavy Bus Supporting Data'!$J14)+(1-'Heavy Bus Supporting Data'!$J42)*('Heavy Bus Supporting Data'!K$28/'Heavy Bus Supporting Data'!$J$28))</f>
        <v>11.293752297018917</v>
      </c>
      <c r="L14" s="56">
        <f>$J14*('Heavy Bus Supporting Data'!$J42*('Heavy Bus Supporting Data'!L14/'Heavy Bus Supporting Data'!$J14)+(1-'Heavy Bus Supporting Data'!$J42)*('Heavy Bus Supporting Data'!L$28/'Heavy Bus Supporting Data'!$J$28))</f>
        <v>12.37654965501709</v>
      </c>
      <c r="M14" s="56">
        <f>$J14*('Heavy Bus Supporting Data'!$J42*('Heavy Bus Supporting Data'!M14/'Heavy Bus Supporting Data'!$J14)+(1-'Heavy Bus Supporting Data'!$J42)*('Heavy Bus Supporting Data'!M$28/'Heavy Bus Supporting Data'!$J$28))</f>
        <v>13.328540977441634</v>
      </c>
      <c r="N14" s="56">
        <f>$J14*('Heavy Bus Supporting Data'!$J42*('Heavy Bus Supporting Data'!N14/'Heavy Bus Supporting Data'!$J14)+(1-'Heavy Bus Supporting Data'!$J42)*('Heavy Bus Supporting Data'!N$28/'Heavy Bus Supporting Data'!$J$28))</f>
        <v>14.531044316973494</v>
      </c>
      <c r="O14" s="56">
        <f>$J14*('Heavy Bus Supporting Data'!$J42*('Heavy Bus Supporting Data'!O14/'Heavy Bus Supporting Data'!$J14)+(1-'Heavy Bus Supporting Data'!$J42)*('Heavy Bus Supporting Data'!O$28/'Heavy Bus Supporting Data'!$J$28))</f>
        <v>15.936842268681708</v>
      </c>
      <c r="P14" s="56">
        <f>$J14*('Heavy Bus Supporting Data'!$J42*('Heavy Bus Supporting Data'!P14/'Heavy Bus Supporting Data'!$J14)+(1-'Heavy Bus Supporting Data'!$J42)*('Heavy Bus Supporting Data'!P$28/'Heavy Bus Supporting Data'!$J$28))</f>
        <v>17.749019853488807</v>
      </c>
      <c r="Q14" s="56">
        <f>$J14*('Heavy Bus Supporting Data'!$J42*('Heavy Bus Supporting Data'!Q14/'Heavy Bus Supporting Data'!$J14)+(1-'Heavy Bus Supporting Data'!$J42)*('Heavy Bus Supporting Data'!Q$28/'Heavy Bus Supporting Data'!$J$28))</f>
        <v>19.84060868886802</v>
      </c>
      <c r="R14" s="57">
        <f>$J14*('Heavy Bus Supporting Data'!$J42*('Heavy Bus Supporting Data'!R14/'Heavy Bus Supporting Data'!$J14)+(1-'Heavy Bus Supporting Data'!$J42)*('Heavy Bus Supporting Data'!R$28/'Heavy Bus Supporting Data'!$J$28))</f>
        <v>22.263091385621873</v>
      </c>
    </row>
    <row r="15" spans="3:18" ht="16" x14ac:dyDescent="0.2">
      <c r="C15" s="24" t="s">
        <v>8</v>
      </c>
      <c r="D15" s="55">
        <f>'Scaled 2012-13 Data'!F14</f>
        <v>21.491110847137517</v>
      </c>
      <c r="E15" s="56">
        <f>'Scaled 2013-14 Data'!$F14</f>
        <v>20.660378629673406</v>
      </c>
      <c r="F15" s="56">
        <f>'Scaled 2014-15 Data'!$F14</f>
        <v>22.689049401236158</v>
      </c>
      <c r="G15" s="56">
        <f>'Scaled 2015-16 Data'!$F14</f>
        <v>20.645371917390143</v>
      </c>
      <c r="H15" s="56">
        <f>'Scaled 2016-17 Data'!$F14</f>
        <v>20.026365851035507</v>
      </c>
      <c r="I15" s="56">
        <f>'Scaled 2017-18 Data'!$F14</f>
        <v>21.630721222586416</v>
      </c>
      <c r="J15" s="56">
        <f>'Scaled 2018-19 Data'!$F14</f>
        <v>26.077763119921546</v>
      </c>
      <c r="K15" s="56">
        <f>$J15*('Heavy Bus Supporting Data'!$J43*('Heavy Bus Supporting Data'!K15/'Heavy Bus Supporting Data'!$J15)+(1-'Heavy Bus Supporting Data'!$J43)*('Heavy Bus Supporting Data'!K$28/'Heavy Bus Supporting Data'!$J$28))</f>
        <v>29.066528485234688</v>
      </c>
      <c r="L15" s="56">
        <f>$J15*('Heavy Bus Supporting Data'!$J43*('Heavy Bus Supporting Data'!L15/'Heavy Bus Supporting Data'!$J15)+(1-'Heavy Bus Supporting Data'!$J43)*('Heavy Bus Supporting Data'!L$28/'Heavy Bus Supporting Data'!$J$28))</f>
        <v>32.323568027533383</v>
      </c>
      <c r="M15" s="56">
        <f>$J15*('Heavy Bus Supporting Data'!$J43*('Heavy Bus Supporting Data'!M15/'Heavy Bus Supporting Data'!$J15)+(1-'Heavy Bus Supporting Data'!$J43)*('Heavy Bus Supporting Data'!M$28/'Heavy Bus Supporting Data'!$J$28))</f>
        <v>34.50293387641932</v>
      </c>
      <c r="N15" s="56">
        <f>$J15*('Heavy Bus Supporting Data'!$J43*('Heavy Bus Supporting Data'!N15/'Heavy Bus Supporting Data'!$J15)+(1-'Heavy Bus Supporting Data'!$J43)*('Heavy Bus Supporting Data'!N$28/'Heavy Bus Supporting Data'!$J$28))</f>
        <v>36.930908130887346</v>
      </c>
      <c r="O15" s="56">
        <f>$J15*('Heavy Bus Supporting Data'!$J43*('Heavy Bus Supporting Data'!O15/'Heavy Bus Supporting Data'!$J15)+(1-'Heavy Bus Supporting Data'!$J43)*('Heavy Bus Supporting Data'!O$28/'Heavy Bus Supporting Data'!$J$28))</f>
        <v>39.647087664599781</v>
      </c>
      <c r="P15" s="56">
        <f>$J15*('Heavy Bus Supporting Data'!$J43*('Heavy Bus Supporting Data'!P15/'Heavy Bus Supporting Data'!$J15)+(1-'Heavy Bus Supporting Data'!$J43)*('Heavy Bus Supporting Data'!P$28/'Heavy Bus Supporting Data'!$J$28))</f>
        <v>42.699243174221991</v>
      </c>
      <c r="Q15" s="56">
        <f>$J15*('Heavy Bus Supporting Data'!$J43*('Heavy Bus Supporting Data'!Q15/'Heavy Bus Supporting Data'!$J15)+(1-'Heavy Bus Supporting Data'!$J43)*('Heavy Bus Supporting Data'!Q$28/'Heavy Bus Supporting Data'!$J$28))</f>
        <v>46.1525610480033</v>
      </c>
      <c r="R15" s="57">
        <f>$J15*('Heavy Bus Supporting Data'!$J43*('Heavy Bus Supporting Data'!R15/'Heavy Bus Supporting Data'!$J15)+(1-'Heavy Bus Supporting Data'!$J43)*('Heavy Bus Supporting Data'!R$28/'Heavy Bus Supporting Data'!$J$28))</f>
        <v>50.070981495025073</v>
      </c>
    </row>
    <row r="16" spans="3:18" ht="16" x14ac:dyDescent="0.2">
      <c r="C16" s="24" t="s">
        <v>9</v>
      </c>
      <c r="D16" s="55">
        <f>'Scaled 2012-13 Data'!F15</f>
        <v>5.9713503082580308</v>
      </c>
      <c r="E16" s="56">
        <f>'Scaled 2013-14 Data'!$F15</f>
        <v>6.5118389653351718</v>
      </c>
      <c r="F16" s="56">
        <f>'Scaled 2014-15 Data'!$F15</f>
        <v>6.4734157441534528</v>
      </c>
      <c r="G16" s="56">
        <f>'Scaled 2015-16 Data'!$F15</f>
        <v>6.9079231858956813</v>
      </c>
      <c r="H16" s="56">
        <f>'Scaled 2016-17 Data'!$F15</f>
        <v>6.7725013683992685</v>
      </c>
      <c r="I16" s="56">
        <f>'Scaled 2017-18 Data'!$F15</f>
        <v>7.4216829677867322</v>
      </c>
      <c r="J16" s="56">
        <f>'Scaled 2018-19 Data'!$F15</f>
        <v>6.8406684466316321</v>
      </c>
      <c r="K16" s="56">
        <f>$J16*('Heavy Bus Supporting Data'!$J44*('Heavy Bus Supporting Data'!K16/'Heavy Bus Supporting Data'!$J16)+(1-'Heavy Bus Supporting Data'!$J44)*('Heavy Bus Supporting Data'!K$28/'Heavy Bus Supporting Data'!$J$28))</f>
        <v>7.4719234394389291</v>
      </c>
      <c r="L16" s="56">
        <f>$J16*('Heavy Bus Supporting Data'!$J44*('Heavy Bus Supporting Data'!L16/'Heavy Bus Supporting Data'!$J16)+(1-'Heavy Bus Supporting Data'!$J44)*('Heavy Bus Supporting Data'!L$28/'Heavy Bus Supporting Data'!$J$28))</f>
        <v>8.3869183759260491</v>
      </c>
      <c r="M16" s="56">
        <f>$J16*('Heavy Bus Supporting Data'!$J44*('Heavy Bus Supporting Data'!M16/'Heavy Bus Supporting Data'!$J16)+(1-'Heavy Bus Supporting Data'!$J44)*('Heavy Bus Supporting Data'!M$28/'Heavy Bus Supporting Data'!$J$28))</f>
        <v>9.2143664123929536</v>
      </c>
      <c r="N16" s="56">
        <f>$J16*('Heavy Bus Supporting Data'!$J44*('Heavy Bus Supporting Data'!N16/'Heavy Bus Supporting Data'!$J16)+(1-'Heavy Bus Supporting Data'!$J44)*('Heavy Bus Supporting Data'!N$28/'Heavy Bus Supporting Data'!$J$28))</f>
        <v>10.217563382687622</v>
      </c>
      <c r="O16" s="56">
        <f>$J16*('Heavy Bus Supporting Data'!$J44*('Heavy Bus Supporting Data'!O16/'Heavy Bus Supporting Data'!$J16)+(1-'Heavy Bus Supporting Data'!$J44)*('Heavy Bus Supporting Data'!O$28/'Heavy Bus Supporting Data'!$J$28))</f>
        <v>11.377712095547761</v>
      </c>
      <c r="P16" s="56">
        <f>$J16*('Heavy Bus Supporting Data'!$J44*('Heavy Bus Supporting Data'!P16/'Heavy Bus Supporting Data'!$J16)+(1-'Heavy Bus Supporting Data'!$J44)*('Heavy Bus Supporting Data'!P$28/'Heavy Bus Supporting Data'!$J$28))</f>
        <v>12.817145300274303</v>
      </c>
      <c r="Q16" s="56">
        <f>$J16*('Heavy Bus Supporting Data'!$J44*('Heavy Bus Supporting Data'!Q16/'Heavy Bus Supporting Data'!$J16)+(1-'Heavy Bus Supporting Data'!$J44)*('Heavy Bus Supporting Data'!Q$28/'Heavy Bus Supporting Data'!$J$28))</f>
        <v>14.478312215359622</v>
      </c>
      <c r="R16" s="57">
        <f>$J16*('Heavy Bus Supporting Data'!$J44*('Heavy Bus Supporting Data'!R16/'Heavy Bus Supporting Data'!$J16)+(1-'Heavy Bus Supporting Data'!$J44)*('Heavy Bus Supporting Data'!R$28/'Heavy Bus Supporting Data'!$J$28))</f>
        <v>16.400176680898035</v>
      </c>
    </row>
    <row r="17" spans="3:18" ht="16" x14ac:dyDescent="0.2">
      <c r="C17" s="24" t="s">
        <v>10</v>
      </c>
      <c r="D17" s="55">
        <f>'Scaled 2012-13 Data'!F16</f>
        <v>3.5994838845999344</v>
      </c>
      <c r="E17" s="56">
        <f>'Scaled 2013-14 Data'!$F16</f>
        <v>3.3064430965177922</v>
      </c>
      <c r="F17" s="56">
        <f>'Scaled 2014-15 Data'!$F16</f>
        <v>3.8237875581235587</v>
      </c>
      <c r="G17" s="56">
        <f>'Scaled 2015-16 Data'!$F16</f>
        <v>3.2933402565423875</v>
      </c>
      <c r="H17" s="56">
        <f>'Scaled 2016-17 Data'!$F16</f>
        <v>2.9532775649776024</v>
      </c>
      <c r="I17" s="56">
        <f>'Scaled 2017-18 Data'!$F16</f>
        <v>3.0124242854749301</v>
      </c>
      <c r="J17" s="56">
        <f>'Scaled 2018-19 Data'!$F16</f>
        <v>3.1231540434898464</v>
      </c>
      <c r="K17" s="56">
        <f>$J17*('Heavy Bus Supporting Data'!$J45*('Heavy Bus Supporting Data'!K17/'Heavy Bus Supporting Data'!$J17)+(1-'Heavy Bus Supporting Data'!$J45)*('Heavy Bus Supporting Data'!K$28/'Heavy Bus Supporting Data'!$J$28))</f>
        <v>3.491006362121293</v>
      </c>
      <c r="L17" s="56">
        <f>$J17*('Heavy Bus Supporting Data'!$J45*('Heavy Bus Supporting Data'!L17/'Heavy Bus Supporting Data'!$J17)+(1-'Heavy Bus Supporting Data'!$J45)*('Heavy Bus Supporting Data'!L$28/'Heavy Bus Supporting Data'!$J$28))</f>
        <v>4.0213723463662445</v>
      </c>
      <c r="M17" s="56">
        <f>$J17*('Heavy Bus Supporting Data'!$J45*('Heavy Bus Supporting Data'!M17/'Heavy Bus Supporting Data'!$J17)+(1-'Heavy Bus Supporting Data'!$J45)*('Heavy Bus Supporting Data'!M$28/'Heavy Bus Supporting Data'!$J$28))</f>
        <v>4.5156276044013124</v>
      </c>
      <c r="N17" s="56">
        <f>$J17*('Heavy Bus Supporting Data'!$J45*('Heavy Bus Supporting Data'!N17/'Heavy Bus Supporting Data'!$J17)+(1-'Heavy Bus Supporting Data'!$J45)*('Heavy Bus Supporting Data'!N$28/'Heavy Bus Supporting Data'!$J$28))</f>
        <v>5.1041963213923296</v>
      </c>
      <c r="O17" s="56">
        <f>$J17*('Heavy Bus Supporting Data'!$J45*('Heavy Bus Supporting Data'!O17/'Heavy Bus Supporting Data'!$J17)+(1-'Heavy Bus Supporting Data'!$J45)*('Heavy Bus Supporting Data'!O$28/'Heavy Bus Supporting Data'!$J$28))</f>
        <v>5.791284509313634</v>
      </c>
      <c r="P17" s="56">
        <f>$J17*('Heavy Bus Supporting Data'!$J45*('Heavy Bus Supporting Data'!P17/'Heavy Bus Supporting Data'!$J17)+(1-'Heavy Bus Supporting Data'!$J45)*('Heavy Bus Supporting Data'!P$28/'Heavy Bus Supporting Data'!$J$28))</f>
        <v>6.612974310674625</v>
      </c>
      <c r="Q17" s="56">
        <f>$J17*('Heavy Bus Supporting Data'!$J45*('Heavy Bus Supporting Data'!Q17/'Heavy Bus Supporting Data'!$J17)+(1-'Heavy Bus Supporting Data'!$J45)*('Heavy Bus Supporting Data'!Q$28/'Heavy Bus Supporting Data'!$J$28))</f>
        <v>7.566266431766965</v>
      </c>
      <c r="R17" s="57">
        <f>$J17*('Heavy Bus Supporting Data'!$J45*('Heavy Bus Supporting Data'!R17/'Heavy Bus Supporting Data'!$J17)+(1-'Heavy Bus Supporting Data'!$J45)*('Heavy Bus Supporting Data'!R$28/'Heavy Bus Supporting Data'!$J$28))</f>
        <v>8.6729909404680576</v>
      </c>
    </row>
    <row r="18" spans="3:18" ht="16" x14ac:dyDescent="0.2">
      <c r="C18" s="24" t="s">
        <v>11</v>
      </c>
      <c r="D18" s="55">
        <f>'Scaled 2012-13 Data'!F17</f>
        <v>41.14957598032106</v>
      </c>
      <c r="E18" s="56">
        <f>'Scaled 2013-14 Data'!$F17</f>
        <v>43.354328716915184</v>
      </c>
      <c r="F18" s="56">
        <f>'Scaled 2014-15 Data'!$F17</f>
        <v>46.0293653129538</v>
      </c>
      <c r="G18" s="56">
        <f>'Scaled 2015-16 Data'!$F17</f>
        <v>51.014889636037587</v>
      </c>
      <c r="H18" s="56">
        <f>'Scaled 2016-17 Data'!$F17</f>
        <v>53.922018565639881</v>
      </c>
      <c r="I18" s="56">
        <f>'Scaled 2017-18 Data'!$F17</f>
        <v>57.858171543513961</v>
      </c>
      <c r="J18" s="56">
        <f>'Scaled 2018-19 Data'!$F17</f>
        <v>57.723480625387452</v>
      </c>
      <c r="K18" s="56">
        <f>$J18*('Heavy Bus Supporting Data'!$J46*('Heavy Bus Supporting Data'!K18/'Heavy Bus Supporting Data'!$J18)+(1-'Heavy Bus Supporting Data'!$J46)*('Heavy Bus Supporting Data'!K$28/'Heavy Bus Supporting Data'!$J$28))</f>
        <v>62.18883462295608</v>
      </c>
      <c r="L18" s="56">
        <f>$J18*('Heavy Bus Supporting Data'!$J46*('Heavy Bus Supporting Data'!L18/'Heavy Bus Supporting Data'!$J18)+(1-'Heavy Bus Supporting Data'!$J46)*('Heavy Bus Supporting Data'!L$28/'Heavy Bus Supporting Data'!$J$28))</f>
        <v>69.356031204085511</v>
      </c>
      <c r="M18" s="56">
        <f>$J18*('Heavy Bus Supporting Data'!$J46*('Heavy Bus Supporting Data'!M18/'Heavy Bus Supporting Data'!$J18)+(1-'Heavy Bus Supporting Data'!$J46)*('Heavy Bus Supporting Data'!M$28/'Heavy Bus Supporting Data'!$J$28))</f>
        <v>75.528944755188149</v>
      </c>
      <c r="N18" s="56">
        <f>$J18*('Heavy Bus Supporting Data'!$J46*('Heavy Bus Supporting Data'!N18/'Heavy Bus Supporting Data'!$J18)+(1-'Heavy Bus Supporting Data'!$J46)*('Heavy Bus Supporting Data'!N$28/'Heavy Bus Supporting Data'!$J$28))</f>
        <v>82.686340854061086</v>
      </c>
      <c r="O18" s="56">
        <f>$J18*('Heavy Bus Supporting Data'!$J46*('Heavy Bus Supporting Data'!O18/'Heavy Bus Supporting Data'!$J18)+(1-'Heavy Bus Supporting Data'!$J46)*('Heavy Bus Supporting Data'!O$28/'Heavy Bus Supporting Data'!$J$28))</f>
        <v>90.894326012754831</v>
      </c>
      <c r="P18" s="56">
        <f>$J18*('Heavy Bus Supporting Data'!$J46*('Heavy Bus Supporting Data'!P18/'Heavy Bus Supporting Data'!$J18)+(1-'Heavy Bus Supporting Data'!$J46)*('Heavy Bus Supporting Data'!P$28/'Heavy Bus Supporting Data'!$J$28))</f>
        <v>100.93291171895049</v>
      </c>
      <c r="Q18" s="56">
        <f>$J18*('Heavy Bus Supporting Data'!$J46*('Heavy Bus Supporting Data'!Q18/'Heavy Bus Supporting Data'!$J18)+(1-'Heavy Bus Supporting Data'!$J46)*('Heavy Bus Supporting Data'!Q$28/'Heavy Bus Supporting Data'!$J$28))</f>
        <v>112.5703838707817</v>
      </c>
      <c r="R18" s="57">
        <f>$J18*('Heavy Bus Supporting Data'!$J46*('Heavy Bus Supporting Data'!R18/'Heavy Bus Supporting Data'!$J18)+(1-'Heavy Bus Supporting Data'!$J46)*('Heavy Bus Supporting Data'!R$28/'Heavy Bus Supporting Data'!$J$28))</f>
        <v>126.06140362678785</v>
      </c>
    </row>
    <row r="19" spans="3:18" ht="16" x14ac:dyDescent="0.2">
      <c r="C19" s="24" t="s">
        <v>12</v>
      </c>
      <c r="D19" s="55">
        <f>'Scaled 2012-13 Data'!F18</f>
        <v>18.743958770408213</v>
      </c>
      <c r="E19" s="56">
        <f>'Scaled 2013-14 Data'!$F18</f>
        <v>19.524385446445841</v>
      </c>
      <c r="F19" s="56">
        <f>'Scaled 2014-15 Data'!$F18</f>
        <v>20.014483270765375</v>
      </c>
      <c r="G19" s="56">
        <f>'Scaled 2015-16 Data'!$F18</f>
        <v>19.622089713548924</v>
      </c>
      <c r="H19" s="56">
        <f>'Scaled 2016-17 Data'!$F18</f>
        <v>21.073427945817279</v>
      </c>
      <c r="I19" s="56">
        <f>'Scaled 2017-18 Data'!$F18</f>
        <v>26.091793300184566</v>
      </c>
      <c r="J19" s="56">
        <f>'Scaled 2018-19 Data'!$F18</f>
        <v>27.135640909553725</v>
      </c>
      <c r="K19" s="56">
        <f>$J19*('Heavy Bus Supporting Data'!$J47*('Heavy Bus Supporting Data'!K19/'Heavy Bus Supporting Data'!$J19)+(1-'Heavy Bus Supporting Data'!$J47)*('Heavy Bus Supporting Data'!K$28/'Heavy Bus Supporting Data'!$J$28))</f>
        <v>30.325747115476133</v>
      </c>
      <c r="L19" s="56">
        <f>$J19*('Heavy Bus Supporting Data'!$J47*('Heavy Bus Supporting Data'!L19/'Heavy Bus Supporting Data'!$J19)+(1-'Heavy Bus Supporting Data'!$J47)*('Heavy Bus Supporting Data'!L$28/'Heavy Bus Supporting Data'!$J$28))</f>
        <v>34.813095824914527</v>
      </c>
      <c r="M19" s="56">
        <f>$J19*('Heavy Bus Supporting Data'!$J47*('Heavy Bus Supporting Data'!M19/'Heavy Bus Supporting Data'!$J19)+(1-'Heavy Bus Supporting Data'!$J47)*('Heavy Bus Supporting Data'!M$28/'Heavy Bus Supporting Data'!$J$28))</f>
        <v>38.968907134213545</v>
      </c>
      <c r="N19" s="56">
        <f>$J19*('Heavy Bus Supporting Data'!$J47*('Heavy Bus Supporting Data'!N19/'Heavy Bus Supporting Data'!$J19)+(1-'Heavy Bus Supporting Data'!$J47)*('Heavy Bus Supporting Data'!N$28/'Heavy Bus Supporting Data'!$J$28))</f>
        <v>43.912886738179083</v>
      </c>
      <c r="O19" s="56">
        <f>$J19*('Heavy Bus Supporting Data'!$J47*('Heavy Bus Supporting Data'!O19/'Heavy Bus Supporting Data'!$J19)+(1-'Heavy Bus Supporting Data'!$J47)*('Heavy Bus Supporting Data'!O$28/'Heavy Bus Supporting Data'!$J$28))</f>
        <v>49.636034446937316</v>
      </c>
      <c r="P19" s="56">
        <f>$J19*('Heavy Bus Supporting Data'!$J47*('Heavy Bus Supporting Data'!P19/'Heavy Bus Supporting Data'!$J19)+(1-'Heavy Bus Supporting Data'!$J47)*('Heavy Bus Supporting Data'!P$28/'Heavy Bus Supporting Data'!$J$28))</f>
        <v>56.531822918452782</v>
      </c>
      <c r="Q19" s="56">
        <f>$J19*('Heavy Bus Supporting Data'!$J47*('Heavy Bus Supporting Data'!Q19/'Heavy Bus Supporting Data'!$J19)+(1-'Heavy Bus Supporting Data'!$J47)*('Heavy Bus Supporting Data'!Q$28/'Heavy Bus Supporting Data'!$J$28))</f>
        <v>64.491498101875052</v>
      </c>
      <c r="R19" s="57">
        <f>$J19*('Heavy Bus Supporting Data'!$J47*('Heavy Bus Supporting Data'!R19/'Heavy Bus Supporting Data'!$J19)+(1-'Heavy Bus Supporting Data'!$J47)*('Heavy Bus Supporting Data'!R$28/'Heavy Bus Supporting Data'!$J$28))</f>
        <v>73.694637722761726</v>
      </c>
    </row>
    <row r="20" spans="3:18" ht="17" thickBot="1" x14ac:dyDescent="0.25">
      <c r="C20" s="25" t="s">
        <v>13</v>
      </c>
      <c r="D20" s="58">
        <f>'Scaled 2012-13 Data'!F19</f>
        <v>7.914409359205445</v>
      </c>
      <c r="E20" s="59">
        <f>'Scaled 2013-14 Data'!$F19</f>
        <v>7.5288576503770077</v>
      </c>
      <c r="F20" s="59">
        <f>'Scaled 2014-15 Data'!$F19</f>
        <v>7.4791478762437498</v>
      </c>
      <c r="G20" s="59">
        <f>'Scaled 2015-16 Data'!$F19</f>
        <v>8.9255936143670827</v>
      </c>
      <c r="H20" s="59">
        <f>'Scaled 2016-17 Data'!$F19</f>
        <v>8.4445767328455812</v>
      </c>
      <c r="I20" s="59">
        <f>'Scaled 2017-18 Data'!$F19</f>
        <v>8.7271411951811011</v>
      </c>
      <c r="J20" s="59">
        <f>'Scaled 2018-19 Data'!$F19</f>
        <v>9.4768398644300493</v>
      </c>
      <c r="K20" s="59">
        <f>$J20*('Heavy Bus Supporting Data'!$J48*('Heavy Bus Supporting Data'!K20/'Heavy Bus Supporting Data'!$J20)+(1-'Heavy Bus Supporting Data'!$J48)*('Heavy Bus Supporting Data'!K$28/'Heavy Bus Supporting Data'!$J$28))</f>
        <v>10.381080022490732</v>
      </c>
      <c r="L20" s="59">
        <f>$J20*('Heavy Bus Supporting Data'!$J48*('Heavy Bus Supporting Data'!L20/'Heavy Bus Supporting Data'!$J20)+(1-'Heavy Bus Supporting Data'!$J48)*('Heavy Bus Supporting Data'!L$28/'Heavy Bus Supporting Data'!$J$28))</f>
        <v>11.710695131370816</v>
      </c>
      <c r="M20" s="59">
        <f>$J20*('Heavy Bus Supporting Data'!$J48*('Heavy Bus Supporting Data'!M20/'Heavy Bus Supporting Data'!$J20)+(1-'Heavy Bus Supporting Data'!$J48)*('Heavy Bus Supporting Data'!M$28/'Heavy Bus Supporting Data'!$J$28))</f>
        <v>12.930833639043126</v>
      </c>
      <c r="N20" s="59">
        <f>$J20*('Heavy Bus Supporting Data'!$J48*('Heavy Bus Supporting Data'!N20/'Heavy Bus Supporting Data'!$J20)+(1-'Heavy Bus Supporting Data'!$J48)*('Heavy Bus Supporting Data'!N$28/'Heavy Bus Supporting Data'!$J$28))</f>
        <v>14.410324781307944</v>
      </c>
      <c r="O20" s="59">
        <f>$J20*('Heavy Bus Supporting Data'!$J48*('Heavy Bus Supporting Data'!O20/'Heavy Bus Supporting Data'!$J20)+(1-'Heavy Bus Supporting Data'!$J48)*('Heavy Bus Supporting Data'!O$28/'Heavy Bus Supporting Data'!$J$28))</f>
        <v>16.13745009266799</v>
      </c>
      <c r="P20" s="59">
        <f>$J20*('Heavy Bus Supporting Data'!$J48*('Heavy Bus Supporting Data'!P20/'Heavy Bus Supporting Data'!$J20)+(1-'Heavy Bus Supporting Data'!$J48)*('Heavy Bus Supporting Data'!P$28/'Heavy Bus Supporting Data'!$J$28))</f>
        <v>18.253411639459543</v>
      </c>
      <c r="Q20" s="59">
        <f>$J20*('Heavy Bus Supporting Data'!$J48*('Heavy Bus Supporting Data'!Q20/'Heavy Bus Supporting Data'!$J20)+(1-'Heavy Bus Supporting Data'!$J48)*('Heavy Bus Supporting Data'!Q$28/'Heavy Bus Supporting Data'!$J$28))</f>
        <v>20.703317978942117</v>
      </c>
      <c r="R20" s="60">
        <f>$J20*('Heavy Bus Supporting Data'!$J48*('Heavy Bus Supporting Data'!R20/'Heavy Bus Supporting Data'!$J20)+(1-'Heavy Bus Supporting Data'!$J48)*('Heavy Bus Supporting Data'!R$28/'Heavy Bus Supporting Data'!$J$28))</f>
        <v>23.544620306129413</v>
      </c>
    </row>
    <row r="21" spans="3:18" ht="19" thickTop="1" thickBot="1" x14ac:dyDescent="0.25">
      <c r="C21" s="31" t="s">
        <v>24</v>
      </c>
      <c r="D21" s="61">
        <f t="shared" ref="D21:O21" si="0">SUM(D7:D20)</f>
        <v>245.25345477429616</v>
      </c>
      <c r="E21" s="62">
        <f t="shared" si="0"/>
        <v>255.49508658811862</v>
      </c>
      <c r="F21" s="62">
        <f t="shared" si="0"/>
        <v>263.52125939693201</v>
      </c>
      <c r="G21" s="62">
        <f t="shared" ref="G21:H21" si="1">SUM(G7:G20)</f>
        <v>272.01059552122399</v>
      </c>
      <c r="H21" s="62">
        <f t="shared" si="1"/>
        <v>285.50486420865337</v>
      </c>
      <c r="I21" s="62">
        <f t="shared" si="0"/>
        <v>299.20374473000015</v>
      </c>
      <c r="J21" s="62">
        <f t="shared" ref="J21" si="2">SUM(J7:J20)</f>
        <v>320.30879022326218</v>
      </c>
      <c r="K21" s="62">
        <f t="shared" si="0"/>
        <v>364.5645533531287</v>
      </c>
      <c r="L21" s="62">
        <f t="shared" si="0"/>
        <v>424.6920495778935</v>
      </c>
      <c r="M21" s="62">
        <f t="shared" si="0"/>
        <v>473.21379992181716</v>
      </c>
      <c r="N21" s="62">
        <f t="shared" si="0"/>
        <v>528.24397627447786</v>
      </c>
      <c r="O21" s="62">
        <f t="shared" si="0"/>
        <v>589.97169555201685</v>
      </c>
      <c r="P21" s="62">
        <f t="shared" ref="P21:R21" si="3">SUM(P7:P20)</f>
        <v>661.67081759830614</v>
      </c>
      <c r="Q21" s="62">
        <f t="shared" si="3"/>
        <v>743.28615565588598</v>
      </c>
      <c r="R21" s="63">
        <f t="shared" si="3"/>
        <v>836.83585169531159</v>
      </c>
    </row>
    <row r="22" spans="3:18" ht="19" thickTop="1" thickBot="1" x14ac:dyDescent="0.25">
      <c r="C22" s="31" t="s">
        <v>96</v>
      </c>
      <c r="D22" s="61">
        <f>'Scaled 2012-13 Data'!$F21</f>
        <v>245.25345477429616</v>
      </c>
      <c r="E22" s="62">
        <f>'Scaled 2013-14 Data'!$F21</f>
        <v>255.49508658811862</v>
      </c>
      <c r="F22" s="62">
        <f>'Scaled 2014-15 Data'!$F21</f>
        <v>263.52125939693201</v>
      </c>
      <c r="G22" s="62">
        <f>'Scaled 2015-16 Data'!$F21</f>
        <v>272.01059552122399</v>
      </c>
      <c r="H22" s="62">
        <f>'Scaled 2016-17 Data'!$F21</f>
        <v>285.50486420865337</v>
      </c>
      <c r="I22" s="62">
        <f>'Scaled 2017-18 Data'!$F21</f>
        <v>299.20374473000015</v>
      </c>
      <c r="J22" s="62">
        <f>'Scaled 2018-19 Data'!$F21</f>
        <v>320.30879022326218</v>
      </c>
      <c r="K22" s="62"/>
      <c r="L22" s="62"/>
      <c r="M22" s="62"/>
      <c r="N22" s="62"/>
      <c r="O22" s="62"/>
      <c r="P22" s="62"/>
      <c r="Q22" s="62"/>
      <c r="R22" s="63"/>
    </row>
    <row r="23" spans="3:18" ht="14" thickTop="1" x14ac:dyDescent="0.15"/>
    <row r="24" spans="3:18" ht="14" thickBot="1" x14ac:dyDescent="0.2"/>
    <row r="25" spans="3:18" ht="17" thickTop="1" x14ac:dyDescent="0.2">
      <c r="C25" s="32" t="s">
        <v>55</v>
      </c>
      <c r="D25" s="34"/>
      <c r="E25" s="33"/>
      <c r="F25" s="33"/>
      <c r="G25" s="33"/>
      <c r="H25" s="33"/>
      <c r="I25" s="34"/>
      <c r="J25" s="34"/>
      <c r="K25" s="34"/>
      <c r="L25" s="34"/>
      <c r="M25" s="34"/>
      <c r="N25" s="34"/>
      <c r="O25" s="34"/>
      <c r="P25" s="34"/>
      <c r="Q25" s="34"/>
      <c r="R25" s="35"/>
    </row>
    <row r="26" spans="3:18" ht="14" thickBot="1" x14ac:dyDescent="0.2">
      <c r="C26" s="18"/>
      <c r="D26" s="65" t="s">
        <v>25</v>
      </c>
      <c r="E26" s="37" t="s">
        <v>37</v>
      </c>
      <c r="F26" s="37" t="s">
        <v>38</v>
      </c>
      <c r="G26" s="37" t="s">
        <v>177</v>
      </c>
      <c r="H26" s="37" t="s">
        <v>178</v>
      </c>
      <c r="I26" s="65" t="s">
        <v>26</v>
      </c>
      <c r="J26" s="65"/>
      <c r="K26" s="65" t="s">
        <v>27</v>
      </c>
      <c r="L26" s="65" t="s">
        <v>28</v>
      </c>
      <c r="M26" s="65" t="s">
        <v>29</v>
      </c>
      <c r="N26" s="65" t="s">
        <v>30</v>
      </c>
      <c r="O26" s="65" t="s">
        <v>31</v>
      </c>
      <c r="P26" s="37" t="s">
        <v>174</v>
      </c>
      <c r="Q26" s="37" t="s">
        <v>175</v>
      </c>
      <c r="R26" s="38" t="s">
        <v>176</v>
      </c>
    </row>
    <row r="27" spans="3:18" ht="15" thickTop="1" thickBot="1" x14ac:dyDescent="0.2">
      <c r="C27" s="70"/>
      <c r="D27" s="71" t="s">
        <v>39</v>
      </c>
      <c r="E27" s="65" t="s">
        <v>39</v>
      </c>
      <c r="F27" s="65" t="s">
        <v>39</v>
      </c>
      <c r="G27" s="65" t="s">
        <v>39</v>
      </c>
      <c r="H27" s="65" t="s">
        <v>39</v>
      </c>
      <c r="I27" s="71" t="s">
        <v>39</v>
      </c>
      <c r="J27" s="71"/>
      <c r="K27" s="71" t="s">
        <v>32</v>
      </c>
      <c r="L27" s="71" t="s">
        <v>32</v>
      </c>
      <c r="M27" s="71" t="s">
        <v>32</v>
      </c>
      <c r="N27" s="71" t="s">
        <v>32</v>
      </c>
      <c r="O27" s="71" t="s">
        <v>32</v>
      </c>
      <c r="P27" s="65" t="s">
        <v>32</v>
      </c>
      <c r="Q27" s="65" t="s">
        <v>32</v>
      </c>
      <c r="R27" s="66" t="s">
        <v>32</v>
      </c>
    </row>
    <row r="28" spans="3:18" ht="19" thickTop="1" thickBot="1" x14ac:dyDescent="0.25">
      <c r="C28" s="20" t="s">
        <v>24</v>
      </c>
      <c r="D28" s="48">
        <f>'Heavy Bus Supporting Data'!D63</f>
        <v>8974</v>
      </c>
      <c r="E28" s="48">
        <f>'Heavy Bus Supporting Data'!E63</f>
        <v>9253</v>
      </c>
      <c r="F28" s="48">
        <f>'Heavy Bus Supporting Data'!F63</f>
        <v>9440</v>
      </c>
      <c r="G28" s="48">
        <f>'Heavy Bus Supporting Data'!G63</f>
        <v>9791</v>
      </c>
      <c r="H28" s="48">
        <f>'Heavy Bus Supporting Data'!H63</f>
        <v>10339</v>
      </c>
      <c r="I28" s="48">
        <f>'Heavy Bus Supporting Data'!I63</f>
        <v>10786</v>
      </c>
      <c r="J28" s="48">
        <f>'Heavy Bus Supporting Data'!J63</f>
        <v>11380</v>
      </c>
      <c r="K28" s="48">
        <f>$J28*('Heavy Bus Supporting Data'!$J49*('Heavy Bus Supporting Data'!K21/'Heavy Bus Supporting Data'!$I21)+(1-'Heavy Bus Supporting Data'!$J49)*('Heavy Bus Supporting Data'!K$28/'Heavy Bus Supporting Data'!$I$28))</f>
        <v>13522.777117149966</v>
      </c>
      <c r="L28" s="48">
        <f>$J28*('Heavy Bus Supporting Data'!$J49*('Heavy Bus Supporting Data'!L21/'Heavy Bus Supporting Data'!$I21)+(1-'Heavy Bus Supporting Data'!$J49)*('Heavy Bus Supporting Data'!L$28/'Heavy Bus Supporting Data'!$I$28))</f>
        <v>15825.725442495463</v>
      </c>
      <c r="M28" s="48">
        <f>$J28*('Heavy Bus Supporting Data'!$J49*('Heavy Bus Supporting Data'!M21/'Heavy Bus Supporting Data'!$I21)+(1-'Heavy Bus Supporting Data'!$J49)*('Heavy Bus Supporting Data'!M$28/'Heavy Bus Supporting Data'!$I$28))</f>
        <v>17647.871378487293</v>
      </c>
      <c r="N28" s="48">
        <f>$J28*('Heavy Bus Supporting Data'!$J49*('Heavy Bus Supporting Data'!N21/'Heavy Bus Supporting Data'!$I21)+(1-'Heavy Bus Supporting Data'!$J49)*('Heavy Bus Supporting Data'!N$28/'Heavy Bus Supporting Data'!$I$28))</f>
        <v>19699.360720310862</v>
      </c>
      <c r="O28" s="48">
        <f>$J28*('Heavy Bus Supporting Data'!$J49*('Heavy Bus Supporting Data'!O21/'Heavy Bus Supporting Data'!$I21)+(1-'Heavy Bus Supporting Data'!$J49)*('Heavy Bus Supporting Data'!O$28/'Heavy Bus Supporting Data'!$I$28))</f>
        <v>21987.948642138374</v>
      </c>
      <c r="P28" s="48">
        <f>$J28*('Heavy Bus Supporting Data'!$J49*('Heavy Bus Supporting Data'!P21/'Heavy Bus Supporting Data'!$I21)+(1-'Heavy Bus Supporting Data'!$J49)*('Heavy Bus Supporting Data'!P$28/'Heavy Bus Supporting Data'!$I$28))</f>
        <v>24624.543980797924</v>
      </c>
      <c r="Q28" s="48">
        <f>$J28*('Heavy Bus Supporting Data'!$J49*('Heavy Bus Supporting Data'!Q21/'Heavy Bus Supporting Data'!$I21)+(1-'Heavy Bus Supporting Data'!$J49)*('Heavy Bus Supporting Data'!Q$28/'Heavy Bus Supporting Data'!$I$28))</f>
        <v>27616.534960699839</v>
      </c>
      <c r="R28" s="48">
        <f>$J28*('Heavy Bus Supporting Data'!$J49*('Heavy Bus Supporting Data'!R21/'Heavy Bus Supporting Data'!$I21)+(1-'Heavy Bus Supporting Data'!$J49)*('Heavy Bus Supporting Data'!R$28/'Heavy Bus Supporting Data'!$I$28))</f>
        <v>31039.377541998467</v>
      </c>
    </row>
    <row r="29" spans="3:18" ht="14" thickTop="1" x14ac:dyDescent="0.1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C3:R44"/>
  <sheetViews>
    <sheetView topLeftCell="A4" zoomScale="90" zoomScaleNormal="90" workbookViewId="0">
      <selection activeCell="L35" sqref="L35"/>
    </sheetView>
  </sheetViews>
  <sheetFormatPr baseColWidth="10" defaultColWidth="8.83203125" defaultRowHeight="13" x14ac:dyDescent="0.15"/>
  <cols>
    <col min="3" max="3" width="27.6640625" customWidth="1"/>
    <col min="4" max="18" width="17.6640625" customWidth="1"/>
  </cols>
  <sheetData>
    <row r="3" spans="3:18" ht="14" thickBot="1" x14ac:dyDescent="0.2"/>
    <row r="4" spans="3:18" ht="17" thickTop="1" x14ac:dyDescent="0.2">
      <c r="C4" s="32" t="s">
        <v>57</v>
      </c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34"/>
      <c r="Q4" s="34"/>
      <c r="R4" s="35"/>
    </row>
    <row r="5" spans="3:18" ht="14" thickBot="1" x14ac:dyDescent="0.2">
      <c r="C5" s="36"/>
      <c r="D5" s="37" t="s">
        <v>25</v>
      </c>
      <c r="E5" s="37" t="s">
        <v>37</v>
      </c>
      <c r="F5" s="37" t="s">
        <v>38</v>
      </c>
      <c r="G5" s="37" t="s">
        <v>177</v>
      </c>
      <c r="H5" s="37" t="s">
        <v>178</v>
      </c>
      <c r="I5" s="37" t="s">
        <v>26</v>
      </c>
      <c r="J5" s="37" t="s">
        <v>183</v>
      </c>
      <c r="K5" s="37" t="s">
        <v>27</v>
      </c>
      <c r="L5" s="37" t="s">
        <v>28</v>
      </c>
      <c r="M5" s="37" t="s">
        <v>29</v>
      </c>
      <c r="N5" s="37" t="s">
        <v>30</v>
      </c>
      <c r="O5" s="37" t="s">
        <v>31</v>
      </c>
      <c r="P5" s="37" t="s">
        <v>174</v>
      </c>
      <c r="Q5" s="37" t="s">
        <v>175</v>
      </c>
      <c r="R5" s="38" t="s">
        <v>176</v>
      </c>
    </row>
    <row r="6" spans="3:18" ht="15" thickTop="1" thickBot="1" x14ac:dyDescent="0.2">
      <c r="C6" s="70"/>
      <c r="D6" s="71" t="s">
        <v>39</v>
      </c>
      <c r="E6" s="65" t="s">
        <v>39</v>
      </c>
      <c r="F6" s="65" t="s">
        <v>39</v>
      </c>
      <c r="G6" s="65" t="s">
        <v>39</v>
      </c>
      <c r="H6" s="65" t="s">
        <v>39</v>
      </c>
      <c r="I6" s="71" t="s">
        <v>39</v>
      </c>
      <c r="J6" s="71" t="s">
        <v>39</v>
      </c>
      <c r="K6" s="71" t="s">
        <v>32</v>
      </c>
      <c r="L6" s="71" t="s">
        <v>32</v>
      </c>
      <c r="M6" s="71" t="s">
        <v>32</v>
      </c>
      <c r="N6" s="71" t="s">
        <v>32</v>
      </c>
      <c r="O6" s="71" t="s">
        <v>32</v>
      </c>
      <c r="P6" s="65" t="s">
        <v>32</v>
      </c>
      <c r="Q6" s="65" t="s">
        <v>32</v>
      </c>
      <c r="R6" s="66" t="s">
        <v>32</v>
      </c>
    </row>
    <row r="7" spans="3:18" ht="17" thickTop="1" x14ac:dyDescent="0.2">
      <c r="C7" s="24" t="s">
        <v>0</v>
      </c>
      <c r="D7" s="52">
        <f>'Scaled 2012-13 Data'!$G6</f>
        <v>12.256338036699967</v>
      </c>
      <c r="E7" s="53">
        <f>'Scaled 2013-14 Data'!$G6</f>
        <v>13.263818395435685</v>
      </c>
      <c r="F7" s="53">
        <f>'Scaled 2014-15 Data'!$G6</f>
        <v>13.485359116357262</v>
      </c>
      <c r="G7" s="53">
        <f>'Scaled 2015-16 Data'!$G6</f>
        <v>14.484052275603073</v>
      </c>
      <c r="H7" s="53">
        <f>'Scaled 2016-17 Data'!$G6</f>
        <v>13.936503563654707</v>
      </c>
      <c r="I7" s="53">
        <f>'Scaled 2017-18 Data'!$G6</f>
        <v>15.391409847296568</v>
      </c>
      <c r="J7" s="53">
        <f>'Scaled 2018-19 Data'!$G6</f>
        <v>15.789113955016051</v>
      </c>
      <c r="K7" s="53">
        <f>$J7*('Motorcycle Supporting Data'!K7/'Motorcycle Supporting Data'!$J7)</f>
        <v>16.460115950243782</v>
      </c>
      <c r="L7" s="53">
        <f>$J7*('Motorcycle Supporting Data'!L7/'Motorcycle Supporting Data'!$J7)</f>
        <v>16.666550396366624</v>
      </c>
      <c r="M7" s="53">
        <f>$J7*('Motorcycle Supporting Data'!M7/'Motorcycle Supporting Data'!$J7)</f>
        <v>16.67803571711945</v>
      </c>
      <c r="N7" s="53">
        <f>$J7*('Motorcycle Supporting Data'!N7/'Motorcycle Supporting Data'!$J7)</f>
        <v>16.38691960504574</v>
      </c>
      <c r="O7" s="53">
        <f>$J7*('Motorcycle Supporting Data'!O7/'Motorcycle Supporting Data'!$J7)</f>
        <v>16.005701691869316</v>
      </c>
      <c r="P7" s="53">
        <f>$J7*('Motorcycle Supporting Data'!P7/'Motorcycle Supporting Data'!$J7)</f>
        <v>16.193137748169242</v>
      </c>
      <c r="Q7" s="53">
        <f>$J7*('Motorcycle Supporting Data'!Q7/'Motorcycle Supporting Data'!$J7)</f>
        <v>16.331247891875332</v>
      </c>
      <c r="R7" s="54">
        <f>$J7*('Motorcycle Supporting Data'!R7/'Motorcycle Supporting Data'!$J7)</f>
        <v>16.435721315397327</v>
      </c>
    </row>
    <row r="8" spans="3:18" ht="16" x14ac:dyDescent="0.2">
      <c r="C8" s="24" t="s">
        <v>1</v>
      </c>
      <c r="D8" s="55">
        <f>'Scaled 2012-13 Data'!$G7</f>
        <v>97.291044179389033</v>
      </c>
      <c r="E8" s="56">
        <f>'Scaled 2013-14 Data'!$G7</f>
        <v>100.28100737595719</v>
      </c>
      <c r="F8" s="56">
        <f>'Scaled 2014-15 Data'!$G7</f>
        <v>101.69226394154018</v>
      </c>
      <c r="G8" s="56">
        <f>'Scaled 2015-16 Data'!$G7</f>
        <v>103.92799966050693</v>
      </c>
      <c r="H8" s="56">
        <f>'Scaled 2016-17 Data'!$G7</f>
        <v>104.47605597583795</v>
      </c>
      <c r="I8" s="56">
        <f>'Scaled 2017-18 Data'!$G7</f>
        <v>103.44774000465038</v>
      </c>
      <c r="J8" s="56">
        <f>'Scaled 2018-19 Data'!$G7</f>
        <v>104.80855694310515</v>
      </c>
      <c r="K8" s="56">
        <f>$J8*('Motorcycle Supporting Data'!K8/'Motorcycle Supporting Data'!$J8)</f>
        <v>113.61049840057944</v>
      </c>
      <c r="L8" s="56">
        <f>$J8*('Motorcycle Supporting Data'!L8/'Motorcycle Supporting Data'!$J8)</f>
        <v>119.66785366970873</v>
      </c>
      <c r="M8" s="56">
        <f>$J8*('Motorcycle Supporting Data'!M8/'Motorcycle Supporting Data'!$J8)</f>
        <v>124.51069294405916</v>
      </c>
      <c r="N8" s="56">
        <f>$J8*('Motorcycle Supporting Data'!N8/'Motorcycle Supporting Data'!$J8)</f>
        <v>127.03385388747326</v>
      </c>
      <c r="O8" s="56">
        <f>$J8*('Motorcycle Supporting Data'!O8/'Motorcycle Supporting Data'!$J8)</f>
        <v>128.80003481818653</v>
      </c>
      <c r="P8" s="56">
        <f>$J8*('Motorcycle Supporting Data'!P8/'Motorcycle Supporting Data'!$J8)</f>
        <v>135.26685218836914</v>
      </c>
      <c r="Q8" s="56">
        <f>$J8*('Motorcycle Supporting Data'!Q8/'Motorcycle Supporting Data'!$J8)</f>
        <v>141.61160849464571</v>
      </c>
      <c r="R8" s="57">
        <f>$J8*('Motorcycle Supporting Data'!R8/'Motorcycle Supporting Data'!$J8)</f>
        <v>147.94059629032759</v>
      </c>
    </row>
    <row r="9" spans="3:18" ht="16" x14ac:dyDescent="0.2">
      <c r="C9" s="24" t="s">
        <v>2</v>
      </c>
      <c r="D9" s="55">
        <f>'Scaled 2012-13 Data'!$G8</f>
        <v>46.908260132153586</v>
      </c>
      <c r="E9" s="56">
        <f>'Scaled 2013-14 Data'!$G8</f>
        <v>47.513629797834014</v>
      </c>
      <c r="F9" s="56">
        <f>'Scaled 2014-15 Data'!$G8</f>
        <v>47.636998519517796</v>
      </c>
      <c r="G9" s="56">
        <f>'Scaled 2015-16 Data'!$G8</f>
        <v>49.388635650559948</v>
      </c>
      <c r="H9" s="56">
        <f>'Scaled 2016-17 Data'!$G8</f>
        <v>50.55125646295086</v>
      </c>
      <c r="I9" s="56">
        <f>'Scaled 2017-18 Data'!$G8</f>
        <v>53.665237674137792</v>
      </c>
      <c r="J9" s="56">
        <f>'Scaled 2018-19 Data'!$G8</f>
        <v>54.170203325800216</v>
      </c>
      <c r="K9" s="56">
        <f>$J9*('Motorcycle Supporting Data'!K9/'Motorcycle Supporting Data'!$J9)</f>
        <v>57.131887416049985</v>
      </c>
      <c r="L9" s="56">
        <f>$J9*('Motorcycle Supporting Data'!L9/'Motorcycle Supporting Data'!$J9)</f>
        <v>58.626612748311857</v>
      </c>
      <c r="M9" s="56">
        <f>$J9*('Motorcycle Supporting Data'!M9/'Motorcycle Supporting Data'!$J9)</f>
        <v>59.533630029469599</v>
      </c>
      <c r="N9" s="56">
        <f>$J9*('Motorcycle Supporting Data'!N9/'Motorcycle Supporting Data'!$J9)</f>
        <v>59.393329934952099</v>
      </c>
      <c r="O9" s="56">
        <f>$J9*('Motorcycle Supporting Data'!O9/'Motorcycle Supporting Data'!$J9)</f>
        <v>58.966443325269388</v>
      </c>
      <c r="P9" s="56">
        <f>$J9*('Motorcycle Supporting Data'!P9/'Motorcycle Supporting Data'!$J9)</f>
        <v>60.63886836495805</v>
      </c>
      <c r="Q9" s="56">
        <f>$J9*('Motorcycle Supporting Data'!Q9/'Motorcycle Supporting Data'!$J9)</f>
        <v>62.162620136319049</v>
      </c>
      <c r="R9" s="57">
        <f>$J9*('Motorcycle Supporting Data'!R9/'Motorcycle Supporting Data'!$J9)</f>
        <v>63.58996298020282</v>
      </c>
    </row>
    <row r="10" spans="3:18" ht="16" x14ac:dyDescent="0.2">
      <c r="C10" s="24" t="s">
        <v>3</v>
      </c>
      <c r="D10" s="55">
        <f>'Scaled 2012-13 Data'!$G9</f>
        <v>25.767043995276101</v>
      </c>
      <c r="E10" s="56">
        <f>'Scaled 2013-14 Data'!$G9</f>
        <v>27.192047927332954</v>
      </c>
      <c r="F10" s="56">
        <f>'Scaled 2014-15 Data'!$G9</f>
        <v>26.84427444526807</v>
      </c>
      <c r="G10" s="56">
        <f>'Scaled 2015-16 Data'!$G9</f>
        <v>27.791948080932613</v>
      </c>
      <c r="H10" s="56">
        <f>'Scaled 2016-17 Data'!$G9</f>
        <v>29.937966164015663</v>
      </c>
      <c r="I10" s="56">
        <f>'Scaled 2017-18 Data'!$G9</f>
        <v>29.817661276087755</v>
      </c>
      <c r="J10" s="56">
        <f>'Scaled 2018-19 Data'!$G9</f>
        <v>29.929635657722667</v>
      </c>
      <c r="K10" s="56">
        <f>$J10*('Motorcycle Supporting Data'!K10/'Motorcycle Supporting Data'!$J10)</f>
        <v>31.396002601174423</v>
      </c>
      <c r="L10" s="56">
        <f>$J10*('Motorcycle Supporting Data'!L10/'Motorcycle Supporting Data'!$J10)</f>
        <v>32.002621484836034</v>
      </c>
      <c r="M10" s="56">
        <f>$J10*('Motorcycle Supporting Data'!M10/'Motorcycle Supporting Data'!$J10)</f>
        <v>32.289169574428747</v>
      </c>
      <c r="N10" s="56">
        <f>$J10*('Motorcycle Supporting Data'!N10/'Motorcycle Supporting Data'!$J10)</f>
        <v>31.994492489372824</v>
      </c>
      <c r="O10" s="56">
        <f>$J10*('Motorcycle Supporting Data'!O10/'Motorcycle Supporting Data'!$J10)</f>
        <v>31.549969821042673</v>
      </c>
      <c r="P10" s="56">
        <f>$J10*('Motorcycle Supporting Data'!P10/'Motorcycle Supporting Data'!$J10)</f>
        <v>32.225641187612361</v>
      </c>
      <c r="Q10" s="56">
        <f>$J10*('Motorcycle Supporting Data'!Q10/'Motorcycle Supporting Data'!$J10)</f>
        <v>32.812268383153487</v>
      </c>
      <c r="R10" s="57">
        <f>$J10*('Motorcycle Supporting Data'!R10/'Motorcycle Supporting Data'!$J10)</f>
        <v>33.338954785051151</v>
      </c>
    </row>
    <row r="11" spans="3:18" ht="16" x14ac:dyDescent="0.2">
      <c r="C11" s="24" t="s">
        <v>4</v>
      </c>
      <c r="D11" s="55">
        <f>'Scaled 2012-13 Data'!$G10</f>
        <v>2.7884785044479377</v>
      </c>
      <c r="E11" s="56">
        <f>'Scaled 2013-14 Data'!$G10</f>
        <v>2.7601540462194354</v>
      </c>
      <c r="F11" s="56">
        <f>'Scaled 2014-15 Data'!$G10</f>
        <v>2.908456882893673</v>
      </c>
      <c r="G11" s="56">
        <f>'Scaled 2015-16 Data'!$G10</f>
        <v>3.0386461481188856</v>
      </c>
      <c r="H11" s="56">
        <f>'Scaled 2016-17 Data'!$G10</f>
        <v>3.1917678125708666</v>
      </c>
      <c r="I11" s="56">
        <f>'Scaled 2017-18 Data'!$G10</f>
        <v>3.0512692047295351</v>
      </c>
      <c r="J11" s="56">
        <f>'Scaled 2018-19 Data'!$G10</f>
        <v>2.802172664967614</v>
      </c>
      <c r="K11" s="56">
        <f>$J11*('Motorcycle Supporting Data'!K11/'Motorcycle Supporting Data'!$J11)</f>
        <v>2.8714348782583916</v>
      </c>
      <c r="L11" s="56">
        <f>$J11*('Motorcycle Supporting Data'!L11/'Motorcycle Supporting Data'!$J11)</f>
        <v>2.8600632192636839</v>
      </c>
      <c r="M11" s="56">
        <f>$J11*('Motorcycle Supporting Data'!M11/'Motorcycle Supporting Data'!$J11)</f>
        <v>2.820874389506121</v>
      </c>
      <c r="N11" s="56">
        <f>$J11*('Motorcycle Supporting Data'!N11/'Motorcycle Supporting Data'!$J11)</f>
        <v>2.72926287636106</v>
      </c>
      <c r="O11" s="56">
        <f>$J11*('Motorcycle Supporting Data'!O11/'Motorcycle Supporting Data'!$J11)</f>
        <v>2.6282852710080564</v>
      </c>
      <c r="P11" s="56">
        <f>$J11*('Motorcycle Supporting Data'!P11/'Motorcycle Supporting Data'!$J11)</f>
        <v>2.621673058290098</v>
      </c>
      <c r="Q11" s="56">
        <f>$J11*('Motorcycle Supporting Data'!Q11/'Motorcycle Supporting Data'!$J11)</f>
        <v>2.6068535263757169</v>
      </c>
      <c r="R11" s="57">
        <f>$J11*('Motorcycle Supporting Data'!R11/'Motorcycle Supporting Data'!$J11)</f>
        <v>2.5866386670034562</v>
      </c>
    </row>
    <row r="12" spans="3:18" ht="16" x14ac:dyDescent="0.2">
      <c r="C12" s="24" t="s">
        <v>5</v>
      </c>
      <c r="D12" s="55">
        <f>'Scaled 2012-13 Data'!$G11</f>
        <v>13.396909433695859</v>
      </c>
      <c r="E12" s="56">
        <f>'Scaled 2013-14 Data'!$G11</f>
        <v>12.994284016766002</v>
      </c>
      <c r="F12" s="56">
        <f>'Scaled 2014-15 Data'!$G11</f>
        <v>13.325722064347435</v>
      </c>
      <c r="G12" s="56">
        <f>'Scaled 2015-16 Data'!$G11</f>
        <v>13.926317234083857</v>
      </c>
      <c r="H12" s="56">
        <f>'Scaled 2016-17 Data'!$G11</f>
        <v>13.680742605734771</v>
      </c>
      <c r="I12" s="56">
        <f>'Scaled 2017-18 Data'!$G11</f>
        <v>13.901547731508426</v>
      </c>
      <c r="J12" s="56">
        <f>'Scaled 2018-19 Data'!$G11</f>
        <v>14.313138565403021</v>
      </c>
      <c r="K12" s="56">
        <f>$J12*('Motorcycle Supporting Data'!K12/'Motorcycle Supporting Data'!$J12)</f>
        <v>14.68469502825409</v>
      </c>
      <c r="L12" s="56">
        <f>$J12*('Motorcycle Supporting Data'!L12/'Motorcycle Supporting Data'!$J12)</f>
        <v>14.666836915589993</v>
      </c>
      <c r="M12" s="56">
        <f>$J12*('Motorcycle Supporting Data'!M12/'Motorcycle Supporting Data'!$J12)</f>
        <v>14.489619424398787</v>
      </c>
      <c r="N12" s="56">
        <f>$J12*('Motorcycle Supporting Data'!N12/'Motorcycle Supporting Data'!$J12)</f>
        <v>14.063386867847235</v>
      </c>
      <c r="O12" s="56">
        <f>$J12*('Motorcycle Supporting Data'!O12/'Motorcycle Supporting Data'!$J12)</f>
        <v>13.57679553071112</v>
      </c>
      <c r="P12" s="56">
        <f>$J12*('Motorcycle Supporting Data'!P12/'Motorcycle Supporting Data'!$J12)</f>
        <v>13.576365691106734</v>
      </c>
      <c r="Q12" s="56">
        <f>$J12*('Motorcycle Supporting Data'!Q12/'Motorcycle Supporting Data'!$J12)</f>
        <v>13.533241958452292</v>
      </c>
      <c r="R12" s="57">
        <f>$J12*('Motorcycle Supporting Data'!R12/'Motorcycle Supporting Data'!$J12)</f>
        <v>13.461740129999383</v>
      </c>
    </row>
    <row r="13" spans="3:18" ht="16" x14ac:dyDescent="0.2">
      <c r="C13" s="24" t="s">
        <v>6</v>
      </c>
      <c r="D13" s="55">
        <f>'Scaled 2012-13 Data'!$G12</f>
        <v>12.428778271332048</v>
      </c>
      <c r="E13" s="56">
        <f>'Scaled 2013-14 Data'!$G12</f>
        <v>12.528740840905686</v>
      </c>
      <c r="F13" s="56">
        <f>'Scaled 2014-15 Data'!$G12</f>
        <v>12.593895910580988</v>
      </c>
      <c r="G13" s="56">
        <f>'Scaled 2015-16 Data'!$G12</f>
        <v>13.49188249984538</v>
      </c>
      <c r="H13" s="56">
        <f>'Scaled 2016-17 Data'!$G12</f>
        <v>13.001290265147537</v>
      </c>
      <c r="I13" s="56">
        <f>'Scaled 2017-18 Data'!$G12</f>
        <v>12.612643343408967</v>
      </c>
      <c r="J13" s="56">
        <f>'Scaled 2018-19 Data'!$G12</f>
        <v>12.257460316141954</v>
      </c>
      <c r="K13" s="56">
        <f>$J13*('Motorcycle Supporting Data'!K13/'Motorcycle Supporting Data'!$J13)</f>
        <v>12.658187808446284</v>
      </c>
      <c r="L13" s="56">
        <f>$J13*('Motorcycle Supporting Data'!L13/'Motorcycle Supporting Data'!$J13)</f>
        <v>12.761824805658637</v>
      </c>
      <c r="M13" s="56">
        <f>$J13*('Motorcycle Supporting Data'!M13/'Motorcycle Supporting Data'!$J13)</f>
        <v>12.741191423485068</v>
      </c>
      <c r="N13" s="56">
        <f>$J13*('Motorcycle Supporting Data'!N13/'Motorcycle Supporting Data'!$J13)</f>
        <v>12.516267693632008</v>
      </c>
      <c r="O13" s="56">
        <f>$J13*('Motorcycle Supporting Data'!O13/'Motorcycle Supporting Data'!$J13)</f>
        <v>12.247378043050162</v>
      </c>
      <c r="P13" s="56">
        <f>$J13*('Motorcycle Supporting Data'!P13/'Motorcycle Supporting Data'!$J13)</f>
        <v>12.413387149700748</v>
      </c>
      <c r="Q13" s="56">
        <f>$J13*('Motorcycle Supporting Data'!Q13/'Motorcycle Supporting Data'!$J13)</f>
        <v>12.542079411093463</v>
      </c>
      <c r="R13" s="57">
        <f>$J13*('Motorcycle Supporting Data'!R13/'Motorcycle Supporting Data'!$J13)</f>
        <v>12.645320145635434</v>
      </c>
    </row>
    <row r="14" spans="3:18" ht="16" x14ac:dyDescent="0.2">
      <c r="C14" s="24" t="s">
        <v>7</v>
      </c>
      <c r="D14" s="55">
        <f>'Scaled 2012-13 Data'!$G13</f>
        <v>25.885007357844472</v>
      </c>
      <c r="E14" s="56">
        <f>'Scaled 2013-14 Data'!$G13</f>
        <v>26.871294941996638</v>
      </c>
      <c r="F14" s="56">
        <f>'Scaled 2014-15 Data'!$G13</f>
        <v>26.744921835507391</v>
      </c>
      <c r="G14" s="56">
        <f>'Scaled 2015-16 Data'!$G13</f>
        <v>29.131111746868683</v>
      </c>
      <c r="H14" s="56">
        <f>'Scaled 2016-17 Data'!$G13</f>
        <v>27.613416852924839</v>
      </c>
      <c r="I14" s="56">
        <f>'Scaled 2017-18 Data'!$G13</f>
        <v>26.981833462786341</v>
      </c>
      <c r="J14" s="56">
        <f>'Scaled 2018-19 Data'!$G13</f>
        <v>27.755182864446166</v>
      </c>
      <c r="K14" s="56">
        <f>$J14*('Motorcycle Supporting Data'!K14/'Motorcycle Supporting Data'!$J14)</f>
        <v>28.407708733419511</v>
      </c>
      <c r="L14" s="56">
        <f>$J14*('Motorcycle Supporting Data'!L14/'Motorcycle Supporting Data'!$J14)</f>
        <v>28.287108955794693</v>
      </c>
      <c r="M14" s="56">
        <f>$J14*('Motorcycle Supporting Data'!M14/'Motorcycle Supporting Data'!$J14)</f>
        <v>27.889992075177869</v>
      </c>
      <c r="N14" s="56">
        <f>$J14*('Motorcycle Supporting Data'!N14/'Motorcycle Supporting Data'!$J14)</f>
        <v>27.027119271628372</v>
      </c>
      <c r="O14" s="56">
        <f>$J14*('Motorcycle Supporting Data'!O14/'Motorcycle Supporting Data'!$J14)</f>
        <v>26.057354857541096</v>
      </c>
      <c r="P14" s="56">
        <f>$J14*('Motorcycle Supporting Data'!P14/'Motorcycle Supporting Data'!$J14)</f>
        <v>26.021947301144415</v>
      </c>
      <c r="Q14" s="56">
        <f>$J14*('Motorcycle Supporting Data'!Q14/'Motorcycle Supporting Data'!$J14)</f>
        <v>25.904864655113265</v>
      </c>
      <c r="R14" s="57">
        <f>$J14*('Motorcycle Supporting Data'!R14/'Motorcycle Supporting Data'!$J14)</f>
        <v>25.733798682145942</v>
      </c>
    </row>
    <row r="15" spans="3:18" ht="16" x14ac:dyDescent="0.2">
      <c r="C15" s="24" t="s">
        <v>8</v>
      </c>
      <c r="D15" s="55">
        <f>'Scaled 2012-13 Data'!$G14</f>
        <v>43.463206269811508</v>
      </c>
      <c r="E15" s="56">
        <f>'Scaled 2013-14 Data'!$G14</f>
        <v>44.104188811135614</v>
      </c>
      <c r="F15" s="56">
        <f>'Scaled 2014-15 Data'!$G14</f>
        <v>46.803830474764027</v>
      </c>
      <c r="G15" s="56">
        <f>'Scaled 2015-16 Data'!$G14</f>
        <v>46.039760747989206</v>
      </c>
      <c r="H15" s="56">
        <f>'Scaled 2016-17 Data'!$G14</f>
        <v>44.380055634303879</v>
      </c>
      <c r="I15" s="56">
        <f>'Scaled 2017-18 Data'!$G14</f>
        <v>47.220423847016008</v>
      </c>
      <c r="J15" s="56">
        <f>'Scaled 2018-19 Data'!$G14</f>
        <v>46.696022946045218</v>
      </c>
      <c r="K15" s="56">
        <f>$J15*('Motorcycle Supporting Data'!K15/'Motorcycle Supporting Data'!$J15)</f>
        <v>48.409630858470273</v>
      </c>
      <c r="L15" s="56">
        <f>$J15*('Motorcycle Supporting Data'!L15/'Motorcycle Supporting Data'!$J15)</f>
        <v>48.864950247991871</v>
      </c>
      <c r="M15" s="56">
        <f>$J15*('Motorcycle Supporting Data'!M15/'Motorcycle Supporting Data'!$J15)</f>
        <v>48.890318189034211</v>
      </c>
      <c r="N15" s="56">
        <f>$J15*('Motorcycle Supporting Data'!N15/'Motorcycle Supporting Data'!$J15)</f>
        <v>48.094032009400905</v>
      </c>
      <c r="O15" s="56">
        <f>$J15*('Motorcycle Supporting Data'!O15/'Motorcycle Supporting Data'!$J15)</f>
        <v>47.062643331763084</v>
      </c>
      <c r="P15" s="56">
        <f>$J15*('Motorcycle Supporting Data'!P15/'Motorcycle Supporting Data'!$J15)</f>
        <v>47.702412193113105</v>
      </c>
      <c r="Q15" s="56">
        <f>$J15*('Motorcycle Supporting Data'!Q15/'Motorcycle Supporting Data'!$J15)</f>
        <v>48.198823140254682</v>
      </c>
      <c r="R15" s="57">
        <f>$J15*('Motorcycle Supporting Data'!R15/'Motorcycle Supporting Data'!$J15)</f>
        <v>48.59745930648571</v>
      </c>
    </row>
    <row r="16" spans="3:18" ht="16" x14ac:dyDescent="0.2">
      <c r="C16" s="24" t="s">
        <v>9</v>
      </c>
      <c r="D16" s="55">
        <f>'Scaled 2012-13 Data'!$G15</f>
        <v>18.906650307937248</v>
      </c>
      <c r="E16" s="56">
        <f>'Scaled 2013-14 Data'!$G15</f>
        <v>18.084782368895013</v>
      </c>
      <c r="F16" s="56">
        <f>'Scaled 2014-15 Data'!$G15</f>
        <v>17.174473811878244</v>
      </c>
      <c r="G16" s="56">
        <f>'Scaled 2015-16 Data'!$G15</f>
        <v>19.550282180920426</v>
      </c>
      <c r="H16" s="56">
        <f>'Scaled 2016-17 Data'!$G15</f>
        <v>19.546073851503056</v>
      </c>
      <c r="I16" s="56">
        <f>'Scaled 2017-18 Data'!$G15</f>
        <v>20.479869206384855</v>
      </c>
      <c r="J16" s="56">
        <f>'Scaled 2018-19 Data'!$G15</f>
        <v>19.867134174371309</v>
      </c>
      <c r="K16" s="56">
        <f>$J16*('Motorcycle Supporting Data'!K16/'Motorcycle Supporting Data'!$J16)</f>
        <v>20.542489026724372</v>
      </c>
      <c r="L16" s="56">
        <f>$J16*('Motorcycle Supporting Data'!L16/'Motorcycle Supporting Data'!$J16)</f>
        <v>20.663082354145143</v>
      </c>
      <c r="M16" s="56">
        <f>$J16*('Motorcycle Supporting Data'!M16/'Motorcycle Supporting Data'!$J16)</f>
        <v>20.568087230925581</v>
      </c>
      <c r="N16" s="56">
        <f>$J16*('Motorcycle Supporting Data'!N16/'Motorcycle Supporting Data'!$J16)</f>
        <v>20.1023742069493</v>
      </c>
      <c r="O16" s="56">
        <f>$J16*('Motorcycle Supporting Data'!O16/'Motorcycle Supporting Data'!$J16)</f>
        <v>19.511365175110846</v>
      </c>
      <c r="P16" s="56">
        <f>$J16*('Motorcycle Supporting Data'!P16/'Motorcycle Supporting Data'!$J16)</f>
        <v>19.61676264918675</v>
      </c>
      <c r="Q16" s="56">
        <f>$J16*('Motorcycle Supporting Data'!Q16/'Motorcycle Supporting Data'!$J16)</f>
        <v>19.661633204372659</v>
      </c>
      <c r="R16" s="57">
        <f>$J16*('Motorcycle Supporting Data'!R16/'Motorcycle Supporting Data'!$J16)</f>
        <v>19.66588091951537</v>
      </c>
    </row>
    <row r="17" spans="3:18" ht="16" x14ac:dyDescent="0.2">
      <c r="C17" s="24" t="s">
        <v>10</v>
      </c>
      <c r="D17" s="55">
        <f>'Scaled 2012-13 Data'!$G16</f>
        <v>6.2495289086035593</v>
      </c>
      <c r="E17" s="56">
        <f>'Scaled 2013-14 Data'!$G16</f>
        <v>6.303205469607259</v>
      </c>
      <c r="F17" s="56">
        <f>'Scaled 2014-15 Data'!$G16</f>
        <v>6.6727696224627238</v>
      </c>
      <c r="G17" s="56">
        <f>'Scaled 2015-16 Data'!$G16</f>
        <v>6.6052521510774138</v>
      </c>
      <c r="H17" s="56">
        <f>'Scaled 2016-17 Data'!$G16</f>
        <v>7.1659192329701016</v>
      </c>
      <c r="I17" s="56">
        <f>'Scaled 2017-18 Data'!$G16</f>
        <v>7.5065541787015979</v>
      </c>
      <c r="J17" s="56">
        <f>'Scaled 2018-19 Data'!$G16</f>
        <v>7.3030126291481707</v>
      </c>
      <c r="K17" s="56">
        <f>$J17*('Motorcycle Supporting Data'!K17/'Motorcycle Supporting Data'!$J17)</f>
        <v>7.3747197083896445</v>
      </c>
      <c r="L17" s="56">
        <f>$J17*('Motorcycle Supporting Data'!L17/'Motorcycle Supporting Data'!$J17)</f>
        <v>7.2127069331666362</v>
      </c>
      <c r="M17" s="56">
        <f>$J17*('Motorcycle Supporting Data'!M17/'Motorcycle Supporting Data'!$J17)</f>
        <v>6.9838769886907892</v>
      </c>
      <c r="N17" s="56">
        <f>$J17*('Motorcycle Supporting Data'!N17/'Motorcycle Supporting Data'!$J17)</f>
        <v>6.6431815858867198</v>
      </c>
      <c r="O17" s="56">
        <f>$J17*('Motorcycle Supporting Data'!O17/'Motorcycle Supporting Data'!$J17)</f>
        <v>6.2919247144804853</v>
      </c>
      <c r="P17" s="56">
        <f>$J17*('Motorcycle Supporting Data'!P17/'Motorcycle Supporting Data'!$J17)</f>
        <v>6.1726237812189755</v>
      </c>
      <c r="Q17" s="56">
        <f>$J17*('Motorcycle Supporting Data'!Q17/'Motorcycle Supporting Data'!$J17)</f>
        <v>6.0365411693704338</v>
      </c>
      <c r="R17" s="57">
        <f>$J17*('Motorcycle Supporting Data'!R17/'Motorcycle Supporting Data'!$J17)</f>
        <v>5.8909801996697295</v>
      </c>
    </row>
    <row r="18" spans="3:18" ht="16" x14ac:dyDescent="0.2">
      <c r="C18" s="24" t="s">
        <v>11</v>
      </c>
      <c r="D18" s="55">
        <f>'Scaled 2012-13 Data'!$G17</f>
        <v>52.00251695729056</v>
      </c>
      <c r="E18" s="56">
        <f>'Scaled 2013-14 Data'!$G17</f>
        <v>53.935598319994213</v>
      </c>
      <c r="F18" s="56">
        <f>'Scaled 2014-15 Data'!$G17</f>
        <v>55.712248212767172</v>
      </c>
      <c r="G18" s="56">
        <f>'Scaled 2015-16 Data'!$G17</f>
        <v>60.045683744487782</v>
      </c>
      <c r="H18" s="56">
        <f>'Scaled 2016-17 Data'!$G17</f>
        <v>57.936037287034118</v>
      </c>
      <c r="I18" s="56">
        <f>'Scaled 2017-18 Data'!$G17</f>
        <v>60.156290286646147</v>
      </c>
      <c r="J18" s="56">
        <f>'Scaled 2018-19 Data'!$G17</f>
        <v>59.425772104514692</v>
      </c>
      <c r="K18" s="56">
        <f>$J18*('Motorcycle Supporting Data'!K18/'Motorcycle Supporting Data'!$J18)</f>
        <v>63.118579630963339</v>
      </c>
      <c r="L18" s="56">
        <f>$J18*('Motorcycle Supporting Data'!L18/'Motorcycle Supporting Data'!$J18)</f>
        <v>64.929060305929241</v>
      </c>
      <c r="M18" s="56">
        <f>$J18*('Motorcycle Supporting Data'!M18/'Motorcycle Supporting Data'!$J18)</f>
        <v>66.169643045599557</v>
      </c>
      <c r="N18" s="56">
        <f>$J18*('Motorcycle Supporting Data'!N18/'Motorcycle Supporting Data'!$J18)</f>
        <v>66.290356330568599</v>
      </c>
      <c r="O18" s="56">
        <f>$J18*('Motorcycle Supporting Data'!O18/'Motorcycle Supporting Data'!$J18)</f>
        <v>66.072916537500177</v>
      </c>
      <c r="P18" s="56">
        <f>$J18*('Motorcycle Supporting Data'!P18/'Motorcycle Supporting Data'!$J18)</f>
        <v>68.214311173289033</v>
      </c>
      <c r="Q18" s="56">
        <f>$J18*('Motorcycle Supporting Data'!Q18/'Motorcycle Supporting Data'!$J18)</f>
        <v>70.203633029984118</v>
      </c>
      <c r="R18" s="57">
        <f>$J18*('Motorcycle Supporting Data'!R18/'Motorcycle Supporting Data'!$J18)</f>
        <v>72.098248392937492</v>
      </c>
    </row>
    <row r="19" spans="3:18" ht="16" x14ac:dyDescent="0.2">
      <c r="C19" s="24" t="s">
        <v>12</v>
      </c>
      <c r="D19" s="55">
        <f>'Scaled 2012-13 Data'!$G18</f>
        <v>19.627457343040088</v>
      </c>
      <c r="E19" s="56">
        <f>'Scaled 2013-14 Data'!$G18</f>
        <v>20.264450172404157</v>
      </c>
      <c r="F19" s="56">
        <f>'Scaled 2014-15 Data'!$G18</f>
        <v>20.487101994423131</v>
      </c>
      <c r="G19" s="56">
        <f>'Scaled 2015-16 Data'!$G18</f>
        <v>21.306066673350525</v>
      </c>
      <c r="H19" s="56">
        <f>'Scaled 2016-17 Data'!$G18</f>
        <v>19.901364309339975</v>
      </c>
      <c r="I19" s="56">
        <f>'Scaled 2017-18 Data'!$G18</f>
        <v>21.842969450894522</v>
      </c>
      <c r="J19" s="56">
        <f>'Scaled 2018-19 Data'!$G18</f>
        <v>21.977519388642058</v>
      </c>
      <c r="K19" s="56">
        <f>$J19*('Motorcycle Supporting Data'!K19/'Motorcycle Supporting Data'!$J19)</f>
        <v>22.986137000407258</v>
      </c>
      <c r="L19" s="56">
        <f>$J19*('Motorcycle Supporting Data'!L19/'Motorcycle Supporting Data'!$J19)</f>
        <v>23.262552722419944</v>
      </c>
      <c r="M19" s="56">
        <f>$J19*('Motorcycle Supporting Data'!M19/'Motorcycle Supporting Data'!$J19)</f>
        <v>23.333207752873243</v>
      </c>
      <c r="N19" s="56">
        <f>$J19*('Motorcycle Supporting Data'!N19/'Motorcycle Supporting Data'!$J19)</f>
        <v>23.021247725421127</v>
      </c>
      <c r="O19" s="56">
        <f>$J19*('Motorcycle Supporting Data'!O19/'Motorcycle Supporting Data'!$J19)</f>
        <v>22.602865440410064</v>
      </c>
      <c r="P19" s="56">
        <f>$J19*('Motorcycle Supporting Data'!P19/'Motorcycle Supporting Data'!$J19)</f>
        <v>22.98672167842691</v>
      </c>
      <c r="Q19" s="56">
        <f>$J19*('Motorcycle Supporting Data'!Q19/'Motorcycle Supporting Data'!$J19)</f>
        <v>23.303579990501106</v>
      </c>
      <c r="R19" s="57">
        <f>$J19*('Motorcycle Supporting Data'!R19/'Motorcycle Supporting Data'!$J19)</f>
        <v>23.574868991453819</v>
      </c>
    </row>
    <row r="20" spans="3:18" ht="17" thickBot="1" x14ac:dyDescent="0.25">
      <c r="C20" s="25" t="s">
        <v>13</v>
      </c>
      <c r="D20" s="58">
        <f>'Scaled 2012-13 Data'!$G19</f>
        <v>8.4069565937113993</v>
      </c>
      <c r="E20" s="59">
        <f>'Scaled 2013-14 Data'!$G19</f>
        <v>8.3813963296353666</v>
      </c>
      <c r="F20" s="59">
        <f>'Scaled 2014-15 Data'!$G19</f>
        <v>7.8984877300179157</v>
      </c>
      <c r="G20" s="59">
        <f>'Scaled 2015-16 Data'!$G19</f>
        <v>8.8635508086328034</v>
      </c>
      <c r="H20" s="59">
        <f>'Scaled 2016-17 Data'!$G19</f>
        <v>9.1486434791888858</v>
      </c>
      <c r="I20" s="59">
        <f>'Scaled 2017-18 Data'!$G19</f>
        <v>9.0584146357509674</v>
      </c>
      <c r="J20" s="59">
        <f>'Scaled 2018-19 Data'!$G19</f>
        <v>9.6164287900135363</v>
      </c>
      <c r="K20" s="59">
        <f>$J20*('Motorcycle Supporting Data'!K20/'Motorcycle Supporting Data'!$J20)</f>
        <v>9.78103129781109</v>
      </c>
      <c r="L20" s="59">
        <f>$J20*('Motorcycle Supporting Data'!L20/'Motorcycle Supporting Data'!$J20)</f>
        <v>9.6734670805980016</v>
      </c>
      <c r="M20" s="59">
        <f>$J20*('Motorcycle Supporting Data'!M20/'Motorcycle Supporting Data'!$J20)</f>
        <v>9.4840163131095228</v>
      </c>
      <c r="N20" s="59">
        <f>$J20*('Motorcycle Supporting Data'!N20/'Motorcycle Supporting Data'!$J20)</f>
        <v>9.1394529098815944</v>
      </c>
      <c r="O20" s="59">
        <f>$J20*('Motorcycle Supporting Data'!O20/'Motorcycle Supporting Data'!$J20)</f>
        <v>8.7656817503774143</v>
      </c>
      <c r="P20" s="59">
        <f>$J20*('Motorcycle Supporting Data'!P20/'Motorcycle Supporting Data'!$J20)</f>
        <v>8.7082340876746436</v>
      </c>
      <c r="Q20" s="59">
        <f>$J20*('Motorcycle Supporting Data'!Q20/'Motorcycle Supporting Data'!$J20)</f>
        <v>8.6239565492268433</v>
      </c>
      <c r="R20" s="60">
        <f>$J20*('Motorcycle Supporting Data'!R20/'Motorcycle Supporting Data'!$J20)</f>
        <v>8.5224421416421094</v>
      </c>
    </row>
    <row r="21" spans="3:18" ht="19" thickTop="1" thickBot="1" x14ac:dyDescent="0.25">
      <c r="C21" s="31" t="s">
        <v>24</v>
      </c>
      <c r="D21" s="61">
        <f t="shared" ref="D21:R21" si="0">SUM(D7:D20)</f>
        <v>385.37817629123339</v>
      </c>
      <c r="E21" s="62">
        <f t="shared" si="0"/>
        <v>394.47859881411927</v>
      </c>
      <c r="F21" s="62">
        <f t="shared" si="0"/>
        <v>399.980804562326</v>
      </c>
      <c r="G21" s="62">
        <f t="shared" ref="G21:H21" si="1">SUM(G7:G20)</f>
        <v>417.59118960297752</v>
      </c>
      <c r="H21" s="62">
        <f t="shared" si="1"/>
        <v>414.46709349717725</v>
      </c>
      <c r="I21" s="62">
        <f>SUM(I7:I20)</f>
        <v>425.13386414999991</v>
      </c>
      <c r="J21" s="62">
        <f>SUM(J7:J20)</f>
        <v>426.71135432533777</v>
      </c>
      <c r="K21" s="62">
        <f t="shared" si="0"/>
        <v>449.43311833919182</v>
      </c>
      <c r="L21" s="62">
        <f t="shared" si="0"/>
        <v>460.14529183978112</v>
      </c>
      <c r="M21" s="62">
        <f t="shared" si="0"/>
        <v>466.38235509787768</v>
      </c>
      <c r="N21" s="62">
        <f t="shared" si="0"/>
        <v>464.43527739442084</v>
      </c>
      <c r="O21" s="62">
        <f t="shared" si="0"/>
        <v>460.13936030832042</v>
      </c>
      <c r="P21" s="62">
        <f t="shared" si="0"/>
        <v>472.35893825226026</v>
      </c>
      <c r="Q21" s="62">
        <f t="shared" si="0"/>
        <v>483.53295154073817</v>
      </c>
      <c r="R21" s="63">
        <f t="shared" si="0"/>
        <v>494.08261294746728</v>
      </c>
    </row>
    <row r="22" spans="3:18" ht="19" thickTop="1" thickBot="1" x14ac:dyDescent="0.25">
      <c r="C22" s="31" t="s">
        <v>96</v>
      </c>
      <c r="D22" s="61">
        <f>'Scaled 2012-13 Data'!$G21</f>
        <v>385.37817629123339</v>
      </c>
      <c r="E22" s="62">
        <f>'Scaled 2013-14 Data'!$G21</f>
        <v>394.47859881411927</v>
      </c>
      <c r="F22" s="62">
        <f>'Scaled 2014-15 Data'!$G21</f>
        <v>399.980804562326</v>
      </c>
      <c r="G22" s="62">
        <f>'Scaled 2015-16 Data'!$G21</f>
        <v>417.59118960297752</v>
      </c>
      <c r="H22" s="62">
        <f>'Scaled 2016-17 Data'!$G21</f>
        <v>414.46709349717725</v>
      </c>
      <c r="I22" s="62">
        <f>'Scaled 2017-18 Data'!$G21</f>
        <v>425.13386414999991</v>
      </c>
      <c r="J22" s="62">
        <f>'Scaled 2018-19 Data'!$G21</f>
        <v>426.71135432533777</v>
      </c>
      <c r="K22" s="62"/>
      <c r="L22" s="62"/>
      <c r="M22" s="62"/>
      <c r="N22" s="62"/>
      <c r="O22" s="62"/>
      <c r="P22" s="62"/>
      <c r="Q22" s="62"/>
      <c r="R22" s="63"/>
    </row>
    <row r="23" spans="3:18" ht="14" thickTop="1" x14ac:dyDescent="0.15"/>
    <row r="24" spans="3:18" ht="14" thickBot="1" x14ac:dyDescent="0.2"/>
    <row r="25" spans="3:18" ht="17" thickTop="1" x14ac:dyDescent="0.2">
      <c r="C25" s="32" t="s">
        <v>56</v>
      </c>
      <c r="D25" s="34"/>
      <c r="E25" s="33"/>
      <c r="F25" s="33"/>
      <c r="G25" s="33"/>
      <c r="H25" s="33"/>
      <c r="I25" s="34"/>
      <c r="J25" s="34"/>
      <c r="K25" s="34"/>
      <c r="L25" s="34"/>
      <c r="M25" s="34"/>
      <c r="N25" s="34"/>
      <c r="O25" s="34"/>
      <c r="P25" s="34"/>
      <c r="Q25" s="34"/>
      <c r="R25" s="35"/>
    </row>
    <row r="26" spans="3:18" ht="14" thickBot="1" x14ac:dyDescent="0.2">
      <c r="C26" s="18"/>
      <c r="D26" s="65" t="s">
        <v>25</v>
      </c>
      <c r="E26" s="37" t="s">
        <v>37</v>
      </c>
      <c r="F26" s="37" t="s">
        <v>38</v>
      </c>
      <c r="G26" s="37" t="s">
        <v>177</v>
      </c>
      <c r="H26" s="37" t="s">
        <v>178</v>
      </c>
      <c r="I26" s="65" t="s">
        <v>26</v>
      </c>
      <c r="J26" s="65"/>
      <c r="K26" s="65" t="s">
        <v>27</v>
      </c>
      <c r="L26" s="65" t="s">
        <v>28</v>
      </c>
      <c r="M26" s="65" t="s">
        <v>29</v>
      </c>
      <c r="N26" s="65" t="s">
        <v>30</v>
      </c>
      <c r="O26" s="65" t="s">
        <v>31</v>
      </c>
      <c r="P26" s="37" t="s">
        <v>174</v>
      </c>
      <c r="Q26" s="37" t="s">
        <v>175</v>
      </c>
      <c r="R26" s="38" t="s">
        <v>176</v>
      </c>
    </row>
    <row r="27" spans="3:18" ht="15" thickTop="1" thickBot="1" x14ac:dyDescent="0.2">
      <c r="C27" s="70"/>
      <c r="D27" s="71" t="s">
        <v>39</v>
      </c>
      <c r="E27" s="65" t="s">
        <v>39</v>
      </c>
      <c r="F27" s="65" t="s">
        <v>39</v>
      </c>
      <c r="G27" s="65" t="s">
        <v>39</v>
      </c>
      <c r="H27" s="65" t="s">
        <v>39</v>
      </c>
      <c r="I27" s="71" t="s">
        <v>39</v>
      </c>
      <c r="J27" s="71"/>
      <c r="K27" s="71" t="s">
        <v>32</v>
      </c>
      <c r="L27" s="71" t="s">
        <v>32</v>
      </c>
      <c r="M27" s="71" t="s">
        <v>32</v>
      </c>
      <c r="N27" s="71" t="s">
        <v>32</v>
      </c>
      <c r="O27" s="71" t="s">
        <v>32</v>
      </c>
      <c r="P27" s="65" t="s">
        <v>32</v>
      </c>
      <c r="Q27" s="65" t="s">
        <v>32</v>
      </c>
      <c r="R27" s="66" t="s">
        <v>32</v>
      </c>
    </row>
    <row r="28" spans="3:18" ht="17" thickTop="1" x14ac:dyDescent="0.2">
      <c r="C28" s="24" t="s">
        <v>0</v>
      </c>
      <c r="D28" s="39">
        <f>('[1]12_13 fleet'!$D99+'[1]12_13 fleet'!$D114)*'Motorcycle Supporting Data'!D$32</f>
        <v>4131.2252676752669</v>
      </c>
      <c r="E28" s="40">
        <f>('[2]13_14 fleet'!$D100+'[2]13_14 fleet'!$D115)*'Motorcycle Supporting Data'!E$32</f>
        <v>4245.0962503547526</v>
      </c>
      <c r="F28" s="40">
        <f>('[3]14_15 fleet'!$D100+'[3]14_15 fleet'!$D115)*'Motorcycle Supporting Data'!F$32</f>
        <v>4388.4612956255778</v>
      </c>
      <c r="G28" s="40">
        <f>('[4]15_16 fleet'!$D100+'[4]15_16 fleet'!$D115)*'Motorcycle Supporting Data'!G$32</f>
        <v>4578.1000373037605</v>
      </c>
      <c r="H28" s="40">
        <f>('[5]16_17 fleet_v2'!$D100+'[5]16_17 fleet_v2'!$D115)*'Motorcycle Supporting Data'!H$32</f>
        <v>4820.3329480054645</v>
      </c>
      <c r="I28" s="40">
        <f>('[6]17_18 fleet_v3'!$D125+'[6]17_18 fleet_v3'!$D140)*'Motorcycle Supporting Data'!I$32</f>
        <v>5114.3633244537868</v>
      </c>
      <c r="J28" s="40">
        <f>('[7]18_19 fleet_v3'!$D125+'[7]18_19 fleet_v3'!$D140)*'Motorcycle Supporting Data'!J$32</f>
        <v>5405.0680213778123</v>
      </c>
      <c r="K28" s="40">
        <f>$J28*('Motorcycle Supporting Data'!K7/'Motorcycle Supporting Data'!$J7)</f>
        <v>5634.7713116966406</v>
      </c>
      <c r="L28" s="40">
        <f>$J28*('Motorcycle Supporting Data'!L7/'Motorcycle Supporting Data'!$J7)</f>
        <v>5705.4397625310803</v>
      </c>
      <c r="M28" s="40">
        <f>$J28*('Motorcycle Supporting Data'!M7/'Motorcycle Supporting Data'!$J7)</f>
        <v>5709.3715183023805</v>
      </c>
      <c r="N28" s="40">
        <f>$J28*('Motorcycle Supporting Data'!N7/'Motorcycle Supporting Data'!$J7)</f>
        <v>5609.7140965901544</v>
      </c>
      <c r="O28" s="40">
        <f>$J28*('Motorcycle Supporting Data'!O7/'Motorcycle Supporting Data'!$J7)</f>
        <v>5479.2122357791695</v>
      </c>
      <c r="P28" s="40">
        <f>$J28*('Motorcycle Supporting Data'!P7/'Motorcycle Supporting Data'!$J7)</f>
        <v>5543.3769911192285</v>
      </c>
      <c r="Q28" s="40">
        <f>$J28*('Motorcycle Supporting Data'!Q7/'Motorcycle Supporting Data'!$J7)</f>
        <v>5590.6560672789465</v>
      </c>
      <c r="R28" s="41">
        <f>$J28*('Motorcycle Supporting Data'!R7/'Motorcycle Supporting Data'!$J7)</f>
        <v>5626.420326259622</v>
      </c>
    </row>
    <row r="29" spans="3:18" ht="16" x14ac:dyDescent="0.2">
      <c r="C29" s="24" t="s">
        <v>1</v>
      </c>
      <c r="D29" s="42">
        <f>('[1]12_13 fleet'!$D100+'[1]12_13 fleet'!$D115)*'Motorcycle Supporting Data'!D$32</f>
        <v>33394.157872226293</v>
      </c>
      <c r="E29" s="43">
        <f>('[2]13_14 fleet'!$D101+'[2]13_14 fleet'!$D116)*'Motorcycle Supporting Data'!E$32</f>
        <v>34890.413173942834</v>
      </c>
      <c r="F29" s="43">
        <f>('[3]14_15 fleet'!$D101+'[3]14_15 fleet'!$D116)*'Motorcycle Supporting Data'!F$32</f>
        <v>37206.695860049913</v>
      </c>
      <c r="G29" s="43">
        <f>('[4]15_16 fleet'!$D101+'[4]15_16 fleet'!$D116)*'Motorcycle Supporting Data'!G$32</f>
        <v>39060.714145712285</v>
      </c>
      <c r="H29" s="43">
        <f>('[5]16_17 fleet_v2'!$D101+'[5]16_17 fleet_v2'!$D116)*'Motorcycle Supporting Data'!H$32</f>
        <v>40771.640693095622</v>
      </c>
      <c r="I29" s="43">
        <f>('[6]17_18 fleet_v3'!$D126+'[6]17_18 fleet_v3'!$D141)*'Motorcycle Supporting Data'!I$32</f>
        <v>42123.604938719051</v>
      </c>
      <c r="J29" s="43">
        <f>('[7]18_19 fleet_v3'!$D126+'[7]18_19 fleet_v3'!$D141)*'Motorcycle Supporting Data'!J$32</f>
        <v>43519.935561167556</v>
      </c>
      <c r="K29" s="43">
        <f>$J29*('Motorcycle Supporting Data'!K8/'Motorcycle Supporting Data'!$J8)</f>
        <v>47174.789098082416</v>
      </c>
      <c r="L29" s="43">
        <f>$J29*('Motorcycle Supporting Data'!L8/'Motorcycle Supporting Data'!$J8)</f>
        <v>49690.000820029018</v>
      </c>
      <c r="M29" s="43">
        <f>$J29*('Motorcycle Supporting Data'!M8/'Motorcycle Supporting Data'!$J8)</f>
        <v>51700.905838664396</v>
      </c>
      <c r="N29" s="43">
        <f>$J29*('Motorcycle Supporting Data'!N8/'Motorcycle Supporting Data'!$J8)</f>
        <v>52748.604660884084</v>
      </c>
      <c r="O29" s="43">
        <f>$J29*('Motorcycle Supporting Data'!O8/'Motorcycle Supporting Data'!$J8)</f>
        <v>53481.980661239955</v>
      </c>
      <c r="P29" s="43">
        <f>$J29*('Motorcycle Supporting Data'!P8/'Motorcycle Supporting Data'!$J8)</f>
        <v>56167.214419290474</v>
      </c>
      <c r="Q29" s="43">
        <f>$J29*('Motorcycle Supporting Data'!Q8/'Motorcycle Supporting Data'!$J8)</f>
        <v>58801.764437476108</v>
      </c>
      <c r="R29" s="44">
        <f>$J29*('Motorcycle Supporting Data'!R8/'Motorcycle Supporting Data'!$J8)</f>
        <v>61429.766855112779</v>
      </c>
    </row>
    <row r="30" spans="3:18" ht="16" x14ac:dyDescent="0.2">
      <c r="C30" s="24" t="s">
        <v>2</v>
      </c>
      <c r="D30" s="42">
        <f>('[1]12_13 fleet'!$D101+'[1]12_13 fleet'!$D116)*'Motorcycle Supporting Data'!D$32</f>
        <v>13186.73748613598</v>
      </c>
      <c r="E30" s="43">
        <f>('[2]13_14 fleet'!$D102+'[2]13_14 fleet'!$D117)*'Motorcycle Supporting Data'!E$32</f>
        <v>13806.846477050121</v>
      </c>
      <c r="F30" s="43">
        <f>('[3]14_15 fleet'!$D102+'[3]14_15 fleet'!$D117)*'Motorcycle Supporting Data'!F$32</f>
        <v>14409.389074094694</v>
      </c>
      <c r="G30" s="43">
        <f>('[4]15_16 fleet'!$D102+'[4]15_16 fleet'!$D117)*'Motorcycle Supporting Data'!G$32</f>
        <v>15107.73012310241</v>
      </c>
      <c r="H30" s="43">
        <f>('[5]16_17 fleet_v2'!$D102+'[5]16_17 fleet_v2'!$D117)*'Motorcycle Supporting Data'!H$32</f>
        <v>15705.088182385776</v>
      </c>
      <c r="I30" s="43">
        <f>('[6]17_18 fleet_v3'!$D127+'[6]17_18 fleet_v3'!$D142)*'Motorcycle Supporting Data'!I$32</f>
        <v>16376.147714573934</v>
      </c>
      <c r="J30" s="43">
        <f>('[7]18_19 fleet_v3'!$D127+'[7]18_19 fleet_v3'!$D142)*'Motorcycle Supporting Data'!J$32</f>
        <v>17165.764996769838</v>
      </c>
      <c r="K30" s="43">
        <f>$J30*('Motorcycle Supporting Data'!K9/'Motorcycle Supporting Data'!$J9)</f>
        <v>18104.280452990872</v>
      </c>
      <c r="L30" s="43">
        <f>$J30*('Motorcycle Supporting Data'!L9/'Motorcycle Supporting Data'!$J9)</f>
        <v>18577.937596827098</v>
      </c>
      <c r="M30" s="43">
        <f>$J30*('Motorcycle Supporting Data'!M9/'Motorcycle Supporting Data'!$J9)</f>
        <v>18865.358439660584</v>
      </c>
      <c r="N30" s="43">
        <f>$J30*('Motorcycle Supporting Data'!N9/'Motorcycle Supporting Data'!$J9)</f>
        <v>18820.899340309836</v>
      </c>
      <c r="O30" s="43">
        <f>$J30*('Motorcycle Supporting Data'!O9/'Motorcycle Supporting Data'!$J9)</f>
        <v>18685.625060868628</v>
      </c>
      <c r="P30" s="43">
        <f>$J30*('Motorcycle Supporting Data'!P9/'Motorcycle Supporting Data'!$J9)</f>
        <v>19215.592708088734</v>
      </c>
      <c r="Q30" s="43">
        <f>$J30*('Motorcycle Supporting Data'!Q9/'Motorcycle Supporting Data'!$J9)</f>
        <v>19698.447916574485</v>
      </c>
      <c r="R30" s="44">
        <f>$J30*('Motorcycle Supporting Data'!R9/'Motorcycle Supporting Data'!$J9)</f>
        <v>20150.752510680752</v>
      </c>
    </row>
    <row r="31" spans="3:18" ht="16" x14ac:dyDescent="0.2">
      <c r="C31" s="24" t="s">
        <v>3</v>
      </c>
      <c r="D31" s="42">
        <f>('[1]12_13 fleet'!$D102+'[1]12_13 fleet'!$D117)*'Motorcycle Supporting Data'!D$32</f>
        <v>10544.589878721537</v>
      </c>
      <c r="E31" s="43">
        <f>('[2]13_14 fleet'!$D103+'[2]13_14 fleet'!$D118)*'Motorcycle Supporting Data'!E$32</f>
        <v>10927.420725840502</v>
      </c>
      <c r="F31" s="43">
        <f>('[3]14_15 fleet'!$D103+'[3]14_15 fleet'!$D118)*'Motorcycle Supporting Data'!F$32</f>
        <v>11352.053850133938</v>
      </c>
      <c r="G31" s="43">
        <f>('[4]15_16 fleet'!$D103+'[4]15_16 fleet'!$D118)*'Motorcycle Supporting Data'!G$32</f>
        <v>11911.162928914209</v>
      </c>
      <c r="H31" s="43">
        <f>('[5]16_17 fleet_v2'!$D103+'[5]16_17 fleet_v2'!$D118)*'Motorcycle Supporting Data'!H$32</f>
        <v>12526.090920892395</v>
      </c>
      <c r="I31" s="43">
        <f>('[6]17_18 fleet_v3'!$D128+'[6]17_18 fleet_v3'!$D143)*'Motorcycle Supporting Data'!I$32</f>
        <v>13271.778023425089</v>
      </c>
      <c r="J31" s="43">
        <f>('[7]18_19 fleet_v3'!$D128+'[7]18_19 fleet_v3'!$D143)*'Motorcycle Supporting Data'!J$32</f>
        <v>14049.395618723205</v>
      </c>
      <c r="K31" s="43">
        <f>$J31*('Motorcycle Supporting Data'!K10/'Motorcycle Supporting Data'!$J10)</f>
        <v>14737.729066760214</v>
      </c>
      <c r="L31" s="43">
        <f>$J31*('Motorcycle Supporting Data'!L10/'Motorcycle Supporting Data'!$J10)</f>
        <v>15022.484577445861</v>
      </c>
      <c r="M31" s="43">
        <f>$J31*('Motorcycle Supporting Data'!M10/'Motorcycle Supporting Data'!$J10)</f>
        <v>15156.994316238441</v>
      </c>
      <c r="N31" s="43">
        <f>$J31*('Motorcycle Supporting Data'!N10/'Motorcycle Supporting Data'!$J10)</f>
        <v>15018.668711641429</v>
      </c>
      <c r="O31" s="43">
        <f>$J31*('Motorcycle Supporting Data'!O10/'Motorcycle Supporting Data'!$J10)</f>
        <v>14810.003464249774</v>
      </c>
      <c r="P31" s="43">
        <f>$J31*('Motorcycle Supporting Data'!P10/'Motorcycle Supporting Data'!$J10)</f>
        <v>15127.173190127527</v>
      </c>
      <c r="Q31" s="43">
        <f>$J31*('Motorcycle Supporting Data'!Q10/'Motorcycle Supporting Data'!$J10)</f>
        <v>15402.544318767803</v>
      </c>
      <c r="R31" s="44">
        <f>$J31*('Motorcycle Supporting Data'!R10/'Motorcycle Supporting Data'!$J10)</f>
        <v>15649.778388433226</v>
      </c>
    </row>
    <row r="32" spans="3:18" ht="16" x14ac:dyDescent="0.2">
      <c r="C32" s="24" t="s">
        <v>4</v>
      </c>
      <c r="D32" s="42">
        <f>('[1]12_13 fleet'!$D103+'[1]12_13 fleet'!$D118)*'Motorcycle Supporting Data'!D$32</f>
        <v>1268.898692976288</v>
      </c>
      <c r="E32" s="43">
        <f>('[2]13_14 fleet'!$D104+'[2]13_14 fleet'!$D119)*'Motorcycle Supporting Data'!E$32</f>
        <v>1272.0891622308209</v>
      </c>
      <c r="F32" s="43">
        <f>('[3]14_15 fleet'!$D104+'[3]14_15 fleet'!$D119)*'Motorcycle Supporting Data'!F$32</f>
        <v>1289.5916965215513</v>
      </c>
      <c r="G32" s="43">
        <f>('[4]15_16 fleet'!$D104+'[4]15_16 fleet'!$D119)*'Motorcycle Supporting Data'!G$32</f>
        <v>1286.3245680034902</v>
      </c>
      <c r="H32" s="43">
        <f>('[5]16_17 fleet_v2'!$D104+'[5]16_17 fleet_v2'!$D119)*'Motorcycle Supporting Data'!H$32</f>
        <v>1287.2013451445598</v>
      </c>
      <c r="I32" s="43">
        <f>('[6]17_18 fleet_v3'!$D129+'[6]17_18 fleet_v3'!$D144)*'Motorcycle Supporting Data'!I$32</f>
        <v>1465.4038381385571</v>
      </c>
      <c r="J32" s="43">
        <f>('[7]18_19 fleet_v3'!$D129+'[7]18_19 fleet_v3'!$D144)*'Motorcycle Supporting Data'!J$32</f>
        <v>1412.7121043049276</v>
      </c>
      <c r="K32" s="43">
        <f>$J32*('Motorcycle Supporting Data'!K11/'Motorcycle Supporting Data'!$J11)</f>
        <v>1447.6305689342164</v>
      </c>
      <c r="L32" s="43">
        <f>$J32*('Motorcycle Supporting Data'!L11/'Motorcycle Supporting Data'!$J11)</f>
        <v>1441.8975602196954</v>
      </c>
      <c r="M32" s="43">
        <f>$J32*('Motorcycle Supporting Data'!M11/'Motorcycle Supporting Data'!$J11)</f>
        <v>1422.1405570756033</v>
      </c>
      <c r="N32" s="43">
        <f>$J32*('Motorcycle Supporting Data'!N11/'Motorcycle Supporting Data'!$J11)</f>
        <v>1375.9547188038514</v>
      </c>
      <c r="O32" s="43">
        <f>$J32*('Motorcycle Supporting Data'!O11/'Motorcycle Supporting Data'!$J11)</f>
        <v>1325.0469759908071</v>
      </c>
      <c r="P32" s="43">
        <f>$J32*('Motorcycle Supporting Data'!P11/'Motorcycle Supporting Data'!$J11)</f>
        <v>1321.713436605572</v>
      </c>
      <c r="Q32" s="43">
        <f>$J32*('Motorcycle Supporting Data'!Q11/'Motorcycle Supporting Data'!$J11)</f>
        <v>1314.2421867510166</v>
      </c>
      <c r="R32" s="44">
        <f>$J32*('Motorcycle Supporting Data'!R11/'Motorcycle Supporting Data'!$J11)</f>
        <v>1304.0508888060183</v>
      </c>
    </row>
    <row r="33" spans="3:18" ht="16" x14ac:dyDescent="0.2">
      <c r="C33" s="24" t="s">
        <v>5</v>
      </c>
      <c r="D33" s="42">
        <f>('[1]12_13 fleet'!$D104+'[1]12_13 fleet'!$D119)*'Motorcycle Supporting Data'!D$32</f>
        <v>4852.2852979767595</v>
      </c>
      <c r="E33" s="43">
        <f>('[2]13_14 fleet'!$D105+'[2]13_14 fleet'!$D120)*'Motorcycle Supporting Data'!E$32</f>
        <v>4943.3569950230849</v>
      </c>
      <c r="F33" s="43">
        <f>('[3]14_15 fleet'!$D105+'[3]14_15 fleet'!$D120)*'Motorcycle Supporting Data'!F$32</f>
        <v>5132.0279140441307</v>
      </c>
      <c r="G33" s="43">
        <f>('[4]15_16 fleet'!$D105+'[4]15_16 fleet'!$D120)*'Motorcycle Supporting Data'!G$32</f>
        <v>5199.992387503873</v>
      </c>
      <c r="H33" s="43">
        <f>('[5]16_17 fleet_v2'!$D105+'[5]16_17 fleet_v2'!$D120)*'Motorcycle Supporting Data'!H$32</f>
        <v>5366.4183671577021</v>
      </c>
      <c r="I33" s="43">
        <f>('[6]17_18 fleet_v3'!$D130+'[6]17_18 fleet_v3'!$D145)*'Motorcycle Supporting Data'!I$32</f>
        <v>5697.4069792025321</v>
      </c>
      <c r="J33" s="43">
        <f>('[7]18_19 fleet_v3'!$D130+'[7]18_19 fleet_v3'!$D145)*'Motorcycle Supporting Data'!J$32</f>
        <v>5940.7432430845129</v>
      </c>
      <c r="K33" s="43">
        <f>$J33*('Motorcycle Supporting Data'!K12/'Motorcycle Supporting Data'!$J12)</f>
        <v>6094.9597020407828</v>
      </c>
      <c r="L33" s="43">
        <f>$J33*('Motorcycle Supporting Data'!L12/'Motorcycle Supporting Data'!$J12)</f>
        <v>6087.547598702391</v>
      </c>
      <c r="M33" s="43">
        <f>$J33*('Motorcycle Supporting Data'!M12/'Motorcycle Supporting Data'!$J12)</f>
        <v>6013.9925493650417</v>
      </c>
      <c r="N33" s="43">
        <f>$J33*('Motorcycle Supporting Data'!N12/'Motorcycle Supporting Data'!$J12)</f>
        <v>5837.0824909075045</v>
      </c>
      <c r="O33" s="43">
        <f>$J33*('Motorcycle Supporting Data'!O12/'Motorcycle Supporting Data'!$J12)</f>
        <v>5635.1202039481568</v>
      </c>
      <c r="P33" s="43">
        <f>$J33*('Motorcycle Supporting Data'!P12/'Motorcycle Supporting Data'!$J12)</f>
        <v>5634.9417967655745</v>
      </c>
      <c r="Q33" s="43">
        <f>$J33*('Motorcycle Supporting Data'!Q12/'Motorcycle Supporting Data'!$J12)</f>
        <v>5617.0430653159465</v>
      </c>
      <c r="R33" s="44">
        <f>$J33*('Motorcycle Supporting Data'!R12/'Motorcycle Supporting Data'!$J12)</f>
        <v>5587.3658563440058</v>
      </c>
    </row>
    <row r="34" spans="3:18" ht="16" x14ac:dyDescent="0.2">
      <c r="C34" s="24" t="s">
        <v>6</v>
      </c>
      <c r="D34" s="42">
        <f>('[1]12_13 fleet'!$D105+'[1]12_13 fleet'!$D120)*'Motorcycle Supporting Data'!D$32</f>
        <v>5425.1680138024021</v>
      </c>
      <c r="E34" s="43">
        <f>('[2]13_14 fleet'!$D106+'[2]13_14 fleet'!$D121)*'Motorcycle Supporting Data'!E$32</f>
        <v>5490.4478877529118</v>
      </c>
      <c r="F34" s="43">
        <f>('[3]14_15 fleet'!$D106+'[3]14_15 fleet'!$D121)*'Motorcycle Supporting Data'!F$32</f>
        <v>5640.5707511641767</v>
      </c>
      <c r="G34" s="43">
        <f>('[4]15_16 fleet'!$D106+'[4]15_16 fleet'!$D121)*'Motorcycle Supporting Data'!G$32</f>
        <v>5667.9309311397883</v>
      </c>
      <c r="H34" s="43">
        <f>('[5]16_17 fleet_v2'!$D106+'[5]16_17 fleet_v2'!$D121)*'Motorcycle Supporting Data'!H$32</f>
        <v>5835.5180599256955</v>
      </c>
      <c r="I34" s="43">
        <f>('[6]17_18 fleet_v3'!$D131+'[6]17_18 fleet_v3'!$D146)*'Motorcycle Supporting Data'!I$32</f>
        <v>5962.4268222701439</v>
      </c>
      <c r="J34" s="43">
        <f>('[7]18_19 fleet_v3'!$D131+'[7]18_19 fleet_v3'!$D146)*'Motorcycle Supporting Data'!J$32</f>
        <v>6130.8554296117936</v>
      </c>
      <c r="K34" s="43">
        <f>$J34*('Motorcycle Supporting Data'!K13/'Motorcycle Supporting Data'!$J13)</f>
        <v>6331.2886562854574</v>
      </c>
      <c r="L34" s="43">
        <f>$J34*('Motorcycle Supporting Data'!L13/'Motorcycle Supporting Data'!$J13)</f>
        <v>6383.1251240920292</v>
      </c>
      <c r="M34" s="43">
        <f>$J34*('Motorcycle Supporting Data'!M13/'Motorcycle Supporting Data'!$J13)</f>
        <v>6372.8048554664401</v>
      </c>
      <c r="N34" s="43">
        <f>$J34*('Motorcycle Supporting Data'!N13/'Motorcycle Supporting Data'!$J13)</f>
        <v>6260.3039919227758</v>
      </c>
      <c r="O34" s="43">
        <f>$J34*('Motorcycle Supporting Data'!O13/'Motorcycle Supporting Data'!$J13)</f>
        <v>6125.8125449412855</v>
      </c>
      <c r="P34" s="43">
        <f>$J34*('Motorcycle Supporting Data'!P13/'Motorcycle Supporting Data'!$J13)</f>
        <v>6208.8458819151301</v>
      </c>
      <c r="Q34" s="43">
        <f>$J34*('Motorcycle Supporting Data'!Q13/'Motorcycle Supporting Data'!$J13)</f>
        <v>6273.2143260429493</v>
      </c>
      <c r="R34" s="44">
        <f>$J34*('Motorcycle Supporting Data'!R13/'Motorcycle Supporting Data'!$J13)</f>
        <v>6324.8525938079456</v>
      </c>
    </row>
    <row r="35" spans="3:18" ht="16" x14ac:dyDescent="0.2">
      <c r="C35" s="24" t="s">
        <v>7</v>
      </c>
      <c r="D35" s="42">
        <f>('[1]12_13 fleet'!$D106+'[1]12_13 fleet'!$D121)*'Motorcycle Supporting Data'!D$32</f>
        <v>9266.2996658136817</v>
      </c>
      <c r="E35" s="43">
        <f>('[2]13_14 fleet'!$D107+'[2]13_14 fleet'!$D122)*'Motorcycle Supporting Data'!E$32</f>
        <v>9512.388642388918</v>
      </c>
      <c r="F35" s="43">
        <f>('[3]14_15 fleet'!$D107+'[3]14_15 fleet'!$D122)*'Motorcycle Supporting Data'!F$32</f>
        <v>9760.5781586686153</v>
      </c>
      <c r="G35" s="43">
        <f>('[4]15_16 fleet'!$D107+'[4]15_16 fleet'!$D122)*'Motorcycle Supporting Data'!G$32</f>
        <v>10031.305922446116</v>
      </c>
      <c r="H35" s="43">
        <f>('[5]16_17 fleet_v2'!$D107+'[5]16_17 fleet_v2'!$D122)*'Motorcycle Supporting Data'!H$32</f>
        <v>10250.392848974141</v>
      </c>
      <c r="I35" s="43">
        <f>('[6]17_18 fleet_v3'!$D132+'[6]17_18 fleet_v3'!$D147)*'Motorcycle Supporting Data'!I$32</f>
        <v>10291.08425904113</v>
      </c>
      <c r="J35" s="43">
        <f>('[7]18_19 fleet_v3'!$D132+'[7]18_19 fleet_v3'!$D147)*'Motorcycle Supporting Data'!J$32</f>
        <v>10649.433476243614</v>
      </c>
      <c r="K35" s="43">
        <f>$J35*('Motorcycle Supporting Data'!K14/'Motorcycle Supporting Data'!$J14)</f>
        <v>10899.802240416351</v>
      </c>
      <c r="L35" s="43">
        <f>$J35*('Motorcycle Supporting Data'!L14/'Motorcycle Supporting Data'!$J14)</f>
        <v>10853.52910594133</v>
      </c>
      <c r="M35" s="43">
        <f>$J35*('Motorcycle Supporting Data'!M14/'Motorcycle Supporting Data'!$J14)</f>
        <v>10701.158652355178</v>
      </c>
      <c r="N35" s="43">
        <f>$J35*('Motorcycle Supporting Data'!N14/'Motorcycle Supporting Data'!$J14)</f>
        <v>10370.081513907237</v>
      </c>
      <c r="O35" s="43">
        <f>$J35*('Motorcycle Supporting Data'!O14/'Motorcycle Supporting Data'!$J14)</f>
        <v>9997.9909510062789</v>
      </c>
      <c r="P35" s="43">
        <f>$J35*('Motorcycle Supporting Data'!P14/'Motorcycle Supporting Data'!$J14)</f>
        <v>9984.4053652710172</v>
      </c>
      <c r="Q35" s="43">
        <f>$J35*('Motorcycle Supporting Data'!Q14/'Motorcycle Supporting Data'!$J14)</f>
        <v>9939.4817250190008</v>
      </c>
      <c r="R35" s="44">
        <f>$J35*('Motorcycle Supporting Data'!R14/'Motorcycle Supporting Data'!$J14)</f>
        <v>9873.8451299346998</v>
      </c>
    </row>
    <row r="36" spans="3:18" ht="16" x14ac:dyDescent="0.2">
      <c r="C36" s="24" t="s">
        <v>8</v>
      </c>
      <c r="D36" s="42">
        <f>('[1]12_13 fleet'!$D107+'[1]12_13 fleet'!$D122)*'Motorcycle Supporting Data'!D$32</f>
        <v>16266.112521475639</v>
      </c>
      <c r="E36" s="43">
        <f>('[2]13_14 fleet'!$D108+'[2]13_14 fleet'!$D123)*'Motorcycle Supporting Data'!E$32</f>
        <v>16607.088020101477</v>
      </c>
      <c r="F36" s="43">
        <f>('[3]14_15 fleet'!$D108+'[3]14_15 fleet'!$D123)*'Motorcycle Supporting Data'!F$32</f>
        <v>17268.169724199815</v>
      </c>
      <c r="G36" s="43">
        <f>('[4]15_16 fleet'!$D108+'[4]15_16 fleet'!$D123)*'Motorcycle Supporting Data'!G$32</f>
        <v>17922.451362851778</v>
      </c>
      <c r="H36" s="43">
        <f>('[5]16_17 fleet_v2'!$D108+'[5]16_17 fleet_v2'!$D123)*'Motorcycle Supporting Data'!H$32</f>
        <v>18554.586534954593</v>
      </c>
      <c r="I36" s="43">
        <f>('[6]17_18 fleet_v3'!$D133+'[6]17_18 fleet_v3'!$D148)*'Motorcycle Supporting Data'!I$32</f>
        <v>19306.955390851046</v>
      </c>
      <c r="J36" s="43">
        <f>('[7]18_19 fleet_v3'!$D133+'[7]18_19 fleet_v3'!$D148)*'Motorcycle Supporting Data'!J$32</f>
        <v>20164.49589475539</v>
      </c>
      <c r="K36" s="43">
        <f>$J36*('Motorcycle Supporting Data'!K15/'Motorcycle Supporting Data'!$J15)</f>
        <v>20904.474109928888</v>
      </c>
      <c r="L36" s="43">
        <f>$J36*('Motorcycle Supporting Data'!L15/'Motorcycle Supporting Data'!$J15)</f>
        <v>21101.092266713233</v>
      </c>
      <c r="M36" s="43">
        <f>$J36*('Motorcycle Supporting Data'!M15/'Motorcycle Supporting Data'!$J15)</f>
        <v>21112.04677013203</v>
      </c>
      <c r="N36" s="43">
        <f>$J36*('Motorcycle Supporting Data'!N15/'Motorcycle Supporting Data'!$J15)</f>
        <v>20768.190732995445</v>
      </c>
      <c r="O36" s="43">
        <f>$J36*('Motorcycle Supporting Data'!O15/'Motorcycle Supporting Data'!$J15)</f>
        <v>20322.811631221499</v>
      </c>
      <c r="P36" s="43">
        <f>$J36*('Motorcycle Supporting Data'!P15/'Motorcycle Supporting Data'!$J15)</f>
        <v>20599.079625033108</v>
      </c>
      <c r="Q36" s="43">
        <f>$J36*('Motorcycle Supporting Data'!Q15/'Motorcycle Supporting Data'!$J15)</f>
        <v>20813.442131178737</v>
      </c>
      <c r="R36" s="44">
        <f>$J36*('Motorcycle Supporting Data'!R15/'Motorcycle Supporting Data'!$J15)</f>
        <v>20985.58307231958</v>
      </c>
    </row>
    <row r="37" spans="3:18" ht="16" x14ac:dyDescent="0.2">
      <c r="C37" s="24" t="s">
        <v>9</v>
      </c>
      <c r="D37" s="42">
        <f>('[1]12_13 fleet'!$D108+'[1]12_13 fleet'!$D123)*'Motorcycle Supporting Data'!D$32</f>
        <v>8070.4461278607005</v>
      </c>
      <c r="E37" s="43">
        <f>('[2]13_14 fleet'!$D109+'[2]13_14 fleet'!$D124)*'Motorcycle Supporting Data'!E$32</f>
        <v>8207.3917572871305</v>
      </c>
      <c r="F37" s="43">
        <f>('[3]14_15 fleet'!$D109+'[3]14_15 fleet'!$D124)*'Motorcycle Supporting Data'!F$32</f>
        <v>8422.3608522232353</v>
      </c>
      <c r="G37" s="43">
        <f>('[4]15_16 fleet'!$D109+'[4]15_16 fleet'!$D124)*'Motorcycle Supporting Data'!G$32</f>
        <v>8681.1715530377278</v>
      </c>
      <c r="H37" s="43">
        <f>('[5]16_17 fleet_v2'!$D109+'[5]16_17 fleet_v2'!$D124)*'Motorcycle Supporting Data'!H$32</f>
        <v>8980.6416018100099</v>
      </c>
      <c r="I37" s="43">
        <f>('[6]17_18 fleet_v3'!$D134+'[6]17_18 fleet_v3'!$D149)*'Motorcycle Supporting Data'!I$32</f>
        <v>9304.7947254287246</v>
      </c>
      <c r="J37" s="43">
        <f>('[7]18_19 fleet_v3'!$D134+'[7]18_19 fleet_v3'!$D149)*'Motorcycle Supporting Data'!J$32</f>
        <v>9740.8862864861694</v>
      </c>
      <c r="K37" s="43">
        <f>$J37*('Motorcycle Supporting Data'!K16/'Motorcycle Supporting Data'!$J16)</f>
        <v>10072.013804026379</v>
      </c>
      <c r="L37" s="43">
        <f>$J37*('Motorcycle Supporting Data'!L16/'Motorcycle Supporting Data'!$J16)</f>
        <v>10131.14089699332</v>
      </c>
      <c r="M37" s="43">
        <f>$J37*('Motorcycle Supporting Data'!M16/'Motorcycle Supporting Data'!$J16)</f>
        <v>10084.564642716738</v>
      </c>
      <c r="N37" s="43">
        <f>$J37*('Motorcycle Supporting Data'!N16/'Motorcycle Supporting Data'!$J16)</f>
        <v>9856.2248344246782</v>
      </c>
      <c r="O37" s="43">
        <f>$J37*('Motorcycle Supporting Data'!O16/'Motorcycle Supporting Data'!$J16)</f>
        <v>9566.4522017491945</v>
      </c>
      <c r="P37" s="43">
        <f>$J37*('Motorcycle Supporting Data'!P16/'Motorcycle Supporting Data'!$J16)</f>
        <v>9618.128744568372</v>
      </c>
      <c r="Q37" s="43">
        <f>$J37*('Motorcycle Supporting Data'!Q16/'Motorcycle Supporting Data'!$J16)</f>
        <v>9640.1288464371792</v>
      </c>
      <c r="R37" s="44">
        <f>$J37*('Motorcycle Supporting Data'!R16/'Motorcycle Supporting Data'!$J16)</f>
        <v>9642.2115076715272</v>
      </c>
    </row>
    <row r="38" spans="3:18" ht="16" x14ac:dyDescent="0.2">
      <c r="C38" s="24" t="s">
        <v>10</v>
      </c>
      <c r="D38" s="42">
        <f>('[1]12_13 fleet'!$D109+'[1]12_13 fleet'!$D124)*'Motorcycle Supporting Data'!D$32</f>
        <v>1816.7373556510834</v>
      </c>
      <c r="E38" s="43">
        <f>('[2]13_14 fleet'!$D110+'[2]13_14 fleet'!$D125)*'Motorcycle Supporting Data'!E$32</f>
        <v>1844.8892134535913</v>
      </c>
      <c r="F38" s="43">
        <f>('[3]14_15 fleet'!$D110+'[3]14_15 fleet'!$D125)*'Motorcycle Supporting Data'!F$32</f>
        <v>1838.6558752447884</v>
      </c>
      <c r="G38" s="43">
        <f>('[4]15_16 fleet'!$D110+'[4]15_16 fleet'!$D125)*'Motorcycle Supporting Data'!G$32</f>
        <v>1827.1885989592886</v>
      </c>
      <c r="H38" s="43">
        <f>('[5]16_17 fleet_v2'!$D110+'[5]16_17 fleet_v2'!$D125)*'Motorcycle Supporting Data'!H$32</f>
        <v>1851.7633386290158</v>
      </c>
      <c r="I38" s="43">
        <f>('[6]17_18 fleet_v3'!$D135+'[6]17_18 fleet_v3'!$D150)*'Motorcycle Supporting Data'!I$32</f>
        <v>1903.9856960778984</v>
      </c>
      <c r="J38" s="43">
        <f>('[7]18_19 fleet_v3'!$D135+'[7]18_19 fleet_v3'!$D150)*'Motorcycle Supporting Data'!J$32</f>
        <v>1978.8472895988725</v>
      </c>
      <c r="K38" s="43">
        <f>$J38*('Motorcycle Supporting Data'!K17/'Motorcycle Supporting Data'!$J17)</f>
        <v>1998.2772655016518</v>
      </c>
      <c r="L38" s="43">
        <f>$J38*('Motorcycle Supporting Data'!L17/'Motorcycle Supporting Data'!$J17)</f>
        <v>1954.3777739615646</v>
      </c>
      <c r="M38" s="43">
        <f>$J38*('Motorcycle Supporting Data'!M17/'Motorcycle Supporting Data'!$J17)</f>
        <v>1892.3732919211291</v>
      </c>
      <c r="N38" s="43">
        <f>$J38*('Motorcycle Supporting Data'!N17/'Motorcycle Supporting Data'!$J17)</f>
        <v>1800.0573931745228</v>
      </c>
      <c r="O38" s="43">
        <f>$J38*('Motorcycle Supporting Data'!O17/'Motorcycle Supporting Data'!$J17)</f>
        <v>1704.8797256512667</v>
      </c>
      <c r="P38" s="43">
        <f>$J38*('Motorcycle Supporting Data'!P17/'Motorcycle Supporting Data'!$J17)</f>
        <v>1672.5535692526173</v>
      </c>
      <c r="Q38" s="43">
        <f>$J38*('Motorcycle Supporting Data'!Q17/'Motorcycle Supporting Data'!$J17)</f>
        <v>1635.6801964005383</v>
      </c>
      <c r="R38" s="44">
        <f>$J38*('Motorcycle Supporting Data'!R17/'Motorcycle Supporting Data'!$J17)</f>
        <v>1596.2385378699246</v>
      </c>
    </row>
    <row r="39" spans="3:18" ht="16" x14ac:dyDescent="0.2">
      <c r="C39" s="24" t="s">
        <v>11</v>
      </c>
      <c r="D39" s="42">
        <f>('[1]12_13 fleet'!$D110+'[1]12_13 fleet'!$D125)*'Motorcycle Supporting Data'!D$32</f>
        <v>24199.859859221295</v>
      </c>
      <c r="E39" s="43">
        <f>('[2]13_14 fleet'!$D111+'[2]13_14 fleet'!$D126)*'Motorcycle Supporting Data'!E$32</f>
        <v>25085.968491074083</v>
      </c>
      <c r="F39" s="43">
        <f>('[3]14_15 fleet'!$D111+'[3]14_15 fleet'!$D126)*'Motorcycle Supporting Data'!F$32</f>
        <v>26002.54490676762</v>
      </c>
      <c r="G39" s="43">
        <f>('[4]15_16 fleet'!$D111+'[4]15_16 fleet'!$D126)*'Motorcycle Supporting Data'!G$32</f>
        <v>26726.178248746532</v>
      </c>
      <c r="H39" s="43">
        <f>('[5]16_17 fleet_v2'!$D111+'[5]16_17 fleet_v2'!$D126)*'Motorcycle Supporting Data'!H$32</f>
        <v>27441.818788751723</v>
      </c>
      <c r="I39" s="43">
        <f>('[6]17_18 fleet_v3'!$D136+'[6]17_18 fleet_v3'!$D151)*'Motorcycle Supporting Data'!I$32</f>
        <v>28169.011084331527</v>
      </c>
      <c r="J39" s="43">
        <f>('[7]18_19 fleet_v3'!$D136+'[7]18_19 fleet_v3'!$D151)*'Motorcycle Supporting Data'!J$32</f>
        <v>29082.963164385976</v>
      </c>
      <c r="K39" s="43">
        <f>$J39*('Motorcycle Supporting Data'!K18/'Motorcycle Supporting Data'!$J18)</f>
        <v>30890.222564835803</v>
      </c>
      <c r="L39" s="43">
        <f>$J39*('Motorcycle Supporting Data'!L18/'Motorcycle Supporting Data'!$J18)</f>
        <v>31776.271511532883</v>
      </c>
      <c r="M39" s="43">
        <f>$J39*('Motorcycle Supporting Data'!M18/'Motorcycle Supporting Data'!$J18)</f>
        <v>32383.412501754261</v>
      </c>
      <c r="N39" s="43">
        <f>$J39*('Motorcycle Supporting Data'!N18/'Motorcycle Supporting Data'!$J18)</f>
        <v>32442.489563706982</v>
      </c>
      <c r="O39" s="43">
        <f>$J39*('Motorcycle Supporting Data'!O18/'Motorcycle Supporting Data'!$J18)</f>
        <v>32336.074564484781</v>
      </c>
      <c r="P39" s="43">
        <f>$J39*('Motorcycle Supporting Data'!P18/'Motorcycle Supporting Data'!$J18)</f>
        <v>33384.072749574065</v>
      </c>
      <c r="Q39" s="43">
        <f>$J39*('Motorcycle Supporting Data'!Q18/'Motorcycle Supporting Data'!$J18)</f>
        <v>34357.646541406648</v>
      </c>
      <c r="R39" s="44">
        <f>$J39*('Motorcycle Supporting Data'!R18/'Motorcycle Supporting Data'!$J18)</f>
        <v>35284.870990666539</v>
      </c>
    </row>
    <row r="40" spans="3:18" ht="16" x14ac:dyDescent="0.2">
      <c r="C40" s="24" t="s">
        <v>12</v>
      </c>
      <c r="D40" s="42">
        <f>('[1]12_13 fleet'!$D111+'[1]12_13 fleet'!$D126)*'Motorcycle Supporting Data'!D$32</f>
        <v>7395.3001950024282</v>
      </c>
      <c r="E40" s="43">
        <f>('[2]13_14 fleet'!$D112+'[2]13_14 fleet'!$D127)*'Motorcycle Supporting Data'!E$32</f>
        <v>7579.0599237196038</v>
      </c>
      <c r="F40" s="43">
        <f>('[3]14_15 fleet'!$D112+'[3]14_15 fleet'!$D127)*'Motorcycle Supporting Data'!F$32</f>
        <v>7749.7065816102649</v>
      </c>
      <c r="G40" s="43">
        <f>('[4]15_16 fleet'!$D112+'[4]15_16 fleet'!$D127)*'Motorcycle Supporting Data'!G$32</f>
        <v>7899.2482723300946</v>
      </c>
      <c r="H40" s="43">
        <f>('[5]16_17 fleet_v2'!$D112+'[5]16_17 fleet_v2'!$D127)*'Motorcycle Supporting Data'!H$32</f>
        <v>8210.7843379675705</v>
      </c>
      <c r="I40" s="43">
        <f>('[6]17_18 fleet_v3'!$D137+'[6]17_18 fleet_v3'!$D152)*'Motorcycle Supporting Data'!I$32</f>
        <v>8510.7744897281173</v>
      </c>
      <c r="J40" s="43">
        <f>('[7]18_19 fleet_v3'!$D137+'[7]18_19 fleet_v3'!$D152)*'Motorcycle Supporting Data'!J$32</f>
        <v>8883.8059317554471</v>
      </c>
      <c r="K40" s="43">
        <f>$J40*('Motorcycle Supporting Data'!K19/'Motorcycle Supporting Data'!$J19)</f>
        <v>9291.5117771614296</v>
      </c>
      <c r="L40" s="43">
        <f>$J40*('Motorcycle Supporting Data'!L19/'Motorcycle Supporting Data'!$J19)</f>
        <v>9403.2452074645716</v>
      </c>
      <c r="M40" s="43">
        <f>$J40*('Motorcycle Supporting Data'!M19/'Motorcycle Supporting Data'!$J19)</f>
        <v>9431.8055544058989</v>
      </c>
      <c r="N40" s="43">
        <f>$J40*('Motorcycle Supporting Data'!N19/'Motorcycle Supporting Data'!$J19)</f>
        <v>9305.7043191690427</v>
      </c>
      <c r="O40" s="43">
        <f>$J40*('Motorcycle Supporting Data'!O19/'Motorcycle Supporting Data'!$J19)</f>
        <v>9136.5848221231881</v>
      </c>
      <c r="P40" s="43">
        <f>$J40*('Motorcycle Supporting Data'!P19/'Motorcycle Supporting Data'!$J19)</f>
        <v>9291.7481171217005</v>
      </c>
      <c r="Q40" s="43">
        <f>$J40*('Motorcycle Supporting Data'!Q19/'Motorcycle Supporting Data'!$J19)</f>
        <v>9419.8293487908886</v>
      </c>
      <c r="R40" s="44">
        <f>$J40*('Motorcycle Supporting Data'!R19/'Motorcycle Supporting Data'!$J19)</f>
        <v>9529.4904435334229</v>
      </c>
    </row>
    <row r="41" spans="3:18" ht="17" thickBot="1" x14ac:dyDescent="0.25">
      <c r="C41" s="25" t="s">
        <v>13</v>
      </c>
      <c r="D41" s="45">
        <f>('[1]12_13 fleet'!$D112+'[1]12_13 fleet'!$D127)*'Motorcycle Supporting Data'!D$32</f>
        <v>4130.1817654606475</v>
      </c>
      <c r="E41" s="46">
        <f>('[2]13_14 fleet'!$D113+'[2]13_14 fleet'!$D128)*'Motorcycle Supporting Data'!E$32</f>
        <v>4152.5432797801568</v>
      </c>
      <c r="F41" s="46">
        <f>('[3]14_15 fleet'!$D113+'[3]14_15 fleet'!$D128)*'Motorcycle Supporting Data'!F$32</f>
        <v>4212.1934596516967</v>
      </c>
      <c r="G41" s="46">
        <f>('[4]15_16 fleet'!$D113+'[4]15_16 fleet'!$D128)*'Motorcycle Supporting Data'!G$32</f>
        <v>4294.5009199486603</v>
      </c>
      <c r="H41" s="46">
        <f>('[5]16_17 fleet_v2'!$D113+'[5]16_17 fleet_v2'!$D128)*'Motorcycle Supporting Data'!H$32</f>
        <v>4447.7220323057236</v>
      </c>
      <c r="I41" s="46">
        <f>('[6]17_18 fleet_v3'!$D138+'[6]17_18 fleet_v3'!$D153)*'Motorcycle Supporting Data'!I$32</f>
        <v>4556.2627137584641</v>
      </c>
      <c r="J41" s="46">
        <f>('[7]18_19 fleet_v3'!$D138+'[7]18_19 fleet_v3'!$D153)*'Motorcycle Supporting Data'!J$32</f>
        <v>4717.0929817348915</v>
      </c>
      <c r="K41" s="46">
        <f>$J41*('Motorcycle Supporting Data'!K20/'Motorcycle Supporting Data'!$J20)</f>
        <v>4797.8345284423476</v>
      </c>
      <c r="L41" s="46">
        <f>$J41*('Motorcycle Supporting Data'!L20/'Motorcycle Supporting Data'!$J20)</f>
        <v>4745.0716551157566</v>
      </c>
      <c r="M41" s="46">
        <f>$J41*('Motorcycle Supporting Data'!M20/'Motorcycle Supporting Data'!$J20)</f>
        <v>4652.1414306823126</v>
      </c>
      <c r="N41" s="46">
        <f>$J41*('Motorcycle Supporting Data'!N20/'Motorcycle Supporting Data'!$J20)</f>
        <v>4483.1246733579064</v>
      </c>
      <c r="O41" s="46">
        <f>$J41*('Motorcycle Supporting Data'!O20/'Motorcycle Supporting Data'!$J20)</f>
        <v>4299.7807988519107</v>
      </c>
      <c r="P41" s="46">
        <f>$J41*('Motorcycle Supporting Data'!P20/'Motorcycle Supporting Data'!$J20)</f>
        <v>4271.6013184575131</v>
      </c>
      <c r="Q41" s="46">
        <f>$J41*('Motorcycle Supporting Data'!Q20/'Motorcycle Supporting Data'!$J20)</f>
        <v>4230.261129307165</v>
      </c>
      <c r="R41" s="47">
        <f>$J41*('Motorcycle Supporting Data'!R20/'Motorcycle Supporting Data'!$J20)</f>
        <v>4180.4658352308234</v>
      </c>
    </row>
    <row r="42" spans="3:18" ht="19" thickTop="1" thickBot="1" x14ac:dyDescent="0.25">
      <c r="C42" s="20" t="s">
        <v>24</v>
      </c>
      <c r="D42" s="48">
        <f t="shared" ref="D42:O42" si="2">SUM(D28:D41)</f>
        <v>143948.00000000003</v>
      </c>
      <c r="E42" s="48">
        <f t="shared" si="2"/>
        <v>148565</v>
      </c>
      <c r="F42" s="48">
        <f t="shared" si="2"/>
        <v>154673.00000000003</v>
      </c>
      <c r="G42" s="48">
        <f t="shared" ref="G42:H42" si="3">SUM(G28:G41)</f>
        <v>160194</v>
      </c>
      <c r="H42" s="48">
        <f t="shared" si="3"/>
        <v>166050</v>
      </c>
      <c r="I42" s="48">
        <f t="shared" si="2"/>
        <v>172054</v>
      </c>
      <c r="J42" s="48">
        <f t="shared" ref="J42" si="4">SUM(J28:J41)</f>
        <v>178842</v>
      </c>
      <c r="K42" s="48">
        <f t="shared" si="2"/>
        <v>188379.58514710344</v>
      </c>
      <c r="L42" s="48">
        <f t="shared" si="2"/>
        <v>192873.16145756986</v>
      </c>
      <c r="M42" s="48">
        <f t="shared" si="2"/>
        <v>195499.07091874044</v>
      </c>
      <c r="N42" s="48">
        <f t="shared" si="2"/>
        <v>194697.10104179545</v>
      </c>
      <c r="O42" s="48">
        <f t="shared" si="2"/>
        <v>192907.37584210592</v>
      </c>
      <c r="P42" s="48">
        <f t="shared" ref="P42:R42" si="5">SUM(P28:P41)</f>
        <v>198040.44791319061</v>
      </c>
      <c r="Q42" s="48">
        <f t="shared" si="5"/>
        <v>202734.38223674739</v>
      </c>
      <c r="R42" s="49">
        <f t="shared" si="5"/>
        <v>207165.69293667088</v>
      </c>
    </row>
    <row r="43" spans="3:18" ht="19" thickTop="1" thickBot="1" x14ac:dyDescent="0.25">
      <c r="C43" s="31" t="s">
        <v>96</v>
      </c>
      <c r="D43" s="48">
        <f>'Motorcycle Supporting Data'!D31</f>
        <v>143948</v>
      </c>
      <c r="E43" s="48">
        <f>'Motorcycle Supporting Data'!E31</f>
        <v>148565</v>
      </c>
      <c r="F43" s="48">
        <f>'Motorcycle Supporting Data'!F31</f>
        <v>154673</v>
      </c>
      <c r="G43" s="48">
        <f>'Motorcycle Supporting Data'!G31</f>
        <v>160194</v>
      </c>
      <c r="H43" s="48">
        <f>'Motorcycle Supporting Data'!H31</f>
        <v>166050</v>
      </c>
      <c r="I43" s="48">
        <f>'Motorcycle Supporting Data'!I31</f>
        <v>172054</v>
      </c>
      <c r="J43" s="48">
        <f>'Motorcycle Supporting Data'!J31</f>
        <v>178842</v>
      </c>
      <c r="K43" s="62"/>
      <c r="L43" s="62"/>
      <c r="M43" s="62"/>
      <c r="N43" s="62"/>
      <c r="O43" s="62"/>
      <c r="P43" s="62"/>
      <c r="Q43" s="62"/>
      <c r="R43" s="63"/>
    </row>
    <row r="44" spans="3:18" ht="14" thickTop="1" x14ac:dyDescent="0.1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B4:I29"/>
  <sheetViews>
    <sheetView workbookViewId="0">
      <selection activeCell="E40" sqref="E40"/>
    </sheetView>
  </sheetViews>
  <sheetFormatPr baseColWidth="10" defaultColWidth="8.83203125" defaultRowHeight="13" x14ac:dyDescent="0.15"/>
  <cols>
    <col min="2" max="2" width="21.5" customWidth="1"/>
    <col min="3" max="9" width="17.6640625" customWidth="1"/>
  </cols>
  <sheetData>
    <row r="4" spans="2:9" ht="14" thickBot="1" x14ac:dyDescent="0.2">
      <c r="B4" s="19" t="s">
        <v>14</v>
      </c>
    </row>
    <row r="5" spans="2:9" ht="48.75" customHeight="1" thickTop="1" thickBot="1" x14ac:dyDescent="0.2">
      <c r="B5" s="17"/>
      <c r="C5" s="22" t="s">
        <v>74</v>
      </c>
      <c r="D5" s="139" t="s">
        <v>73</v>
      </c>
      <c r="E5" s="134" t="s">
        <v>75</v>
      </c>
      <c r="F5" s="22" t="s">
        <v>76</v>
      </c>
      <c r="G5" s="139" t="s">
        <v>77</v>
      </c>
      <c r="H5" s="3" t="s">
        <v>21</v>
      </c>
      <c r="I5" s="30" t="s">
        <v>22</v>
      </c>
    </row>
    <row r="6" spans="2:9" ht="17" thickTop="1" x14ac:dyDescent="0.2">
      <c r="B6" s="26" t="s">
        <v>0</v>
      </c>
      <c r="C6" s="11">
        <f>('[1]12_13 fleet'!$D257+'[1]12_13 fleet'!$D272+'[1]12_13 fleet'!$D287+'[1]12_13 fleet'!$D302)/1000000</f>
        <v>1096.16898593</v>
      </c>
      <c r="D6" s="140">
        <f>('[1]12_13 fleet'!$D377+'[1]12_13 fleet'!$D392+'[1]12_13 fleet'!$D407+'[1]12_13 fleet'!$D422)/1000000</f>
        <v>299.25788582999996</v>
      </c>
      <c r="E6" s="135">
        <f>('[1]12_13 fleet'!$D$347+'[1]12_13 fleet'!$D$362)/1000000</f>
        <v>119.25522724</v>
      </c>
      <c r="F6" s="11">
        <f>('[1]12_13 fleet'!$D227+'[1]12_13 fleet'!$D242)/1000000</f>
        <v>8.9827640399999993</v>
      </c>
      <c r="G6" s="140">
        <f>('[1]12_13 fleet'!$D317+'[1]12_13 fleet'!$D332)/1000000</f>
        <v>11.037777469999998</v>
      </c>
      <c r="H6" s="28">
        <f>[8]Northland!$I$8/1000000</f>
        <v>1671.6472900000001</v>
      </c>
      <c r="I6" s="11">
        <f>SUM(C6:G6)</f>
        <v>1534.7026405099998</v>
      </c>
    </row>
    <row r="7" spans="2:9" ht="16" x14ac:dyDescent="0.2">
      <c r="B7" s="27" t="s">
        <v>1</v>
      </c>
      <c r="C7" s="13">
        <f>('[1]12_13 fleet'!$D258+'[1]12_13 fleet'!$D273+'[1]12_13 fleet'!$D288+'[1]12_13 fleet'!$D303)/1000000</f>
        <v>10377.47024375</v>
      </c>
      <c r="D7" s="29">
        <f>('[1]12_13 fleet'!$D378+'[1]12_13 fleet'!$D393+'[1]12_13 fleet'!$D408+'[1]12_13 fleet'!$D423)/1000000</f>
        <v>1422.6388882399999</v>
      </c>
      <c r="E7" s="136">
        <f>('[1]12_13 fleet'!$D$348+'[1]12_13 fleet'!$D$363)/1000000</f>
        <v>656.20984524000005</v>
      </c>
      <c r="F7" s="13">
        <f>('[1]12_13 fleet'!$D228+'[1]12_13 fleet'!$D243)/1000000</f>
        <v>85.141566289999986</v>
      </c>
      <c r="G7" s="29">
        <f>('[1]12_13 fleet'!$D318+'[1]12_13 fleet'!$D333)/1000000</f>
        <v>94.899452089999997</v>
      </c>
      <c r="H7" s="29">
        <f>[8]Auckland!$I$8/1000000</f>
        <v>12716.727027000001</v>
      </c>
      <c r="I7" s="13">
        <f t="shared" ref="I7:I20" si="0">SUM(C7:G7)</f>
        <v>12636.359995610001</v>
      </c>
    </row>
    <row r="8" spans="2:9" ht="16" x14ac:dyDescent="0.2">
      <c r="B8" s="27" t="s">
        <v>2</v>
      </c>
      <c r="C8" s="13">
        <f>('[1]12_13 fleet'!$D259+'[1]12_13 fleet'!$D274+'[1]12_13 fleet'!$D289+'[1]12_13 fleet'!$D304)/1000000</f>
        <v>3107.9199486099997</v>
      </c>
      <c r="D8" s="29">
        <f>('[1]12_13 fleet'!$D379+'[1]12_13 fleet'!$D394+'[1]12_13 fleet'!$D409+'[1]12_13 fleet'!$D424)/1000000</f>
        <v>711.6732978199999</v>
      </c>
      <c r="E8" s="136">
        <f>('[1]12_13 fleet'!$D$349+'[1]12_13 fleet'!$D$364)/1000000</f>
        <v>275.50940272000003</v>
      </c>
      <c r="F8" s="13">
        <f>('[1]12_13 fleet'!$D229+'[1]12_13 fleet'!$D244)/1000000</f>
        <v>15.47374836</v>
      </c>
      <c r="G8" s="29">
        <f>('[1]12_13 fleet'!$D319+'[1]12_13 fleet'!$D334)/1000000</f>
        <v>35.801087590000002</v>
      </c>
      <c r="H8" s="29">
        <f>[8]Waikato!$I$8/1000000</f>
        <v>5330.0979129999996</v>
      </c>
      <c r="I8" s="13">
        <f t="shared" si="0"/>
        <v>4146.3774850999998</v>
      </c>
    </row>
    <row r="9" spans="2:9" ht="16" x14ac:dyDescent="0.2">
      <c r="B9" s="27" t="s">
        <v>3</v>
      </c>
      <c r="C9" s="13">
        <f>('[1]12_13 fleet'!$D260+'[1]12_13 fleet'!$D275+'[1]12_13 fleet'!$D290+'[1]12_13 fleet'!$D305)/1000000</f>
        <v>2234.6044249700003</v>
      </c>
      <c r="D9" s="29">
        <f>('[1]12_13 fleet'!$D380+'[1]12_13 fleet'!$D395+'[1]12_13 fleet'!$D410+'[1]12_13 fleet'!$D425)/1000000</f>
        <v>562.88377503999993</v>
      </c>
      <c r="E9" s="136">
        <f>('[1]12_13 fleet'!$D$350+'[1]12_13 fleet'!$D$365)/1000000</f>
        <v>250.6318148</v>
      </c>
      <c r="F9" s="13">
        <f>('[1]12_13 fleet'!$D230+'[1]12_13 fleet'!$D245)/1000000</f>
        <v>15.153014070000001</v>
      </c>
      <c r="G9" s="29">
        <f>('[1]12_13 fleet'!$D320+'[1]12_13 fleet'!$D335)/1000000</f>
        <v>28.811398929999999</v>
      </c>
      <c r="H9" s="29">
        <f>'[8]Bay of Plenty'!$I$8/1000000</f>
        <v>2713.3097499999999</v>
      </c>
      <c r="I9" s="13">
        <f t="shared" si="0"/>
        <v>3092.0844278100003</v>
      </c>
    </row>
    <row r="10" spans="2:9" ht="16" x14ac:dyDescent="0.2">
      <c r="B10" s="27" t="s">
        <v>4</v>
      </c>
      <c r="C10" s="13">
        <f>('[1]12_13 fleet'!$D261+'[1]12_13 fleet'!$D276+'[1]12_13 fleet'!$D291+'[1]12_13 fleet'!$D306)/1000000</f>
        <v>232.52158877000002</v>
      </c>
      <c r="D10" s="29">
        <f>('[1]12_13 fleet'!$D381+'[1]12_13 fleet'!$D396+'[1]12_13 fleet'!$D411+'[1]12_13 fleet'!$D426)/1000000</f>
        <v>94.048874389999995</v>
      </c>
      <c r="E10" s="136">
        <f>('[1]12_13 fleet'!$D$351+'[1]12_13 fleet'!$D$366)/1000000</f>
        <v>32.438331779999999</v>
      </c>
      <c r="F10" s="13">
        <f>('[1]12_13 fleet'!$D231+'[1]12_13 fleet'!$D246)/1000000</f>
        <v>1.41817269</v>
      </c>
      <c r="G10" s="29">
        <f>('[1]12_13 fleet'!$D321+'[1]12_13 fleet'!$D336)/1000000</f>
        <v>2.5480988999999998</v>
      </c>
      <c r="H10" s="29">
        <f>[8]Gisborne!$I$8/1000000</f>
        <v>389.39441499999998</v>
      </c>
      <c r="I10" s="13">
        <f t="shared" si="0"/>
        <v>362.97506653000005</v>
      </c>
    </row>
    <row r="11" spans="2:9" ht="16" x14ac:dyDescent="0.2">
      <c r="B11" s="27" t="s">
        <v>5</v>
      </c>
      <c r="C11" s="13">
        <f>('[1]12_13 fleet'!$D262+'[1]12_13 fleet'!$D277+'[1]12_13 fleet'!$D292+'[1]12_13 fleet'!$D307)/1000000</f>
        <v>1010.5589608600001</v>
      </c>
      <c r="D11" s="29">
        <f>('[1]12_13 fleet'!$D382+'[1]12_13 fleet'!$D397+'[1]12_13 fleet'!$D412+'[1]12_13 fleet'!$D427)/1000000</f>
        <v>264.31095072000005</v>
      </c>
      <c r="E11" s="136">
        <f>('[1]12_13 fleet'!$D$352+'[1]12_13 fleet'!$D$367)/1000000</f>
        <v>102.42963590000001</v>
      </c>
      <c r="F11" s="13">
        <f>('[1]12_13 fleet'!$D232+'[1]12_13 fleet'!$D247)/1000000</f>
        <v>5.0300144399999995</v>
      </c>
      <c r="G11" s="29">
        <f>('[1]12_13 fleet'!$D322+'[1]12_13 fleet'!$D337)/1000000</f>
        <v>12.438172430000002</v>
      </c>
      <c r="H11" s="29">
        <f>'[8]Hawke''s Bay'!$I$8/1000000</f>
        <v>1473.708149</v>
      </c>
      <c r="I11" s="13">
        <f t="shared" si="0"/>
        <v>1394.76773435</v>
      </c>
    </row>
    <row r="12" spans="2:9" ht="16" x14ac:dyDescent="0.2">
      <c r="B12" s="27" t="s">
        <v>6</v>
      </c>
      <c r="C12" s="13">
        <f>('[1]12_13 fleet'!$D263+'[1]12_13 fleet'!$D278+'[1]12_13 fleet'!$D293+'[1]12_13 fleet'!$D308)/1000000</f>
        <v>756.73172989000011</v>
      </c>
      <c r="D12" s="29">
        <f>('[1]12_13 fleet'!$D383+'[1]12_13 fleet'!$D398+'[1]12_13 fleet'!$D413+'[1]12_13 fleet'!$D428)/1000000</f>
        <v>188.80193207999997</v>
      </c>
      <c r="E12" s="136">
        <f>('[1]12_13 fleet'!$D$353+'[1]12_13 fleet'!$D$368)/1000000</f>
        <v>87.38839148000001</v>
      </c>
      <c r="F12" s="13">
        <f>('[1]12_13 fleet'!$D233+'[1]12_13 fleet'!$D248)/1000000</f>
        <v>3.2511658900000002</v>
      </c>
      <c r="G12" s="29">
        <f>('[1]12_13 fleet'!$D323+'[1]12_13 fleet'!$D338)/1000000</f>
        <v>12.339600280000001</v>
      </c>
      <c r="H12" s="29">
        <f>[8]Taranaki!$I$8/1000000</f>
        <v>1036.331293</v>
      </c>
      <c r="I12" s="13">
        <f t="shared" si="0"/>
        <v>1048.5128196200003</v>
      </c>
    </row>
    <row r="13" spans="2:9" ht="16" x14ac:dyDescent="0.2">
      <c r="B13" s="27" t="s">
        <v>7</v>
      </c>
      <c r="C13" s="13">
        <f>('[1]12_13 fleet'!$D264+'[1]12_13 fleet'!$D279+'[1]12_13 fleet'!$D294+'[1]12_13 fleet'!$D309)/1000000</f>
        <v>1513.1962773099999</v>
      </c>
      <c r="D13" s="29">
        <f>('[1]12_13 fleet'!$D384+'[1]12_13 fleet'!$D399+'[1]12_13 fleet'!$D414+'[1]12_13 fleet'!$D429)/1000000</f>
        <v>388.52988801999999</v>
      </c>
      <c r="E13" s="136">
        <f>('[1]12_13 fleet'!$D$354+'[1]12_13 fleet'!$D$369)/1000000</f>
        <v>170.0921118</v>
      </c>
      <c r="F13" s="13">
        <f>('[1]12_13 fleet'!$D234+'[1]12_13 fleet'!$D249)/1000000</f>
        <v>7.1013834200000003</v>
      </c>
      <c r="G13" s="29">
        <f>('[1]12_13 fleet'!$D324+'[1]12_13 fleet'!$D339)/1000000</f>
        <v>22.195104570000002</v>
      </c>
      <c r="H13" s="29">
        <f>[8]Manawatu!$I$8/1000000</f>
        <v>2404.273936</v>
      </c>
      <c r="I13" s="13">
        <f t="shared" si="0"/>
        <v>2101.1147651199994</v>
      </c>
    </row>
    <row r="14" spans="2:9" ht="16" x14ac:dyDescent="0.2">
      <c r="B14" s="27" t="s">
        <v>8</v>
      </c>
      <c r="C14" s="13">
        <f>('[1]12_13 fleet'!$D265+'[1]12_13 fleet'!$D280+'[1]12_13 fleet'!$D295+'[1]12_13 fleet'!$D310)/1000000</f>
        <v>2992.0509175900002</v>
      </c>
      <c r="D14" s="29">
        <f>('[1]12_13 fleet'!$D385+'[1]12_13 fleet'!$D400+'[1]12_13 fleet'!$D415+'[1]12_13 fleet'!$D430)/1000000</f>
        <v>472.32698898000001</v>
      </c>
      <c r="E14" s="136">
        <f>('[1]12_13 fleet'!$D$355+'[1]12_13 fleet'!$D$370)/1000000</f>
        <v>139.16571021000001</v>
      </c>
      <c r="F14" s="13">
        <f>('[1]12_13 fleet'!$D235+'[1]12_13 fleet'!$D250)/1000000</f>
        <v>22.568238659999999</v>
      </c>
      <c r="G14" s="29">
        <f>('[1]12_13 fleet'!$D325+'[1]12_13 fleet'!$D340)/1000000</f>
        <v>44.655987570000001</v>
      </c>
      <c r="H14" s="29">
        <f>[8]Wellington!$I$8/1000000</f>
        <v>3506.9284680000001</v>
      </c>
      <c r="I14" s="13">
        <f t="shared" si="0"/>
        <v>3670.76784301</v>
      </c>
    </row>
    <row r="15" spans="2:9" ht="16" x14ac:dyDescent="0.2">
      <c r="B15" s="27" t="s">
        <v>9</v>
      </c>
      <c r="C15" s="13">
        <f>('[1]12_13 fleet'!$D266+'[1]12_13 fleet'!$D281+'[1]12_13 fleet'!$D296+'[1]12_13 fleet'!$D311)/1000000</f>
        <v>932.03582989000006</v>
      </c>
      <c r="D15" s="29">
        <f>('[1]12_13 fleet'!$D386+'[1]12_13 fleet'!$D401+'[1]12_13 fleet'!$D416+'[1]12_13 fleet'!$D431)/1000000</f>
        <v>273.43238465999997</v>
      </c>
      <c r="E15" s="136">
        <f>('[1]12_13 fleet'!$D$356+'[1]12_13 fleet'!$D$371)/1000000</f>
        <v>101.58157728</v>
      </c>
      <c r="F15" s="13">
        <f>('[1]12_13 fleet'!$D236+'[1]12_13 fleet'!$D251)/1000000</f>
        <v>6.0627251799999993</v>
      </c>
      <c r="G15" s="29">
        <f>('[1]12_13 fleet'!$D326+'[1]12_13 fleet'!$D341)/1000000</f>
        <v>18.781447470000003</v>
      </c>
      <c r="H15" s="29">
        <f>[8]TMN!$I$8/1000000</f>
        <v>1315.5026700000001</v>
      </c>
      <c r="I15" s="13">
        <f t="shared" si="0"/>
        <v>1331.89396448</v>
      </c>
    </row>
    <row r="16" spans="2:9" ht="16" x14ac:dyDescent="0.2">
      <c r="B16" s="27" t="s">
        <v>10</v>
      </c>
      <c r="C16" s="13">
        <f>('[1]12_13 fleet'!$D267+'[1]12_13 fleet'!$D282+'[1]12_13 fleet'!$D297+'[1]12_13 fleet'!$D312)/1000000</f>
        <v>222.06588176999998</v>
      </c>
      <c r="D16" s="29">
        <f>('[1]12_13 fleet'!$D387+'[1]12_13 fleet'!$D402+'[1]12_13 fleet'!$D417+'[1]12_13 fleet'!$D432)/1000000</f>
        <v>84.154133970000004</v>
      </c>
      <c r="E16" s="136">
        <f>('[1]12_13 fleet'!$D$357+'[1]12_13 fleet'!$D$372)/1000000</f>
        <v>30.194493310000002</v>
      </c>
      <c r="F16" s="13">
        <f>('[1]12_13 fleet'!$D237+'[1]12_13 fleet'!$D252)/1000000</f>
        <v>2.4450919500000001</v>
      </c>
      <c r="G16" s="29">
        <f>('[1]12_13 fleet'!$D327+'[1]12_13 fleet'!$D342)/1000000</f>
        <v>4.1535685200000003</v>
      </c>
      <c r="H16" s="29">
        <f>'[8]West Coast'!$I$8/1000000</f>
        <v>506.199251</v>
      </c>
      <c r="I16" s="13">
        <f t="shared" si="0"/>
        <v>343.01316952000002</v>
      </c>
    </row>
    <row r="17" spans="2:9" ht="16" x14ac:dyDescent="0.2">
      <c r="B17" s="27" t="s">
        <v>11</v>
      </c>
      <c r="C17" s="13">
        <f>('[1]12_13 fleet'!$D268+'[1]12_13 fleet'!$D283+'[1]12_13 fleet'!$D298+'[1]12_13 fleet'!$D313)/1000000</f>
        <v>4397.6739792399994</v>
      </c>
      <c r="D17" s="29">
        <f>('[1]12_13 fleet'!$D388+'[1]12_13 fleet'!$D403+'[1]12_13 fleet'!$D418+'[1]12_13 fleet'!$D433)/1000000</f>
        <v>987.34347714000012</v>
      </c>
      <c r="E17" s="136">
        <f>('[1]12_13 fleet'!$D$358+'[1]12_13 fleet'!$D$373)/1000000</f>
        <v>423.54380398000001</v>
      </c>
      <c r="F17" s="13">
        <f>('[1]12_13 fleet'!$D238+'[1]12_13 fleet'!$D253)/1000000</f>
        <v>44.574222779999999</v>
      </c>
      <c r="G17" s="29">
        <f>('[1]12_13 fleet'!$D328+'[1]12_13 fleet'!$D343)/1000000</f>
        <v>55.113997829999995</v>
      </c>
      <c r="H17" s="29">
        <f>[8]Canterbury!$I$8/1000000</f>
        <v>5470.6833569999999</v>
      </c>
      <c r="I17" s="13">
        <f t="shared" si="0"/>
        <v>5908.2494809699992</v>
      </c>
    </row>
    <row r="18" spans="2:9" ht="16" x14ac:dyDescent="0.2">
      <c r="B18" s="27" t="s">
        <v>12</v>
      </c>
      <c r="C18" s="13">
        <f>('[1]12_13 fleet'!$D269+'[1]12_13 fleet'!$D284+'[1]12_13 fleet'!$D299+'[1]12_13 fleet'!$D314)/1000000</f>
        <v>1301.92603009</v>
      </c>
      <c r="D18" s="29">
        <f>('[1]12_13 fleet'!$D389+'[1]12_13 fleet'!$D404+'[1]12_13 fleet'!$D419+'[1]12_13 fleet'!$D434)/1000000</f>
        <v>319.05627440999996</v>
      </c>
      <c r="E18" s="136">
        <f>('[1]12_13 fleet'!$D$359+'[1]12_13 fleet'!$D$374)/1000000</f>
        <v>111.32941471000001</v>
      </c>
      <c r="F18" s="13">
        <f>('[1]12_13 fleet'!$D239+'[1]12_13 fleet'!$D254)/1000000</f>
        <v>15.092960029999999</v>
      </c>
      <c r="G18" s="29">
        <f>('[1]12_13 fleet'!$D329+'[1]12_13 fleet'!$D344)/1000000</f>
        <v>15.463089849999999</v>
      </c>
      <c r="H18" s="29">
        <f>[8]Otago!$I$8/1000000</f>
        <v>2195.4226709999998</v>
      </c>
      <c r="I18" s="13">
        <f t="shared" si="0"/>
        <v>1762.8677690900001</v>
      </c>
    </row>
    <row r="19" spans="2:9" ht="17" thickBot="1" x14ac:dyDescent="0.25">
      <c r="B19" s="27" t="s">
        <v>13</v>
      </c>
      <c r="C19" s="15">
        <f>('[1]12_13 fleet'!$D270+'[1]12_13 fleet'!$D285+'[1]12_13 fleet'!$D300+'[1]12_13 fleet'!$D315)/1000000</f>
        <v>700.36444098000004</v>
      </c>
      <c r="D19" s="141">
        <f>('[1]12_13 fleet'!$D390+'[1]12_13 fleet'!$D405+'[1]12_13 fleet'!$D420+'[1]12_13 fleet'!$D435)/1000000</f>
        <v>228.98558686000001</v>
      </c>
      <c r="E19" s="137">
        <f>('[1]12_13 fleet'!$D$360+'[1]12_13 fleet'!$D$375)/1000000</f>
        <v>90.927263409999995</v>
      </c>
      <c r="F19" s="15">
        <f>('[1]12_13 fleet'!$D240+'[1]12_13 fleet'!$D255)/1000000</f>
        <v>7.2471078500000008</v>
      </c>
      <c r="G19" s="141">
        <f>('[1]12_13 fleet'!$D330+'[1]12_13 fleet'!$D345)/1000000</f>
        <v>7.5318932399999996</v>
      </c>
      <c r="H19" s="29">
        <f>[8]Southland!$I$8/1000000</f>
        <v>1133.1154710000001</v>
      </c>
      <c r="I19" s="13">
        <f t="shared" si="0"/>
        <v>1035.05629234</v>
      </c>
    </row>
    <row r="20" spans="2:9" ht="34.5" customHeight="1" thickTop="1" thickBot="1" x14ac:dyDescent="0.25">
      <c r="B20" s="64" t="s">
        <v>20</v>
      </c>
      <c r="C20" s="9">
        <f>(SUM('[1]12_13 fleet'!$D$256:$D$270)+SUM('[1]12_13 fleet'!$D$271:$D$285)+SUM('[1]12_13 fleet'!$D$286:$D$300)+SUM('[1]12_13 fleet'!$D$301:$D$315))/1000000</f>
        <v>30876.519344820001</v>
      </c>
      <c r="D20" s="142">
        <f>(SUM('[1]12_13 fleet'!$D$376:$D$390)+SUM('[1]12_13 fleet'!$D$391:$D$405)+SUM('[1]12_13 fleet'!$D$406:$D$420)+SUM('[1]12_13 fleet'!$D$421:$D$435))/1000000</f>
        <v>6297.7921660900001</v>
      </c>
      <c r="E20" s="21">
        <f>SUM('[1]12_13 fleet'!$D$346:$D$375)/1000000</f>
        <v>2625.57842291</v>
      </c>
      <c r="F20" s="9">
        <f>(SUM('[1]12_13 fleet'!$D$226:$D$240)+SUM('[1]12_13 fleet'!$D$241:$D$255))/1000000</f>
        <v>245.25361277999997</v>
      </c>
      <c r="G20" s="142">
        <f>(SUM('[1]12_13 fleet'!$D$316:$D$345))/1000000</f>
        <v>385.37804679999999</v>
      </c>
      <c r="H20" s="21"/>
      <c r="I20" s="9">
        <f t="shared" si="0"/>
        <v>40430.521593400001</v>
      </c>
    </row>
    <row r="21" spans="2:9" ht="36" thickTop="1" thickBot="1" x14ac:dyDescent="0.25">
      <c r="B21" s="64" t="s">
        <v>23</v>
      </c>
      <c r="C21" s="9">
        <f t="shared" ref="C21:H21" si="1">SUM(C6:C19)</f>
        <v>30875.289239649996</v>
      </c>
      <c r="D21" s="143">
        <f t="shared" si="1"/>
        <v>6297.4443381599986</v>
      </c>
      <c r="E21" s="138">
        <f t="shared" si="1"/>
        <v>2590.6970238600002</v>
      </c>
      <c r="F21" s="9">
        <f t="shared" si="1"/>
        <v>239.54217564999999</v>
      </c>
      <c r="G21" s="143">
        <f t="shared" si="1"/>
        <v>365.77067674000006</v>
      </c>
      <c r="H21" s="9">
        <f t="shared" si="1"/>
        <v>41863.341660999999</v>
      </c>
      <c r="I21" s="10"/>
    </row>
    <row r="22" spans="2:9" ht="18" thickTop="1" thickBot="1" x14ac:dyDescent="0.25">
      <c r="B22" s="144" t="s">
        <v>97</v>
      </c>
      <c r="C22" s="9">
        <f>('[1]12_13 fleet'!$D$256+'[1]12_13 fleet'!$D$271+'[1]12_13 fleet'!$D$286+'[1]12_13 fleet'!$D$301)/1000000</f>
        <v>1.2301051699999999</v>
      </c>
      <c r="D22" s="143">
        <f>('[1]12_13 fleet'!$D$376+'[1]12_13 fleet'!$D$391+'[1]12_13 fleet'!$D$406+'[1]12_13 fleet'!$D$421)/1000000</f>
        <v>0.34782793000000001</v>
      </c>
      <c r="E22" s="143">
        <f>('[1]12_13 fleet'!$D$346+'[1]12_13 fleet'!$D$361)/1000000</f>
        <v>34.881399049999999</v>
      </c>
      <c r="F22" s="9">
        <f>('[1]12_13 fleet'!$D$226+'[1]12_13 fleet'!$D$241)/1000000</f>
        <v>5.7114371300000002</v>
      </c>
      <c r="G22" s="143">
        <f>('[1]12_13 fleet'!$D$316+'[1]12_13 fleet'!$D$331)/1000000</f>
        <v>19.607370059999997</v>
      </c>
      <c r="H22" s="10"/>
      <c r="I22" s="10"/>
    </row>
    <row r="23" spans="2:9" ht="36" thickTop="1" thickBot="1" x14ac:dyDescent="0.25">
      <c r="B23" s="64" t="s">
        <v>99</v>
      </c>
      <c r="C23" s="9">
        <f>C21+C22</f>
        <v>30876.519344819997</v>
      </c>
      <c r="D23" s="143">
        <f>D21+D22</f>
        <v>6297.7921660899983</v>
      </c>
      <c r="E23" s="143">
        <f>E21+E22</f>
        <v>2625.57842291</v>
      </c>
      <c r="F23" s="9">
        <f>F21+F22</f>
        <v>245.25361278</v>
      </c>
      <c r="G23" s="143">
        <f>G21+G22</f>
        <v>385.37804680000005</v>
      </c>
      <c r="H23" s="10"/>
      <c r="I23" s="10"/>
    </row>
    <row r="24" spans="2:9" ht="14" thickTop="1" x14ac:dyDescent="0.15"/>
    <row r="29" spans="2:9" x14ac:dyDescent="0.15">
      <c r="B29" s="19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B1:K30"/>
  <sheetViews>
    <sheetView workbookViewId="0">
      <selection activeCell="F42" sqref="F42"/>
    </sheetView>
  </sheetViews>
  <sheetFormatPr baseColWidth="10" defaultColWidth="8.83203125" defaultRowHeight="13" x14ac:dyDescent="0.15"/>
  <cols>
    <col min="2" max="2" width="21.5" customWidth="1"/>
    <col min="3" max="11" width="17.6640625" customWidth="1"/>
  </cols>
  <sheetData>
    <row r="1" spans="2:11" x14ac:dyDescent="0.15">
      <c r="H1">
        <v>0.5</v>
      </c>
    </row>
    <row r="4" spans="2:11" ht="14" thickBot="1" x14ac:dyDescent="0.2">
      <c r="B4" s="19" t="s">
        <v>14</v>
      </c>
    </row>
    <row r="5" spans="2:11" ht="48.75" customHeight="1" thickTop="1" thickBot="1" x14ac:dyDescent="0.2">
      <c r="B5" s="12"/>
      <c r="C5" s="22" t="s">
        <v>74</v>
      </c>
      <c r="D5" s="22" t="s">
        <v>73</v>
      </c>
      <c r="E5" s="22" t="s">
        <v>93</v>
      </c>
      <c r="F5" s="22" t="s">
        <v>94</v>
      </c>
      <c r="G5" s="22" t="s">
        <v>95</v>
      </c>
      <c r="H5" s="22" t="s">
        <v>21</v>
      </c>
      <c r="I5" s="3" t="s">
        <v>22</v>
      </c>
      <c r="J5" s="3" t="s">
        <v>16</v>
      </c>
      <c r="K5" s="3" t="s">
        <v>17</v>
      </c>
    </row>
    <row r="6" spans="2:11" ht="17" thickTop="1" x14ac:dyDescent="0.2">
      <c r="B6" s="23" t="s">
        <v>0</v>
      </c>
      <c r="C6" s="11">
        <f>'Original 2012-13 Data'!C6*C$22*$J6</f>
        <v>1154.0786871360624</v>
      </c>
      <c r="D6" s="11">
        <f>'Original 2012-13 Data'!D6*D$22*$J6</f>
        <v>311.82149173383903</v>
      </c>
      <c r="E6" s="11">
        <f>'Original 2012-13 Data'!E6*E$22*$J6</f>
        <v>126.51769458108933</v>
      </c>
      <c r="F6" s="11">
        <f>'Original 2012-13 Data'!F6*F$22*$J6</f>
        <v>9.7590652962429942</v>
      </c>
      <c r="G6" s="11">
        <f>'Original 2012-13 Data'!G6*G$22*$J6</f>
        <v>12.256338036699967</v>
      </c>
      <c r="H6" s="11">
        <f>'Original 2012-13 Data'!H6*'Original 2012-13 Data'!$I$20/'Original 2012-13 Data'!$H$21</f>
        <v>1614.4332767839337</v>
      </c>
      <c r="I6" s="11">
        <f>SUM(C6:G6)</f>
        <v>1614.4332767839339</v>
      </c>
      <c r="J6" s="12">
        <v>1.050751777165045</v>
      </c>
      <c r="K6" s="12">
        <f>J6*H6/I6</f>
        <v>1.050751777165045</v>
      </c>
    </row>
    <row r="7" spans="2:11" ht="16" x14ac:dyDescent="0.2">
      <c r="B7" s="24" t="s">
        <v>1</v>
      </c>
      <c r="C7" s="13">
        <f>'Original 2012-13 Data'!C7*C$22*$J7</f>
        <v>10087.405292093019</v>
      </c>
      <c r="D7" s="13">
        <f>'Original 2012-13 Data'!D7*D$22*$J7</f>
        <v>1368.6272430920972</v>
      </c>
      <c r="E7" s="13">
        <f>'Original 2012-13 Data'!E7*E$22*$J7</f>
        <v>642.75675605882645</v>
      </c>
      <c r="F7" s="13">
        <f>'Original 2012-13 Data'!F7*F$22*$J7</f>
        <v>85.402371473777777</v>
      </c>
      <c r="G7" s="13">
        <f>'Original 2012-13 Data'!G7*G$22*$J7</f>
        <v>97.291044179389033</v>
      </c>
      <c r="H7" s="13">
        <f>'Original 2012-13 Data'!H7*'Original 2012-13 Data'!$I$20/'Original 2012-13 Data'!$H$21</f>
        <v>12281.482706897112</v>
      </c>
      <c r="I7" s="13">
        <f t="shared" ref="I7:I19" si="0">SUM(C7:G7)</f>
        <v>12281.48270689711</v>
      </c>
      <c r="J7" s="14">
        <v>0.97013058414043973</v>
      </c>
      <c r="K7" s="14">
        <f t="shared" ref="K7:K19" si="1">J7*H7/I7</f>
        <v>0.97013058414043996</v>
      </c>
    </row>
    <row r="8" spans="2:11" ht="16" x14ac:dyDescent="0.2">
      <c r="B8" s="24" t="s">
        <v>2</v>
      </c>
      <c r="C8" s="13">
        <f>'Original 2012-13 Data'!C8*C$22*$J8</f>
        <v>3861.0172577983817</v>
      </c>
      <c r="D8" s="13">
        <f>'Original 2012-13 Data'!D8*D$22*$J8</f>
        <v>875.01424041411758</v>
      </c>
      <c r="E8" s="13">
        <f>'Original 2012-13 Data'!E8*E$22*$J8</f>
        <v>344.892919704458</v>
      </c>
      <c r="F8" s="13">
        <f>'Original 2012-13 Data'!F8*F$22*$J8</f>
        <v>19.836624405115462</v>
      </c>
      <c r="G8" s="13">
        <f>'Original 2012-13 Data'!G8*G$22*$J8</f>
        <v>46.908260132153586</v>
      </c>
      <c r="H8" s="13">
        <f>'Original 2012-13 Data'!H8*'Original 2012-13 Data'!$I$20/'Original 2012-13 Data'!$H$21</f>
        <v>5147.6693024542255</v>
      </c>
      <c r="I8" s="13">
        <f t="shared" si="0"/>
        <v>5147.6693024542265</v>
      </c>
      <c r="J8" s="14">
        <v>1.239864260592058</v>
      </c>
      <c r="K8" s="14">
        <f t="shared" si="1"/>
        <v>1.2398642605920578</v>
      </c>
    </row>
    <row r="9" spans="2:11" ht="16" x14ac:dyDescent="0.2">
      <c r="B9" s="24" t="s">
        <v>3</v>
      </c>
      <c r="C9" s="13">
        <f>'Original 2012-13 Data'!C9*C$22*$J9</f>
        <v>1894.871315839719</v>
      </c>
      <c r="D9" s="13">
        <f>'Original 2012-13 Data'!D9*D$22*$J9</f>
        <v>472.38960087048571</v>
      </c>
      <c r="E9" s="13">
        <f>'Original 2012-13 Data'!E9*E$22*$J9</f>
        <v>214.15647055925635</v>
      </c>
      <c r="F9" s="13">
        <f>'Original 2012-13 Data'!F9*F$22*$J9</f>
        <v>13.259233392712881</v>
      </c>
      <c r="G9" s="13">
        <f>'Original 2012-13 Data'!G9*G$22*$J9</f>
        <v>25.767043995276101</v>
      </c>
      <c r="H9" s="13">
        <f>'Original 2012-13 Data'!H9*'Original 2012-13 Data'!$I$20/'Original 2012-13 Data'!$H$21</f>
        <v>2620.4436646574504</v>
      </c>
      <c r="I9" s="13">
        <f t="shared" si="0"/>
        <v>2620.44366465745</v>
      </c>
      <c r="J9" s="14">
        <v>0.84629405469358954</v>
      </c>
      <c r="K9" s="14">
        <f t="shared" si="1"/>
        <v>0.84629405469358965</v>
      </c>
    </row>
    <row r="10" spans="2:11" ht="16" x14ac:dyDescent="0.2">
      <c r="B10" s="24" t="s">
        <v>4</v>
      </c>
      <c r="C10" s="13">
        <f>'Original 2012-13 Data'!C10*C$22*$J10</f>
        <v>241.26432915694534</v>
      </c>
      <c r="D10" s="13">
        <f>'Original 2012-13 Data'!D10*D$22*$J10</f>
        <v>96.579725725227746</v>
      </c>
      <c r="E10" s="13">
        <f>'Original 2012-13 Data'!E10*E$22*$J10</f>
        <v>33.915973005218945</v>
      </c>
      <c r="F10" s="13">
        <f>'Original 2012-13 Data'!F10*F$22*$J10</f>
        <v>1.5184457280733668</v>
      </c>
      <c r="G10" s="13">
        <f>'Original 2012-13 Data'!G10*G$22*$J10</f>
        <v>2.7884785044479377</v>
      </c>
      <c r="H10" s="13">
        <f>'Original 2012-13 Data'!H10*'Original 2012-13 Data'!$I$20/'Original 2012-13 Data'!$H$21</f>
        <v>376.06695211991331</v>
      </c>
      <c r="I10" s="13">
        <f t="shared" si="0"/>
        <v>376.06695211991325</v>
      </c>
      <c r="J10" s="14">
        <v>1.03555234725318</v>
      </c>
      <c r="K10" s="14">
        <f t="shared" si="1"/>
        <v>1.0355523472531802</v>
      </c>
    </row>
    <row r="11" spans="2:11" ht="16" x14ac:dyDescent="0.2">
      <c r="B11" s="24" t="s">
        <v>5</v>
      </c>
      <c r="C11" s="13">
        <f>'Original 2012-13 Data'!C11*C$22*$J11</f>
        <v>1032.0209647336642</v>
      </c>
      <c r="D11" s="13">
        <f>'Original 2012-13 Data'!D11*D$22*$J11</f>
        <v>267.1434621820224</v>
      </c>
      <c r="E11" s="13">
        <f>'Original 2012-13 Data'!E11*E$22*$J11</f>
        <v>105.40675076508299</v>
      </c>
      <c r="F11" s="13">
        <f>'Original 2012-13 Data'!F11*F$22*$J11</f>
        <v>5.3007389387002126</v>
      </c>
      <c r="G11" s="13">
        <f>'Original 2012-13 Data'!G11*G$22*$J11</f>
        <v>13.396909433695859</v>
      </c>
      <c r="H11" s="13">
        <f>'Original 2012-13 Data'!H11*'Original 2012-13 Data'!$I$20/'Original 2012-13 Data'!$H$21</f>
        <v>1423.2688260531656</v>
      </c>
      <c r="I11" s="13">
        <f t="shared" si="0"/>
        <v>1423.2688260531656</v>
      </c>
      <c r="J11" s="14">
        <v>1.0192226940103815</v>
      </c>
      <c r="K11" s="14">
        <f t="shared" si="1"/>
        <v>1.0192226940103815</v>
      </c>
    </row>
    <row r="12" spans="2:11" ht="16" x14ac:dyDescent="0.2">
      <c r="B12" s="24" t="s">
        <v>6</v>
      </c>
      <c r="C12" s="13">
        <f>'Original 2012-13 Data'!C12*C$22*$J12</f>
        <v>722.68344640793782</v>
      </c>
      <c r="D12" s="13">
        <f>'Original 2012-13 Data'!D12*D$22*$J12</f>
        <v>178.44941470083754</v>
      </c>
      <c r="E12" s="13">
        <f>'Original 2012-13 Data'!E12*E$22*$J12</f>
        <v>84.096097549876319</v>
      </c>
      <c r="F12" s="13">
        <f>'Original 2012-13 Data'!F12*F$22*$J12</f>
        <v>3.203949144786765</v>
      </c>
      <c r="G12" s="13">
        <f>'Original 2012-13 Data'!G12*G$22*$J12</f>
        <v>12.428778271332048</v>
      </c>
      <c r="H12" s="13">
        <f>'Original 2012-13 Data'!H12*'Original 2012-13 Data'!$I$20/'Original 2012-13 Data'!$H$21</f>
        <v>1000.8616860747705</v>
      </c>
      <c r="I12" s="13">
        <f t="shared" si="0"/>
        <v>1000.8616860747704</v>
      </c>
      <c r="J12" s="14">
        <v>0.95312176146334637</v>
      </c>
      <c r="K12" s="14">
        <f t="shared" si="1"/>
        <v>0.95312176146334648</v>
      </c>
    </row>
    <row r="13" spans="2:11" ht="16" x14ac:dyDescent="0.2">
      <c r="B13" s="24" t="s">
        <v>7</v>
      </c>
      <c r="C13" s="13">
        <f>'Original 2012-13 Data'!C13*C$22*$J13</f>
        <v>1673.2667281691656</v>
      </c>
      <c r="D13" s="13">
        <f>'Original 2012-13 Data'!D13*D$22*$J13</f>
        <v>425.2035435345739</v>
      </c>
      <c r="E13" s="13">
        <f>'Original 2012-13 Data'!E13*E$22*$J13</f>
        <v>189.52653351064563</v>
      </c>
      <c r="F13" s="13">
        <f>'Original 2012-13 Data'!F13*F$22*$J13</f>
        <v>8.1031372449564749</v>
      </c>
      <c r="G13" s="13">
        <f>'Original 2012-13 Data'!G13*G$22*$J13</f>
        <v>25.885007357844472</v>
      </c>
      <c r="H13" s="13">
        <f>'Original 2012-13 Data'!H13*'Original 2012-13 Data'!$I$20/'Original 2012-13 Data'!$H$21</f>
        <v>2321.9849498171861</v>
      </c>
      <c r="I13" s="13">
        <f t="shared" si="0"/>
        <v>2321.9849498171861</v>
      </c>
      <c r="J13" s="14">
        <v>1.1036011237932162</v>
      </c>
      <c r="K13" s="14">
        <f t="shared" si="1"/>
        <v>1.1036011237932162</v>
      </c>
    </row>
    <row r="14" spans="2:11" ht="16" x14ac:dyDescent="0.2">
      <c r="B14" s="24" t="s">
        <v>8</v>
      </c>
      <c r="C14" s="13">
        <f>'Original 2012-13 Data'!C14*C$22*$J14</f>
        <v>2761.1490858956281</v>
      </c>
      <c r="D14" s="13">
        <f>'Original 2012-13 Data'!D14*D$22*$J14</f>
        <v>431.38612231513088</v>
      </c>
      <c r="E14" s="13">
        <f>'Original 2012-13 Data'!E14*E$22*$J14</f>
        <v>129.41036193266035</v>
      </c>
      <c r="F14" s="13">
        <f>'Original 2012-13 Data'!F14*F$22*$J14</f>
        <v>21.491110847137517</v>
      </c>
      <c r="G14" s="13">
        <f>'Original 2012-13 Data'!G14*G$22*$J14</f>
        <v>43.463206269811508</v>
      </c>
      <c r="H14" s="13">
        <f>'Original 2012-13 Data'!H14*'Original 2012-13 Data'!$I$20/'Original 2012-13 Data'!$H$21</f>
        <v>3386.8998872603684</v>
      </c>
      <c r="I14" s="13">
        <f t="shared" si="0"/>
        <v>3386.8998872603679</v>
      </c>
      <c r="J14" s="14">
        <v>0.92100735728184535</v>
      </c>
      <c r="K14" s="14">
        <f t="shared" si="1"/>
        <v>0.92100735728184546</v>
      </c>
    </row>
    <row r="15" spans="2:11" ht="16" x14ac:dyDescent="0.2">
      <c r="B15" s="24" t="s">
        <v>9</v>
      </c>
      <c r="C15" s="13">
        <f>'Original 2012-13 Data'!C15*C$22*$J15</f>
        <v>889.60446472660283</v>
      </c>
      <c r="D15" s="13">
        <f>'Original 2012-13 Data'!D15*D$22*$J15</f>
        <v>258.29549214058432</v>
      </c>
      <c r="E15" s="13">
        <f>'Original 2012-13 Data'!E15*E$22*$J15</f>
        <v>97.700150458941565</v>
      </c>
      <c r="F15" s="13">
        <f>'Original 2012-13 Data'!F15*F$22*$J15</f>
        <v>5.9713503082580308</v>
      </c>
      <c r="G15" s="13">
        <f>'Original 2012-13 Data'!G15*G$22*$J15</f>
        <v>18.906650307937248</v>
      </c>
      <c r="H15" s="13">
        <f>'Original 2012-13 Data'!H15*'Original 2012-13 Data'!$I$20/'Original 2012-13 Data'!$H$21</f>
        <v>1270.4781079423242</v>
      </c>
      <c r="I15" s="13">
        <f t="shared" si="0"/>
        <v>1270.478107942324</v>
      </c>
      <c r="J15" s="14">
        <v>0.95259120734654479</v>
      </c>
      <c r="K15" s="14">
        <f t="shared" si="1"/>
        <v>0.9525912073465449</v>
      </c>
    </row>
    <row r="16" spans="2:11" ht="16" x14ac:dyDescent="0.2">
      <c r="B16" s="24" t="s">
        <v>10</v>
      </c>
      <c r="C16" s="13">
        <f>'Original 2012-13 Data'!C16*C$22*$J16</f>
        <v>316.8010079485299</v>
      </c>
      <c r="D16" s="13">
        <f>'Original 2012-13 Data'!D16*D$22*$J16</f>
        <v>118.81812700051496</v>
      </c>
      <c r="E16" s="13">
        <f>'Original 2012-13 Data'!E16*E$22*$J16</f>
        <v>43.405863172759247</v>
      </c>
      <c r="F16" s="13">
        <f>'Original 2012-13 Data'!F16*F$22*$J16</f>
        <v>3.5994838845999344</v>
      </c>
      <c r="G16" s="13">
        <f>'Original 2012-13 Data'!G16*G$22*$J16</f>
        <v>6.2495289086035593</v>
      </c>
      <c r="H16" s="13">
        <f>'Original 2012-13 Data'!H16*'Original 2012-13 Data'!$I$20/'Original 2012-13 Data'!$H$21</f>
        <v>488.87401091500766</v>
      </c>
      <c r="I16" s="13">
        <f t="shared" si="0"/>
        <v>488.8740109150076</v>
      </c>
      <c r="J16" s="14">
        <v>1.4237932800423054</v>
      </c>
      <c r="K16" s="14">
        <f t="shared" si="1"/>
        <v>1.4237932800423057</v>
      </c>
    </row>
    <row r="17" spans="2:11" ht="16" x14ac:dyDescent="0.2">
      <c r="B17" s="24" t="s">
        <v>11</v>
      </c>
      <c r="C17" s="13">
        <f>'Original 2012-13 Data'!C17*C$22*$J17</f>
        <v>3934.2711971024746</v>
      </c>
      <c r="D17" s="13">
        <f>'Original 2012-13 Data'!D17*D$22*$J17</f>
        <v>874.20252355763523</v>
      </c>
      <c r="E17" s="13">
        <f>'Original 2012-13 Data'!E17*E$22*$J17</f>
        <v>381.81723753110873</v>
      </c>
      <c r="F17" s="13">
        <f>'Original 2012-13 Data'!F17*F$22*$J17</f>
        <v>41.14957598032106</v>
      </c>
      <c r="G17" s="13">
        <f>'Original 2012-13 Data'!G17*G$22*$J17</f>
        <v>52.00251695729056</v>
      </c>
      <c r="H17" s="13">
        <f>'Original 2012-13 Data'!H17*'Original 2012-13 Data'!$I$20/'Original 2012-13 Data'!$H$21</f>
        <v>5283.4430511288301</v>
      </c>
      <c r="I17" s="13">
        <f t="shared" si="0"/>
        <v>5283.4430511288301</v>
      </c>
      <c r="J17" s="14">
        <v>0.89286024508971273</v>
      </c>
      <c r="K17" s="14">
        <f t="shared" si="1"/>
        <v>0.89286024508971273</v>
      </c>
    </row>
    <row r="18" spans="2:11" ht="16" x14ac:dyDescent="0.2">
      <c r="B18" s="24" t="s">
        <v>12</v>
      </c>
      <c r="C18" s="13">
        <f>'Original 2012-13 Data'!C18*C$22*$J18</f>
        <v>1566.8697167848779</v>
      </c>
      <c r="D18" s="13">
        <f>'Original 2012-13 Data'!D18*D$22*$J18</f>
        <v>380.02870119088124</v>
      </c>
      <c r="E18" s="13">
        <f>'Original 2012-13 Data'!E18*E$22*$J18</f>
        <v>135.01202074409633</v>
      </c>
      <c r="F18" s="13">
        <f>'Original 2012-13 Data'!F18*F$22*$J18</f>
        <v>18.743958770408213</v>
      </c>
      <c r="G18" s="13">
        <f>'Original 2012-13 Data'!G18*G$22*$J18</f>
        <v>19.627457343040088</v>
      </c>
      <c r="H18" s="13">
        <f>'Original 2012-13 Data'!H18*'Original 2012-13 Data'!$I$20/'Original 2012-13 Data'!$H$21</f>
        <v>2120.2818548333039</v>
      </c>
      <c r="I18" s="13">
        <f t="shared" si="0"/>
        <v>2120.2818548333039</v>
      </c>
      <c r="J18" s="14">
        <v>1.2011266404671246</v>
      </c>
      <c r="K18" s="14">
        <f t="shared" si="1"/>
        <v>1.2011266404671246</v>
      </c>
    </row>
    <row r="19" spans="2:11" ht="17" thickBot="1" x14ac:dyDescent="0.25">
      <c r="B19" s="25" t="s">
        <v>13</v>
      </c>
      <c r="C19" s="15">
        <f>'Original 2012-13 Data'!C19*C$22*$J19</f>
        <v>741.20365373043114</v>
      </c>
      <c r="D19" s="15">
        <f>'Original 2012-13 Data'!D19*D$22*$J19</f>
        <v>239.84139513125811</v>
      </c>
      <c r="E19" s="15">
        <f>'Original 2012-13 Data'!E19*E$22*$J19</f>
        <v>96.966901647804377</v>
      </c>
      <c r="F19" s="15">
        <f>'Original 2012-13 Data'!F19*F$22*$J19</f>
        <v>7.914409359205445</v>
      </c>
      <c r="G19" s="15">
        <f>'Original 2012-13 Data'!G19*G$22*$J19</f>
        <v>8.4069565937113993</v>
      </c>
      <c r="H19" s="15">
        <f>'Original 2012-13 Data'!H19*'Original 2012-13 Data'!$I$20/'Original 2012-13 Data'!$H$21</f>
        <v>1094.3333164624103</v>
      </c>
      <c r="I19" s="15">
        <f t="shared" si="0"/>
        <v>1094.3333164624103</v>
      </c>
      <c r="J19" s="16">
        <v>1.056223160587924</v>
      </c>
      <c r="K19" s="16">
        <f t="shared" si="1"/>
        <v>1.056223160587924</v>
      </c>
    </row>
    <row r="20" spans="2:11" ht="32.25" customHeight="1" thickTop="1" thickBot="1" x14ac:dyDescent="0.25">
      <c r="B20" s="20" t="s">
        <v>20</v>
      </c>
      <c r="C20" s="4">
        <f>'Original 2012-13 Data'!C20</f>
        <v>30876.519344820001</v>
      </c>
      <c r="D20" s="4">
        <f>'Original 2012-13 Data'!D20</f>
        <v>6297.7921660900001</v>
      </c>
      <c r="E20" s="4">
        <f>'Original 2012-13 Data'!E20</f>
        <v>2625.57842291</v>
      </c>
      <c r="F20" s="4">
        <f>'Original 2012-13 Data'!F20</f>
        <v>245.25361277999997</v>
      </c>
      <c r="G20" s="4">
        <f>'Original 2012-13 Data'!G20</f>
        <v>385.37804679999999</v>
      </c>
      <c r="H20" s="5"/>
      <c r="I20" s="9">
        <f>SUM(C20:H20)</f>
        <v>40430.521593400001</v>
      </c>
    </row>
    <row r="21" spans="2:11" ht="36" thickTop="1" thickBot="1" x14ac:dyDescent="0.25">
      <c r="B21" s="31" t="s">
        <v>23</v>
      </c>
      <c r="C21" s="9">
        <f t="shared" ref="C21:H21" si="2">SUM(C6:C19)</f>
        <v>30876.507147523433</v>
      </c>
      <c r="D21" s="9">
        <f t="shared" si="2"/>
        <v>6297.8010835892064</v>
      </c>
      <c r="E21" s="9">
        <f t="shared" si="2"/>
        <v>2625.5817312218246</v>
      </c>
      <c r="F21" s="9">
        <f t="shared" si="2"/>
        <v>245.25345477429616</v>
      </c>
      <c r="G21" s="9">
        <f t="shared" si="2"/>
        <v>385.37817629123339</v>
      </c>
      <c r="H21" s="9">
        <f t="shared" si="2"/>
        <v>40430.521593400001</v>
      </c>
      <c r="I21" s="6"/>
    </row>
    <row r="22" spans="2:11" ht="18" thickTop="1" thickBot="1" x14ac:dyDescent="0.25">
      <c r="B22" s="8" t="s">
        <v>16</v>
      </c>
      <c r="C22" s="10">
        <v>1.0019770568774757</v>
      </c>
      <c r="D22" s="10">
        <v>0.99165432006029564</v>
      </c>
      <c r="E22" s="10">
        <v>1.0096566546423189</v>
      </c>
      <c r="F22" s="10">
        <v>1.0339465747918077</v>
      </c>
      <c r="G22" s="10">
        <v>1.0567663192899992</v>
      </c>
      <c r="H22" s="17"/>
    </row>
    <row r="23" spans="2:11" ht="18" thickTop="1" thickBot="1" x14ac:dyDescent="0.25">
      <c r="B23" s="8" t="s">
        <v>17</v>
      </c>
      <c r="C23" s="10">
        <f>C22*C20/C21</f>
        <v>1.0019774526933385</v>
      </c>
      <c r="D23" s="10">
        <f>D22*D20/D21</f>
        <v>0.99165291590724369</v>
      </c>
      <c r="E23" s="10">
        <f>E22*E20/E21</f>
        <v>1.0096553824446153</v>
      </c>
      <c r="F23" s="10">
        <f>F22*F20/F21</f>
        <v>1.0339472409168025</v>
      </c>
      <c r="G23" s="10">
        <f>G22*G20/G21</f>
        <v>1.0567659642050917</v>
      </c>
      <c r="H23" s="18"/>
    </row>
    <row r="24" spans="2:11" ht="18" thickTop="1" thickBot="1" x14ac:dyDescent="0.25">
      <c r="B24" s="8" t="s">
        <v>15</v>
      </c>
      <c r="C24" s="10" t="str">
        <f>IF(ABS(C20-C21)&lt;Convergence_Criteria, "YES","NO")</f>
        <v>YES</v>
      </c>
      <c r="D24" s="10" t="str">
        <f>IF(ABS(D20-D21)&lt;Convergence_Criteria, "YES","NO")</f>
        <v>YES</v>
      </c>
      <c r="E24" s="10" t="str">
        <f>IF(ABS(E20-E21)&lt;Convergence_Criteria, "YES","NO")</f>
        <v>YES</v>
      </c>
      <c r="F24" s="10" t="str">
        <f>IF(ABS(F20-F21)&lt;Convergence_Criteria, "YES","NO")</f>
        <v>YES</v>
      </c>
      <c r="G24" s="10" t="str">
        <f>IF(ABS(G20-G21)&lt;Convergence_Criteria, "YES","NO")</f>
        <v>YES</v>
      </c>
      <c r="H24" s="18"/>
    </row>
    <row r="25" spans="2:11" ht="14" thickTop="1" x14ac:dyDescent="0.15"/>
    <row r="28" spans="2:11" x14ac:dyDescent="0.15">
      <c r="B28" t="s">
        <v>19</v>
      </c>
    </row>
    <row r="29" spans="2:11" x14ac:dyDescent="0.15">
      <c r="B29" s="7" t="s">
        <v>181</v>
      </c>
    </row>
    <row r="30" spans="2:11" x14ac:dyDescent="0.15">
      <c r="B30" s="7" t="s">
        <v>18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B4:I24"/>
  <sheetViews>
    <sheetView workbookViewId="0">
      <selection activeCell="C16" sqref="C16"/>
    </sheetView>
  </sheetViews>
  <sheetFormatPr baseColWidth="10" defaultColWidth="8.83203125" defaultRowHeight="13" x14ac:dyDescent="0.15"/>
  <cols>
    <col min="2" max="2" width="21.5" customWidth="1"/>
    <col min="3" max="9" width="17.6640625" customWidth="1"/>
  </cols>
  <sheetData>
    <row r="4" spans="2:9" ht="14" thickBot="1" x14ac:dyDescent="0.2">
      <c r="B4" s="19" t="s">
        <v>14</v>
      </c>
    </row>
    <row r="5" spans="2:9" ht="48.75" customHeight="1" thickTop="1" thickBot="1" x14ac:dyDescent="0.2">
      <c r="B5" s="1"/>
      <c r="C5" s="2" t="s">
        <v>74</v>
      </c>
      <c r="D5" s="2" t="s">
        <v>73</v>
      </c>
      <c r="E5" s="2" t="s">
        <v>75</v>
      </c>
      <c r="F5" s="2" t="s">
        <v>76</v>
      </c>
      <c r="G5" s="2" t="s">
        <v>77</v>
      </c>
      <c r="H5" s="3" t="s">
        <v>21</v>
      </c>
      <c r="I5" s="30" t="s">
        <v>22</v>
      </c>
    </row>
    <row r="6" spans="2:9" ht="17" thickTop="1" x14ac:dyDescent="0.2">
      <c r="B6" s="26" t="s">
        <v>0</v>
      </c>
      <c r="C6" s="11">
        <f>('[2]13_14 fleet'!$D259+'[2]13_14 fleet'!$D274+'[2]13_14 fleet'!$D289+'[2]13_14 fleet'!$D304)/1000000</f>
        <v>1103.2663973499998</v>
      </c>
      <c r="D6" s="11">
        <f>('[2]13_14 fleet'!$D379+'[2]13_14 fleet'!$D394+'[2]13_14 fleet'!$D409+'[2]13_14 fleet'!$D424)/1000000</f>
        <v>309.92002230999998</v>
      </c>
      <c r="E6" s="11">
        <f>('[2]13_14 fleet'!$D$349+'[2]13_14 fleet'!$D$364)/1000000</f>
        <v>123.45666708</v>
      </c>
      <c r="F6" s="11">
        <f>('[2]13_14 fleet'!$D229+'[2]13_14 fleet'!$D244)/1000000</f>
        <v>9.2465265199999997</v>
      </c>
      <c r="G6" s="11">
        <f>('[2]13_14 fleet'!$D319+'[2]13_14 fleet'!$D334)/1000000</f>
        <v>11.618619010000002</v>
      </c>
      <c r="H6" s="28">
        <f>[8]Northland!$J$8/1000000</f>
        <v>1732.2736199999999</v>
      </c>
      <c r="I6" s="13">
        <f>SUM(C6:G6)</f>
        <v>1557.5082322699998</v>
      </c>
    </row>
    <row r="7" spans="2:9" ht="16" x14ac:dyDescent="0.2">
      <c r="B7" s="27" t="s">
        <v>1</v>
      </c>
      <c r="C7" s="13">
        <f>('[2]13_14 fleet'!$D260+'[2]13_14 fleet'!$D275+'[2]13_14 fleet'!$D290+'[2]13_14 fleet'!$D305)/1000000</f>
        <v>10574.94692221</v>
      </c>
      <c r="D7" s="13">
        <f>('[2]13_14 fleet'!$D380+'[2]13_14 fleet'!$D395+'[2]13_14 fleet'!$D410+'[2]13_14 fleet'!$D425)/1000000</f>
        <v>1490.7872673699999</v>
      </c>
      <c r="E7" s="13">
        <f>('[2]13_14 fleet'!$D$350+'[2]13_14 fleet'!$D$365)/1000000</f>
        <v>638.40036466999993</v>
      </c>
      <c r="F7" s="13">
        <f>('[2]13_14 fleet'!$D230+'[2]13_14 fleet'!$D245)/1000000</f>
        <v>89.18228615999999</v>
      </c>
      <c r="G7" s="13">
        <f>('[2]13_14 fleet'!$D320+'[2]13_14 fleet'!$D335)/1000000</f>
        <v>99.337424330000005</v>
      </c>
      <c r="H7" s="29">
        <f>[8]Auckland!$J$8/1000000</f>
        <v>12690.381681999999</v>
      </c>
      <c r="I7" s="13">
        <f t="shared" ref="I7:I20" si="0">SUM(C7:G7)</f>
        <v>12892.65426474</v>
      </c>
    </row>
    <row r="8" spans="2:9" ht="16" x14ac:dyDescent="0.2">
      <c r="B8" s="27" t="s">
        <v>2</v>
      </c>
      <c r="C8" s="13">
        <f>('[2]13_14 fleet'!$D261+'[2]13_14 fleet'!$D276+'[2]13_14 fleet'!$D291+'[2]13_14 fleet'!$D306)/1000000</f>
        <v>3182.9878646999996</v>
      </c>
      <c r="D8" s="13">
        <f>('[2]13_14 fleet'!$D381+'[2]13_14 fleet'!$D396+'[2]13_14 fleet'!$D411+'[2]13_14 fleet'!$D426)/1000000</f>
        <v>759.65608105999991</v>
      </c>
      <c r="E8" s="13">
        <f>('[2]13_14 fleet'!$D$351+'[2]13_14 fleet'!$D$366)/1000000</f>
        <v>327.82911177999995</v>
      </c>
      <c r="F8" s="13">
        <f>('[2]13_14 fleet'!$D231+'[2]13_14 fleet'!$D246)/1000000</f>
        <v>17.06262572</v>
      </c>
      <c r="G8" s="13">
        <f>('[2]13_14 fleet'!$D321+'[2]13_14 fleet'!$D336)/1000000</f>
        <v>38.409289729999998</v>
      </c>
      <c r="H8" s="29">
        <f>[8]Waikato!$J$8/1000000</f>
        <v>5214.8454979999997</v>
      </c>
      <c r="I8" s="13">
        <f t="shared" si="0"/>
        <v>4325.9449729899989</v>
      </c>
    </row>
    <row r="9" spans="2:9" ht="16" x14ac:dyDescent="0.2">
      <c r="B9" s="27" t="s">
        <v>3</v>
      </c>
      <c r="C9" s="13">
        <f>('[2]13_14 fleet'!$D262+'[2]13_14 fleet'!$D277+'[2]13_14 fleet'!$D292+'[2]13_14 fleet'!$D307)/1000000</f>
        <v>2261.6166825800001</v>
      </c>
      <c r="D9" s="13">
        <f>('[2]13_14 fleet'!$D382+'[2]13_14 fleet'!$D397+'[2]13_14 fleet'!$D412+'[2]13_14 fleet'!$D427)/1000000</f>
        <v>587.17953299999999</v>
      </c>
      <c r="E9" s="13">
        <f>('[2]13_14 fleet'!$D$352+'[2]13_14 fleet'!$D$367)/1000000</f>
        <v>257.21101347999996</v>
      </c>
      <c r="F9" s="13">
        <f>('[2]13_14 fleet'!$D232+'[2]13_14 fleet'!$D247)/1000000</f>
        <v>16.572614689999998</v>
      </c>
      <c r="G9" s="13">
        <f>('[2]13_14 fleet'!$D322+'[2]13_14 fleet'!$D337)/1000000</f>
        <v>30.093679820000002</v>
      </c>
      <c r="H9" s="29">
        <f>'[8]Bay of Plenty'!$J$8/1000000</f>
        <v>2775.961366</v>
      </c>
      <c r="I9" s="13">
        <f t="shared" si="0"/>
        <v>3152.6735235700003</v>
      </c>
    </row>
    <row r="10" spans="2:9" ht="16" x14ac:dyDescent="0.2">
      <c r="B10" s="27" t="s">
        <v>4</v>
      </c>
      <c r="C10" s="13">
        <f>('[2]13_14 fleet'!$D263+'[2]13_14 fleet'!$D278+'[2]13_14 fleet'!$D293+'[2]13_14 fleet'!$D308)/1000000</f>
        <v>229.92081296999999</v>
      </c>
      <c r="D10" s="13">
        <f>('[2]13_14 fleet'!$D383+'[2]13_14 fleet'!$D398+'[2]13_14 fleet'!$D413+'[2]13_14 fleet'!$D428)/1000000</f>
        <v>98.588888560000001</v>
      </c>
      <c r="E10" s="13">
        <f>('[2]13_14 fleet'!$D$353+'[2]13_14 fleet'!$D$368)/1000000</f>
        <v>34.306600209999999</v>
      </c>
      <c r="F10" s="13">
        <f>('[2]13_14 fleet'!$D233+'[2]13_14 fleet'!$D248)/1000000</f>
        <v>1.77262177</v>
      </c>
      <c r="G10" s="13">
        <f>('[2]13_14 fleet'!$D323+'[2]13_14 fleet'!$D338)/1000000</f>
        <v>2.5278975799999999</v>
      </c>
      <c r="H10" s="29">
        <f>[8]Gisborne!$J$8/1000000</f>
        <v>390.23243200000002</v>
      </c>
      <c r="I10" s="13">
        <f t="shared" si="0"/>
        <v>367.11682108999997</v>
      </c>
    </row>
    <row r="11" spans="2:9" ht="16" x14ac:dyDescent="0.2">
      <c r="B11" s="27" t="s">
        <v>5</v>
      </c>
      <c r="C11" s="13">
        <f>('[2]13_14 fleet'!$D264+'[2]13_14 fleet'!$D279+'[2]13_14 fleet'!$D294+'[2]13_14 fleet'!$D309)/1000000</f>
        <v>1012.9943160600001</v>
      </c>
      <c r="D11" s="13">
        <f>('[2]13_14 fleet'!$D384+'[2]13_14 fleet'!$D399+'[2]13_14 fleet'!$D414+'[2]13_14 fleet'!$D429)/1000000</f>
        <v>272.62827456000002</v>
      </c>
      <c r="E11" s="13">
        <f>('[2]13_14 fleet'!$D$354+'[2]13_14 fleet'!$D$369)/1000000</f>
        <v>104.93288371999999</v>
      </c>
      <c r="F11" s="13">
        <f>('[2]13_14 fleet'!$D234+'[2]13_14 fleet'!$D249)/1000000</f>
        <v>5.5447610999999997</v>
      </c>
      <c r="G11" s="13">
        <f>('[2]13_14 fleet'!$D324+'[2]13_14 fleet'!$D339)/1000000</f>
        <v>12.29445095</v>
      </c>
      <c r="H11" s="29">
        <f>'[8]Hawke''s Bay'!$J$8/1000000</f>
        <v>1450.2928629999999</v>
      </c>
      <c r="I11" s="13">
        <f t="shared" si="0"/>
        <v>1408.3946863900003</v>
      </c>
    </row>
    <row r="12" spans="2:9" ht="16" x14ac:dyDescent="0.2">
      <c r="B12" s="27" t="s">
        <v>6</v>
      </c>
      <c r="C12" s="13">
        <f>('[2]13_14 fleet'!$D265+'[2]13_14 fleet'!$D280+'[2]13_14 fleet'!$D295+'[2]13_14 fleet'!$D310)/1000000</f>
        <v>768.26821362999999</v>
      </c>
      <c r="D12" s="13">
        <f>('[2]13_14 fleet'!$D385+'[2]13_14 fleet'!$D400+'[2]13_14 fleet'!$D415+'[2]13_14 fleet'!$D430)/1000000</f>
        <v>196.83668549000001</v>
      </c>
      <c r="E12" s="13">
        <f>('[2]13_14 fleet'!$D$355+'[2]13_14 fleet'!$D$370)/1000000</f>
        <v>90.744468870000006</v>
      </c>
      <c r="F12" s="13">
        <f>('[2]13_14 fleet'!$D235+'[2]13_14 fleet'!$D250)/1000000</f>
        <v>3.60423442</v>
      </c>
      <c r="G12" s="13">
        <f>('[2]13_14 fleet'!$D325+'[2]13_14 fleet'!$D340)/1000000</f>
        <v>12.450189269999999</v>
      </c>
      <c r="H12" s="29">
        <f>[8]Taranaki!$J$8/1000000</f>
        <v>1051.209196</v>
      </c>
      <c r="I12" s="13">
        <f t="shared" si="0"/>
        <v>1071.90379168</v>
      </c>
    </row>
    <row r="13" spans="2:9" ht="16" x14ac:dyDescent="0.2">
      <c r="B13" s="27" t="s">
        <v>7</v>
      </c>
      <c r="C13" s="13">
        <f>('[2]13_14 fleet'!$D266+'[2]13_14 fleet'!$D281+'[2]13_14 fleet'!$D296+'[2]13_14 fleet'!$D311)/1000000</f>
        <v>1523.25309735</v>
      </c>
      <c r="D13" s="13">
        <f>('[2]13_14 fleet'!$D386+'[2]13_14 fleet'!$D401+'[2]13_14 fleet'!$D416+'[2]13_14 fleet'!$D431)/1000000</f>
        <v>403.50998009000006</v>
      </c>
      <c r="E13" s="13">
        <f>('[2]13_14 fleet'!$D$356+'[2]13_14 fleet'!$D$371)/1000000</f>
        <v>173.10655398000003</v>
      </c>
      <c r="F13" s="13">
        <f>('[2]13_14 fleet'!$D236+'[2]13_14 fleet'!$D251)/1000000</f>
        <v>7.6101116299999996</v>
      </c>
      <c r="G13" s="13">
        <f>('[2]13_14 fleet'!$D326+'[2]13_14 fleet'!$D341)/1000000</f>
        <v>23.214453069999998</v>
      </c>
      <c r="H13" s="29">
        <f>[8]Manawatu!$J$8/1000000</f>
        <v>2403.3024249999999</v>
      </c>
      <c r="I13" s="13">
        <f t="shared" si="0"/>
        <v>2130.6941961200005</v>
      </c>
    </row>
    <row r="14" spans="2:9" ht="16" x14ac:dyDescent="0.2">
      <c r="B14" s="27" t="s">
        <v>8</v>
      </c>
      <c r="C14" s="13">
        <f>('[2]13_14 fleet'!$D267+'[2]13_14 fleet'!$D282+'[2]13_14 fleet'!$D297+'[2]13_14 fleet'!$D312)/1000000</f>
        <v>3014.79532277</v>
      </c>
      <c r="D14" s="13">
        <f>('[2]13_14 fleet'!$D387+'[2]13_14 fleet'!$D402+'[2]13_14 fleet'!$D417+'[2]13_14 fleet'!$D432)/1000000</f>
        <v>492.28692925000001</v>
      </c>
      <c r="E14" s="13">
        <f>('[2]13_14 fleet'!$D$357+'[2]13_14 fleet'!$D$372)/1000000</f>
        <v>142.97426765</v>
      </c>
      <c r="F14" s="13">
        <f>('[2]13_14 fleet'!$D237+'[2]13_14 fleet'!$D252)/1000000</f>
        <v>21.571414369999996</v>
      </c>
      <c r="G14" s="13">
        <f>('[2]13_14 fleet'!$D327+'[2]13_14 fleet'!$D342)/1000000</f>
        <v>45.376932310000001</v>
      </c>
      <c r="H14" s="29">
        <f>[8]Wellington!$J$8/1000000</f>
        <v>3522.3704229999998</v>
      </c>
      <c r="I14" s="13">
        <f t="shared" si="0"/>
        <v>3717.0048663500002</v>
      </c>
    </row>
    <row r="15" spans="2:9" ht="16" x14ac:dyDescent="0.2">
      <c r="B15" s="27" t="s">
        <v>9</v>
      </c>
      <c r="C15" s="13">
        <f>('[2]13_14 fleet'!$D268+'[2]13_14 fleet'!$D283+'[2]13_14 fleet'!$D298+'[2]13_14 fleet'!$D313)/1000000</f>
        <v>945.58211500000004</v>
      </c>
      <c r="D15" s="13">
        <f>('[2]13_14 fleet'!$D388+'[2]13_14 fleet'!$D403+'[2]13_14 fleet'!$D418+'[2]13_14 fleet'!$D433)/1000000</f>
        <v>284.17728204000002</v>
      </c>
      <c r="E15" s="13">
        <f>('[2]13_14 fleet'!$D$358+'[2]13_14 fleet'!$D$373)/1000000</f>
        <v>105.7022071</v>
      </c>
      <c r="F15" s="13">
        <f>('[2]13_14 fleet'!$D238+'[2]13_14 fleet'!$D253)/1000000</f>
        <v>6.6412620000000002</v>
      </c>
      <c r="G15" s="13">
        <f>('[2]13_14 fleet'!$D328+'[2]13_14 fleet'!$D343)/1000000</f>
        <v>18.175032530000003</v>
      </c>
      <c r="H15" s="29">
        <f>[8]TMN!$J$8/1000000</f>
        <v>1318.822028</v>
      </c>
      <c r="I15" s="13">
        <f t="shared" si="0"/>
        <v>1360.27789867</v>
      </c>
    </row>
    <row r="16" spans="2:9" ht="16" x14ac:dyDescent="0.2">
      <c r="B16" s="27" t="s">
        <v>10</v>
      </c>
      <c r="C16" s="13">
        <f>('[2]13_14 fleet'!$D269+'[2]13_14 fleet'!$D284+'[2]13_14 fleet'!$D299+'[2]13_14 fleet'!$D314)/1000000</f>
        <v>219.71272056999999</v>
      </c>
      <c r="D16" s="13">
        <f>('[2]13_14 fleet'!$D389+'[2]13_14 fleet'!$D404+'[2]13_14 fleet'!$D419+'[2]13_14 fleet'!$D434)/1000000</f>
        <v>84.623342490000013</v>
      </c>
      <c r="E16" s="13">
        <f>('[2]13_14 fleet'!$D$359+'[2]13_14 fleet'!$D$374)/1000000</f>
        <v>31.171791329999998</v>
      </c>
      <c r="F16" s="13">
        <f>('[2]13_14 fleet'!$D239+'[2]13_14 fleet'!$D254)/1000000</f>
        <v>2.2392782499999999</v>
      </c>
      <c r="G16" s="13">
        <f>('[2]13_14 fleet'!$D329+'[2]13_14 fleet'!$D344)/1000000</f>
        <v>4.2065244900000005</v>
      </c>
      <c r="H16" s="29">
        <f>'[8]West Coast'!$J$8/1000000</f>
        <v>499.07888200000002</v>
      </c>
      <c r="I16" s="13">
        <f t="shared" si="0"/>
        <v>341.95365713000001</v>
      </c>
    </row>
    <row r="17" spans="2:9" ht="16" x14ac:dyDescent="0.2">
      <c r="B17" s="27" t="s">
        <v>11</v>
      </c>
      <c r="C17" s="13">
        <f>('[2]13_14 fleet'!$D270+'[2]13_14 fleet'!$D285+'[2]13_14 fleet'!$D300+'[2]13_14 fleet'!$D315)/1000000</f>
        <v>4495.2779329299992</v>
      </c>
      <c r="D17" s="13">
        <f>('[2]13_14 fleet'!$D390+'[2]13_14 fleet'!$D405+'[2]13_14 fleet'!$D420+'[2]13_14 fleet'!$D435)/1000000</f>
        <v>1079.3601921999998</v>
      </c>
      <c r="E17" s="13">
        <f>('[2]13_14 fleet'!$D$360+'[2]13_14 fleet'!$D$375)/1000000</f>
        <v>447.87871174000003</v>
      </c>
      <c r="F17" s="13">
        <f>('[2]13_14 fleet'!$D240+'[2]13_14 fleet'!$D255)/1000000</f>
        <v>46.246714400000002</v>
      </c>
      <c r="G17" s="13">
        <f>('[2]13_14 fleet'!$D330+'[2]13_14 fleet'!$D345)/1000000</f>
        <v>56.694230730000001</v>
      </c>
      <c r="H17" s="29">
        <f>[8]Canterbury!$J$8/1000000</f>
        <v>5679.3279679999996</v>
      </c>
      <c r="I17" s="13">
        <f t="shared" si="0"/>
        <v>6125.4577819999986</v>
      </c>
    </row>
    <row r="18" spans="2:9" ht="16" x14ac:dyDescent="0.2">
      <c r="B18" s="27" t="s">
        <v>12</v>
      </c>
      <c r="C18" s="13">
        <f>('[2]13_14 fleet'!$D271+'[2]13_14 fleet'!$D286+'[2]13_14 fleet'!$D301+'[2]13_14 fleet'!$D316)/1000000</f>
        <v>1331.27683054</v>
      </c>
      <c r="D18" s="13">
        <f>('[2]13_14 fleet'!$D391+'[2]13_14 fleet'!$D406+'[2]13_14 fleet'!$D421+'[2]13_14 fleet'!$D436)/1000000</f>
        <v>334.30932286000001</v>
      </c>
      <c r="E18" s="13">
        <f>('[2]13_14 fleet'!$D$361+'[2]13_14 fleet'!$D$376)/1000000</f>
        <v>114.34468835</v>
      </c>
      <c r="F18" s="13">
        <f>('[2]13_14 fleet'!$D241+'[2]13_14 fleet'!$D256)/1000000</f>
        <v>15.62466659</v>
      </c>
      <c r="G18" s="13">
        <f>('[2]13_14 fleet'!$D331+'[2]13_14 fleet'!$D346)/1000000</f>
        <v>15.98023491</v>
      </c>
      <c r="H18" s="29">
        <f>[8]Otago!$J$8/1000000</f>
        <v>2238.5500280000001</v>
      </c>
      <c r="I18" s="13">
        <f t="shared" si="0"/>
        <v>1811.5357432500002</v>
      </c>
    </row>
    <row r="19" spans="2:9" ht="17" thickBot="1" x14ac:dyDescent="0.25">
      <c r="B19" s="27" t="s">
        <v>13</v>
      </c>
      <c r="C19" s="15">
        <f>('[2]13_14 fleet'!$D272+'[2]13_14 fleet'!$D287+'[2]13_14 fleet'!$D302+'[2]13_14 fleet'!$D317)/1000000</f>
        <v>701.34441085000003</v>
      </c>
      <c r="D19" s="15">
        <f>('[2]13_14 fleet'!$D392+'[2]13_14 fleet'!$D407+'[2]13_14 fleet'!$D422+'[2]13_14 fleet'!$D437)/1000000</f>
        <v>239.98818825000001</v>
      </c>
      <c r="E19" s="15">
        <f>('[2]13_14 fleet'!$D$362+'[2]13_14 fleet'!$D$377)/1000000</f>
        <v>94.059971879999992</v>
      </c>
      <c r="F19" s="15">
        <f>('[2]13_14 fleet'!$D242+'[2]13_14 fleet'!$D257)/1000000</f>
        <v>6.8135360899999995</v>
      </c>
      <c r="G19" s="15">
        <f>('[2]13_14 fleet'!$D332+'[2]13_14 fleet'!$D347)/1000000</f>
        <v>7.47437358</v>
      </c>
      <c r="H19" s="29">
        <f>[8]Southland!$J$8/1000000</f>
        <v>1146.4377730000001</v>
      </c>
      <c r="I19" s="13">
        <f t="shared" si="0"/>
        <v>1049.6804806500002</v>
      </c>
    </row>
    <row r="20" spans="2:9" ht="34.5" customHeight="1" thickTop="1" thickBot="1" x14ac:dyDescent="0.25">
      <c r="B20" s="20" t="s">
        <v>20</v>
      </c>
      <c r="C20" s="4">
        <f>(SUM('[2]13_14 fleet'!$D$258:$D$272)+SUM('[2]13_14 fleet'!$D$273:$D$287)+SUM('[2]13_14 fleet'!$D$288:$D$302)+SUM('[2]13_14 fleet'!$D$303:$D$317))/1000000</f>
        <v>31365.88448004</v>
      </c>
      <c r="D20" s="4">
        <f>(SUM('[2]13_14 fleet'!$D$378:$D$392)+SUM('[2]13_14 fleet'!$D$393:$D$407)+SUM('[2]13_14 fleet'!$D$408:$D$422)+SUM('[2]13_14 fleet'!$D$423:$D$437))/1000000</f>
        <v>6634.1476998900016</v>
      </c>
      <c r="E20" s="4">
        <f>SUM('[2]13_14 fleet'!$D$348:$D$377)/1000000</f>
        <v>2725.0880267399998</v>
      </c>
      <c r="F20" s="4">
        <f>(SUM('[2]13_14 fleet'!$D$228:$D$242)+SUM('[2]13_14 fleet'!$D$243:$D$257))/1000000</f>
        <v>255.49529662999998</v>
      </c>
      <c r="G20" s="4">
        <f>(SUM('[2]13_14 fleet'!$D$318:$D$347))/1000000</f>
        <v>394.47845398000004</v>
      </c>
      <c r="H20" s="21"/>
      <c r="I20" s="9">
        <f t="shared" si="0"/>
        <v>41375.093957279998</v>
      </c>
    </row>
    <row r="21" spans="2:9" ht="36" thickTop="1" thickBot="1" x14ac:dyDescent="0.25">
      <c r="B21" s="31" t="s">
        <v>23</v>
      </c>
      <c r="C21" s="9">
        <f t="shared" ref="C21:H21" si="1">SUM(C6:C19)</f>
        <v>31365.243639510001</v>
      </c>
      <c r="D21" s="9">
        <f t="shared" si="1"/>
        <v>6633.8519895300005</v>
      </c>
      <c r="E21" s="9">
        <f t="shared" si="1"/>
        <v>2686.1193018399995</v>
      </c>
      <c r="F21" s="9">
        <f t="shared" si="1"/>
        <v>249.73265371000002</v>
      </c>
      <c r="G21" s="9">
        <f t="shared" si="1"/>
        <v>377.85333231000004</v>
      </c>
      <c r="H21" s="9">
        <f t="shared" si="1"/>
        <v>42113.086183999985</v>
      </c>
      <c r="I21" s="10"/>
    </row>
    <row r="22" spans="2:9" ht="18" thickTop="1" thickBot="1" x14ac:dyDescent="0.25">
      <c r="B22" s="8" t="s">
        <v>97</v>
      </c>
      <c r="C22" s="9">
        <f>('[2]13_14 fleet'!$D$258+'[2]13_14 fleet'!$D$273+'[2]13_14 fleet'!$D$288+'[2]13_14 fleet'!$D$303)/1000000</f>
        <v>0.64084053000000007</v>
      </c>
      <c r="D22" s="9">
        <f>('[2]13_14 fleet'!$D$378+'[2]13_14 fleet'!$D$393+'[2]13_14 fleet'!$D$408+'[2]13_14 fleet'!$D$423)/1000000</f>
        <v>0.29571036000000001</v>
      </c>
      <c r="E22" s="9">
        <f>('[2]13_14 fleet'!$D$348+'[2]13_14 fleet'!$D$363)/1000000</f>
        <v>38.968724900000005</v>
      </c>
      <c r="F22" s="9">
        <f>('[2]13_14 fleet'!$D$228+'[2]13_14 fleet'!$D$243)/1000000</f>
        <v>5.7626429200000002</v>
      </c>
      <c r="G22" s="9">
        <f>('[2]13_14 fleet'!$D$318+'[2]13_14 fleet'!$D$333)/1000000</f>
        <v>16.625121669999999</v>
      </c>
      <c r="H22" s="10"/>
      <c r="I22" s="10"/>
    </row>
    <row r="23" spans="2:9" ht="36" thickTop="1" thickBot="1" x14ac:dyDescent="0.25">
      <c r="B23" s="31" t="s">
        <v>99</v>
      </c>
      <c r="C23" s="9">
        <f>C21+C22</f>
        <v>31365.88448004</v>
      </c>
      <c r="D23" s="9">
        <f>D21+D22</f>
        <v>6634.1476998900007</v>
      </c>
      <c r="E23" s="9">
        <f>E21+E22</f>
        <v>2725.0880267399993</v>
      </c>
      <c r="F23" s="9">
        <f>F21+F22</f>
        <v>255.49529663000001</v>
      </c>
      <c r="G23" s="9">
        <f>G21+G22</f>
        <v>394.47845398000004</v>
      </c>
      <c r="H23" s="10"/>
      <c r="I23" s="10"/>
    </row>
    <row r="24" spans="2:9" ht="14" thickTop="1" x14ac:dyDescent="0.15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4:K30"/>
  <sheetViews>
    <sheetView workbookViewId="0">
      <selection activeCell="B30" sqref="B30"/>
    </sheetView>
  </sheetViews>
  <sheetFormatPr baseColWidth="10" defaultColWidth="8.83203125" defaultRowHeight="13" x14ac:dyDescent="0.15"/>
  <cols>
    <col min="2" max="2" width="21.5" customWidth="1"/>
    <col min="3" max="11" width="17.6640625" customWidth="1"/>
  </cols>
  <sheetData>
    <row r="4" spans="2:11" ht="14" thickBot="1" x14ac:dyDescent="0.2">
      <c r="B4" s="19" t="s">
        <v>14</v>
      </c>
    </row>
    <row r="5" spans="2:11" ht="48.75" customHeight="1" thickTop="1" thickBot="1" x14ac:dyDescent="0.2">
      <c r="B5" s="12"/>
      <c r="C5" s="22" t="s">
        <v>74</v>
      </c>
      <c r="D5" s="22" t="s">
        <v>73</v>
      </c>
      <c r="E5" s="22" t="s">
        <v>93</v>
      </c>
      <c r="F5" s="22" t="s">
        <v>94</v>
      </c>
      <c r="G5" s="22" t="s">
        <v>95</v>
      </c>
      <c r="H5" s="22" t="s">
        <v>21</v>
      </c>
      <c r="I5" s="3" t="s">
        <v>22</v>
      </c>
      <c r="J5" s="3" t="s">
        <v>16</v>
      </c>
      <c r="K5" s="3" t="s">
        <v>17</v>
      </c>
    </row>
    <row r="6" spans="2:11" ht="17" thickTop="1" x14ac:dyDescent="0.2">
      <c r="B6" s="23" t="s">
        <v>0</v>
      </c>
      <c r="C6" s="11">
        <f>'Original 2013-14 Data'!C6*C$22*$J6</f>
        <v>1207.1633383182407</v>
      </c>
      <c r="D6" s="11">
        <f>'Original 2013-14 Data'!D6*D$22*$J6</f>
        <v>335.41369774834118</v>
      </c>
      <c r="E6" s="11">
        <f>'Original 2013-14 Data'!E6*E$22*$J6</f>
        <v>135.67452055937187</v>
      </c>
      <c r="F6" s="11">
        <f>'Original 2013-14 Data'!F6*F$22*$J6</f>
        <v>10.401779044802701</v>
      </c>
      <c r="G6" s="11">
        <f>'Original 2013-14 Data'!G6*G$22*$J6</f>
        <v>13.263818395435685</v>
      </c>
      <c r="H6" s="11">
        <f>'Original 2013-14 Data'!H6*'Original 2013-14 Data'!$I$20/'Original 2013-14 Data'!$H$21</f>
        <v>1701.9171540661923</v>
      </c>
      <c r="I6" s="11">
        <f>SUM(C6:G6)</f>
        <v>1701.9171540661921</v>
      </c>
      <c r="J6" s="12">
        <v>1.0915227845219355</v>
      </c>
      <c r="K6" s="12">
        <f>J6*H6/I6</f>
        <v>1.0915227845219357</v>
      </c>
    </row>
    <row r="7" spans="2:11" ht="16" x14ac:dyDescent="0.2">
      <c r="B7" s="24" t="s">
        <v>1</v>
      </c>
      <c r="C7" s="13">
        <f>'Original 2013-14 Data'!C7*C$22*$J7</f>
        <v>10231.883329892014</v>
      </c>
      <c r="D7" s="13">
        <f>'Original 2013-14 Data'!D7*D$22*$J7</f>
        <v>1426.7194155047903</v>
      </c>
      <c r="E7" s="13">
        <f>'Original 2013-14 Data'!E7*E$22*$J7</f>
        <v>620.39545906303897</v>
      </c>
      <c r="F7" s="13">
        <f>'Original 2013-14 Data'!F7*F$22*$J7</f>
        <v>88.715466881974692</v>
      </c>
      <c r="G7" s="13">
        <f>'Original 2013-14 Data'!G7*G$22*$J7</f>
        <v>100.28100737595719</v>
      </c>
      <c r="H7" s="13">
        <f>'Original 2013-14 Data'!H7*'Original 2013-14 Data'!$I$20/'Original 2013-14 Data'!$H$21</f>
        <v>12467.994678717776</v>
      </c>
      <c r="I7" s="13">
        <f t="shared" ref="I7:I20" si="0">SUM(C7:G7)</f>
        <v>12467.994678717776</v>
      </c>
      <c r="J7" s="14">
        <v>0.9652160663924142</v>
      </c>
      <c r="K7" s="14">
        <f t="shared" ref="K7:K19" si="1">J7*H7/I7</f>
        <v>0.9652160663924142</v>
      </c>
    </row>
    <row r="8" spans="2:11" ht="16" x14ac:dyDescent="0.2">
      <c r="B8" s="24" t="s">
        <v>2</v>
      </c>
      <c r="C8" s="13">
        <f>'Original 2013-14 Data'!C8*C$22*$J8</f>
        <v>3773.8836495942396</v>
      </c>
      <c r="D8" s="13">
        <f>'Original 2013-14 Data'!D8*D$22*$J8</f>
        <v>890.8735312277222</v>
      </c>
      <c r="E8" s="13">
        <f>'Original 2013-14 Data'!E8*E$22*$J8</f>
        <v>390.39041080250428</v>
      </c>
      <c r="F8" s="13">
        <f>'Original 2013-14 Data'!F8*F$22*$J8</f>
        <v>20.79901394805454</v>
      </c>
      <c r="G8" s="13">
        <f>'Original 2013-14 Data'!G8*G$22*$J8</f>
        <v>47.513629797834014</v>
      </c>
      <c r="H8" s="13">
        <f>'Original 2013-14 Data'!H8*'Original 2013-14 Data'!$I$20/'Original 2013-14 Data'!$H$21</f>
        <v>5123.460235370354</v>
      </c>
      <c r="I8" s="13">
        <f t="shared" si="0"/>
        <v>5123.4602353703549</v>
      </c>
      <c r="J8" s="14">
        <v>1.1827710413277275</v>
      </c>
      <c r="K8" s="14">
        <f t="shared" si="1"/>
        <v>1.1827710413277273</v>
      </c>
    </row>
    <row r="9" spans="2:11" ht="16" x14ac:dyDescent="0.2">
      <c r="B9" s="24" t="s">
        <v>3</v>
      </c>
      <c r="C9" s="13">
        <f>'Original 2013-14 Data'!C9*C$22*$J9</f>
        <v>1958.6516845193339</v>
      </c>
      <c r="D9" s="13">
        <f>'Original 2013-14 Data'!D9*D$22*$J9</f>
        <v>502.98453697884111</v>
      </c>
      <c r="E9" s="13">
        <f>'Original 2013-14 Data'!E9*E$22*$J9</f>
        <v>223.73085009383851</v>
      </c>
      <c r="F9" s="13">
        <f>'Original 2013-14 Data'!F9*F$22*$J9</f>
        <v>14.756134418666809</v>
      </c>
      <c r="G9" s="13">
        <f>'Original 2013-14 Data'!G9*G$22*$J9</f>
        <v>27.192047927332954</v>
      </c>
      <c r="H9" s="13">
        <f>'Original 2013-14 Data'!H9*'Original 2013-14 Data'!$I$20/'Original 2013-14 Data'!$H$21</f>
        <v>2727.3152539380126</v>
      </c>
      <c r="I9" s="13">
        <f t="shared" si="0"/>
        <v>2727.3152539380135</v>
      </c>
      <c r="J9" s="14">
        <v>0.86394355768503561</v>
      </c>
      <c r="K9" s="14">
        <f t="shared" si="1"/>
        <v>0.86394355768503528</v>
      </c>
    </row>
    <row r="10" spans="2:11" ht="16" x14ac:dyDescent="0.2">
      <c r="B10" s="24" t="s">
        <v>4</v>
      </c>
      <c r="C10" s="13">
        <f>'Original 2013-14 Data'!C10*C$22*$J10</f>
        <v>240.61556831118608</v>
      </c>
      <c r="D10" s="13">
        <f>'Original 2013-14 Data'!D10*D$22*$J10</f>
        <v>102.0513892468109</v>
      </c>
      <c r="E10" s="13">
        <f>'Original 2013-14 Data'!E10*E$22*$J10</f>
        <v>36.059626125440786</v>
      </c>
      <c r="F10" s="13">
        <f>'Original 2013-14 Data'!F10*F$22*$J10</f>
        <v>1.9072379251640335</v>
      </c>
      <c r="G10" s="13">
        <f>'Original 2013-14 Data'!G10*G$22*$J10</f>
        <v>2.7601540462194354</v>
      </c>
      <c r="H10" s="13">
        <f>'Original 2013-14 Data'!H10*'Original 2013-14 Data'!$I$20/'Original 2013-14 Data'!$H$21</f>
        <v>383.39397565482119</v>
      </c>
      <c r="I10" s="13">
        <f t="shared" si="0"/>
        <v>383.39397565482125</v>
      </c>
      <c r="J10" s="14">
        <v>1.0439810038358728</v>
      </c>
      <c r="K10" s="14">
        <f t="shared" si="1"/>
        <v>1.0439810038358726</v>
      </c>
    </row>
    <row r="11" spans="2:11" ht="16" x14ac:dyDescent="0.2">
      <c r="B11" s="24" t="s">
        <v>5</v>
      </c>
      <c r="C11" s="13">
        <f>'Original 2013-14 Data'!C11*C$22*$J11</f>
        <v>1026.1759100481281</v>
      </c>
      <c r="D11" s="13">
        <f>'Original 2013-14 Data'!D11*D$22*$J11</f>
        <v>273.16887555436631</v>
      </c>
      <c r="E11" s="13">
        <f>'Original 2013-14 Data'!E11*E$22*$J11</f>
        <v>106.76392106951823</v>
      </c>
      <c r="F11" s="13">
        <f>'Original 2013-14 Data'!F11*F$22*$J11</f>
        <v>5.7748539322517694</v>
      </c>
      <c r="G11" s="13">
        <f>'Original 2013-14 Data'!G11*G$22*$J11</f>
        <v>12.994284016766002</v>
      </c>
      <c r="H11" s="13">
        <f>'Original 2013-14 Data'!H11*'Original 2013-14 Data'!$I$20/'Original 2013-14 Data'!$H$21</f>
        <v>1424.8778446210308</v>
      </c>
      <c r="I11" s="13">
        <f t="shared" si="0"/>
        <v>1424.8778446210306</v>
      </c>
      <c r="J11" s="14">
        <v>1.0105596783782038</v>
      </c>
      <c r="K11" s="14">
        <f t="shared" si="1"/>
        <v>1.010559678378204</v>
      </c>
    </row>
    <row r="12" spans="2:11" ht="16" x14ac:dyDescent="0.2">
      <c r="B12" s="24" t="s">
        <v>6</v>
      </c>
      <c r="C12" s="13">
        <f>'Original 2013-14 Data'!C12*C$22*$J12</f>
        <v>740.99610911448769</v>
      </c>
      <c r="D12" s="13">
        <f>'Original 2013-14 Data'!D12*D$22*$J12</f>
        <v>187.78228494409871</v>
      </c>
      <c r="E12" s="13">
        <f>'Original 2013-14 Data'!E12*E$22*$J12</f>
        <v>87.906568292027828</v>
      </c>
      <c r="F12" s="13">
        <f>'Original 2013-14 Data'!F12*F$22*$J12</f>
        <v>3.5740403432055636</v>
      </c>
      <c r="G12" s="13">
        <f>'Original 2013-14 Data'!G12*G$22*$J12</f>
        <v>12.528740840905686</v>
      </c>
      <c r="H12" s="13">
        <f>'Original 2013-14 Data'!H12*'Original 2013-14 Data'!$I$20/'Original 2013-14 Data'!$H$21</f>
        <v>1032.7877435347255</v>
      </c>
      <c r="I12" s="13">
        <f t="shared" si="0"/>
        <v>1032.7877435347255</v>
      </c>
      <c r="J12" s="14">
        <v>0.96216647730711258</v>
      </c>
      <c r="K12" s="14">
        <f t="shared" si="1"/>
        <v>0.96216647730711258</v>
      </c>
    </row>
    <row r="13" spans="2:11" ht="16" x14ac:dyDescent="0.2">
      <c r="B13" s="24" t="s">
        <v>7</v>
      </c>
      <c r="C13" s="13">
        <f>'Original 2013-14 Data'!C13*C$22*$J13</f>
        <v>1689.9497835748762</v>
      </c>
      <c r="D13" s="13">
        <f>'Original 2013-14 Data'!D13*D$22*$J13</f>
        <v>442.79379262005642</v>
      </c>
      <c r="E13" s="13">
        <f>'Original 2013-14 Data'!E13*E$22*$J13</f>
        <v>192.89161165616255</v>
      </c>
      <c r="F13" s="13">
        <f>'Original 2013-14 Data'!F13*F$22*$J13</f>
        <v>8.680327588734146</v>
      </c>
      <c r="G13" s="13">
        <f>'Original 2013-14 Data'!G13*G$22*$J13</f>
        <v>26.871294941996638</v>
      </c>
      <c r="H13" s="13">
        <f>'Original 2013-14 Data'!H13*'Original 2013-14 Data'!$I$20/'Original 2013-14 Data'!$H$21</f>
        <v>2361.186810381826</v>
      </c>
      <c r="I13" s="13">
        <f t="shared" si="0"/>
        <v>2361.186810381826</v>
      </c>
      <c r="J13" s="14">
        <v>1.1067483650794687</v>
      </c>
      <c r="K13" s="14">
        <f t="shared" si="1"/>
        <v>1.1067483650794687</v>
      </c>
    </row>
    <row r="14" spans="2:11" ht="16" x14ac:dyDescent="0.2">
      <c r="B14" s="24" t="s">
        <v>8</v>
      </c>
      <c r="C14" s="13">
        <f>'Original 2013-14 Data'!C14*C$22*$J14</f>
        <v>2808.4980691970704</v>
      </c>
      <c r="D14" s="13">
        <f>'Original 2013-14 Data'!D14*D$22*$J14</f>
        <v>453.607383540054</v>
      </c>
      <c r="E14" s="13">
        <f>'Original 2013-14 Data'!E14*E$22*$J14</f>
        <v>133.77417405686103</v>
      </c>
      <c r="F14" s="13">
        <f>'Original 2013-14 Data'!F14*F$22*$J14</f>
        <v>20.660378629673406</v>
      </c>
      <c r="G14" s="13">
        <f>'Original 2013-14 Data'!G14*G$22*$J14</f>
        <v>44.104188811135614</v>
      </c>
      <c r="H14" s="13">
        <f>'Original 2013-14 Data'!H14*'Original 2013-14 Data'!$I$20/'Original 2013-14 Data'!$H$21</f>
        <v>3460.6441942347947</v>
      </c>
      <c r="I14" s="13">
        <f t="shared" si="0"/>
        <v>3460.6441942347942</v>
      </c>
      <c r="J14" s="14">
        <v>0.92931608879179173</v>
      </c>
      <c r="K14" s="14">
        <f t="shared" si="1"/>
        <v>0.92931608879179184</v>
      </c>
    </row>
    <row r="15" spans="2:11" ht="16" x14ac:dyDescent="0.2">
      <c r="B15" s="24" t="s">
        <v>9</v>
      </c>
      <c r="C15" s="13">
        <f>'Original 2013-14 Data'!C15*C$22*$J15</f>
        <v>901.79729777243256</v>
      </c>
      <c r="D15" s="13">
        <f>'Original 2013-14 Data'!D15*D$22*$J15</f>
        <v>268.06773814277665</v>
      </c>
      <c r="E15" s="13">
        <f>'Original 2013-14 Data'!E15*E$22*$J15</f>
        <v>101.2492551025969</v>
      </c>
      <c r="F15" s="13">
        <f>'Original 2013-14 Data'!F15*F$22*$J15</f>
        <v>6.5118389653351718</v>
      </c>
      <c r="G15" s="13">
        <f>'Original 2013-14 Data'!G15*G$22*$J15</f>
        <v>18.084782368895013</v>
      </c>
      <c r="H15" s="13">
        <f>'Original 2013-14 Data'!H15*'Original 2013-14 Data'!$I$20/'Original 2013-14 Data'!$H$21</f>
        <v>1295.7109123520363</v>
      </c>
      <c r="I15" s="13">
        <f t="shared" si="0"/>
        <v>1295.7109123520363</v>
      </c>
      <c r="J15" s="14">
        <v>0.95138618218115945</v>
      </c>
      <c r="K15" s="14">
        <f t="shared" si="1"/>
        <v>0.95138618218115933</v>
      </c>
    </row>
    <row r="16" spans="2:11" ht="16" x14ac:dyDescent="0.2">
      <c r="B16" s="24" t="s">
        <v>10</v>
      </c>
      <c r="C16" s="13">
        <f>'Original 2013-14 Data'!C16*C$22*$J16</f>
        <v>315.5475661153227</v>
      </c>
      <c r="D16" s="13">
        <f>'Original 2013-14 Data'!D16*D$22*$J16</f>
        <v>120.21130771800863</v>
      </c>
      <c r="E16" s="13">
        <f>'Original 2013-14 Data'!E16*E$22*$J16</f>
        <v>44.964471592553494</v>
      </c>
      <c r="F16" s="13">
        <f>'Original 2013-14 Data'!F16*F$22*$J16</f>
        <v>3.3064430965177922</v>
      </c>
      <c r="G16" s="13">
        <f>'Original 2013-14 Data'!G16*G$22*$J16</f>
        <v>6.303205469607259</v>
      </c>
      <c r="H16" s="13">
        <f>'Original 2013-14 Data'!H16*'Original 2013-14 Data'!$I$20/'Original 2013-14 Data'!$H$21</f>
        <v>490.33299399200985</v>
      </c>
      <c r="I16" s="13">
        <f t="shared" si="0"/>
        <v>490.33299399200985</v>
      </c>
      <c r="J16" s="14">
        <v>1.4327050514057416</v>
      </c>
      <c r="K16" s="14">
        <f t="shared" si="1"/>
        <v>1.4327050514057416</v>
      </c>
    </row>
    <row r="17" spans="2:11" ht="16" x14ac:dyDescent="0.2">
      <c r="B17" s="24" t="s">
        <v>11</v>
      </c>
      <c r="C17" s="13">
        <f>'Original 2013-14 Data'!C17*C$22*$J17</f>
        <v>4098.875929506934</v>
      </c>
      <c r="D17" s="13">
        <f>'Original 2013-14 Data'!D17*D$22*$J17</f>
        <v>973.46453611606478</v>
      </c>
      <c r="E17" s="13">
        <f>'Original 2013-14 Data'!E17*E$22*$J17</f>
        <v>410.17269428376483</v>
      </c>
      <c r="F17" s="13">
        <f>'Original 2013-14 Data'!F17*F$22*$J17</f>
        <v>43.354328716915184</v>
      </c>
      <c r="G17" s="13">
        <f>'Original 2013-14 Data'!G17*G$22*$J17</f>
        <v>53.935598319994213</v>
      </c>
      <c r="H17" s="13">
        <f>'Original 2013-14 Data'!H17*'Original 2013-14 Data'!$I$20/'Original 2013-14 Data'!$H$21</f>
        <v>5579.8030869436734</v>
      </c>
      <c r="I17" s="13">
        <f t="shared" si="0"/>
        <v>5579.8030869436725</v>
      </c>
      <c r="J17" s="14">
        <v>0.90961032933181829</v>
      </c>
      <c r="K17" s="14">
        <f t="shared" si="1"/>
        <v>0.9096103293318184</v>
      </c>
    </row>
    <row r="18" spans="2:11" ht="16" x14ac:dyDescent="0.2">
      <c r="B18" s="24" t="s">
        <v>12</v>
      </c>
      <c r="C18" s="13">
        <f>'Original 2013-14 Data'!C18*C$22*$J18</f>
        <v>1618.0488514333024</v>
      </c>
      <c r="D18" s="13">
        <f>'Original 2013-14 Data'!D18*D$22*$J18</f>
        <v>401.89930681513556</v>
      </c>
      <c r="E18" s="13">
        <f>'Original 2013-14 Data'!E18*E$22*$J18</f>
        <v>139.58455031725936</v>
      </c>
      <c r="F18" s="13">
        <f>'Original 2013-14 Data'!F18*F$22*$J18</f>
        <v>19.524385446445841</v>
      </c>
      <c r="G18" s="13">
        <f>'Original 2013-14 Data'!G18*G$22*$J18</f>
        <v>20.264450172404157</v>
      </c>
      <c r="H18" s="13">
        <f>'Original 2013-14 Data'!H18*'Original 2013-14 Data'!$I$20/'Original 2013-14 Data'!$H$21</f>
        <v>2199.3215441845473</v>
      </c>
      <c r="I18" s="13">
        <f t="shared" si="0"/>
        <v>2199.3215441845468</v>
      </c>
      <c r="J18" s="14">
        <v>1.2124683619950187</v>
      </c>
      <c r="K18" s="14">
        <f t="shared" si="1"/>
        <v>1.212468361995019</v>
      </c>
    </row>
    <row r="19" spans="2:11" ht="17" thickBot="1" x14ac:dyDescent="0.25">
      <c r="B19" s="25" t="s">
        <v>13</v>
      </c>
      <c r="C19" s="15">
        <f>'Original 2013-14 Data'!C19*C$22*$J19</f>
        <v>753.77982188506166</v>
      </c>
      <c r="D19" s="15">
        <f>'Original 2013-14 Data'!D19*D$22*$J19</f>
        <v>255.12237408095586</v>
      </c>
      <c r="E19" s="15">
        <f>'Original 2013-14 Data'!E19*E$22*$J19</f>
        <v>101.5350793421801</v>
      </c>
      <c r="F19" s="15">
        <f>'Original 2013-14 Data'!F19*F$22*$J19</f>
        <v>7.5288576503770077</v>
      </c>
      <c r="G19" s="15">
        <f>'Original 2013-14 Data'!G19*G$22*$J19</f>
        <v>8.3813963296353666</v>
      </c>
      <c r="H19" s="15">
        <f>'Original 2013-14 Data'!H19*'Original 2013-14 Data'!$I$20/'Original 2013-14 Data'!$H$21</f>
        <v>1126.3475292882101</v>
      </c>
      <c r="I19" s="15">
        <f t="shared" si="0"/>
        <v>1126.3475292882099</v>
      </c>
      <c r="J19" s="16">
        <v>1.072161791580764</v>
      </c>
      <c r="K19" s="16">
        <f t="shared" si="1"/>
        <v>1.0721617915807642</v>
      </c>
    </row>
    <row r="20" spans="2:11" ht="32.25" customHeight="1" thickTop="1" thickBot="1" x14ac:dyDescent="0.25">
      <c r="B20" s="20" t="s">
        <v>20</v>
      </c>
      <c r="C20" s="4">
        <f>'Original 2013-14 Data'!C20</f>
        <v>31365.88448004</v>
      </c>
      <c r="D20" s="4">
        <f>'Original 2013-14 Data'!D20</f>
        <v>6634.1476998900016</v>
      </c>
      <c r="E20" s="4">
        <f>'Original 2013-14 Data'!E20</f>
        <v>2725.0880267399998</v>
      </c>
      <c r="F20" s="4">
        <f>'Original 2013-14 Data'!F20</f>
        <v>255.49529662999998</v>
      </c>
      <c r="G20" s="4">
        <f>'Original 2013-14 Data'!G20</f>
        <v>394.47845398000004</v>
      </c>
      <c r="H20" s="5"/>
      <c r="I20" s="9">
        <f t="shared" si="0"/>
        <v>41375.093957279998</v>
      </c>
    </row>
    <row r="21" spans="2:11" ht="36" thickTop="1" thickBot="1" x14ac:dyDescent="0.25">
      <c r="B21" s="31" t="s">
        <v>23</v>
      </c>
      <c r="C21" s="9">
        <f t="shared" ref="C21:H21" si="2">SUM(C6:C19)</f>
        <v>31365.866909282631</v>
      </c>
      <c r="D21" s="9">
        <f t="shared" si="2"/>
        <v>6634.1601702380212</v>
      </c>
      <c r="E21" s="9">
        <f t="shared" si="2"/>
        <v>2725.0931923571188</v>
      </c>
      <c r="F21" s="9">
        <f t="shared" si="2"/>
        <v>255.49508658811862</v>
      </c>
      <c r="G21" s="9">
        <f t="shared" si="2"/>
        <v>394.47859881411927</v>
      </c>
      <c r="H21" s="9">
        <f t="shared" si="2"/>
        <v>41375.093957280005</v>
      </c>
      <c r="I21" s="6"/>
    </row>
    <row r="22" spans="2:11" ht="18" thickTop="1" thickBot="1" x14ac:dyDescent="0.25">
      <c r="B22" s="8" t="s">
        <v>16</v>
      </c>
      <c r="C22" s="10">
        <v>1.0024271965869589</v>
      </c>
      <c r="D22" s="10">
        <v>0.99151286645626191</v>
      </c>
      <c r="E22" s="10">
        <v>1.0068179312423735</v>
      </c>
      <c r="F22" s="10">
        <v>1.0306143828040528</v>
      </c>
      <c r="G22" s="10">
        <v>1.0458785365556731</v>
      </c>
      <c r="H22" s="17"/>
    </row>
    <row r="23" spans="2:11" ht="18" thickTop="1" thickBot="1" x14ac:dyDescent="0.25">
      <c r="B23" s="8" t="s">
        <v>17</v>
      </c>
      <c r="C23" s="10">
        <f>C22*C20/C21</f>
        <v>1.0024277581338501</v>
      </c>
      <c r="D23" s="10">
        <f>D22*D20/D21</f>
        <v>0.99151100269201842</v>
      </c>
      <c r="E23" s="10">
        <f>E22*E20/E21</f>
        <v>1.006816022743994</v>
      </c>
      <c r="F23" s="10">
        <f>F22*F20/F21</f>
        <v>1.0306152300695983</v>
      </c>
      <c r="G23" s="10">
        <f>G22*G20/G21</f>
        <v>1.0458781525579173</v>
      </c>
      <c r="H23" s="18"/>
    </row>
    <row r="24" spans="2:11" ht="18" thickTop="1" thickBot="1" x14ac:dyDescent="0.25">
      <c r="B24" s="8" t="s">
        <v>15</v>
      </c>
      <c r="C24" s="10" t="str">
        <f>IF(ABS(C20-C21)&lt;Convergence_Criteria, "YES","NO")</f>
        <v>YES</v>
      </c>
      <c r="D24" s="10" t="str">
        <f>IF(ABS(D20-D21)&lt;Convergence_Criteria, "YES","NO")</f>
        <v>YES</v>
      </c>
      <c r="E24" s="10" t="str">
        <f>IF(ABS(E20-E21)&lt;Convergence_Criteria, "YES","NO")</f>
        <v>YES</v>
      </c>
      <c r="F24" s="10" t="str">
        <f>IF(ABS(F20-F21)&lt;Convergence_Criteria, "YES","NO")</f>
        <v>YES</v>
      </c>
      <c r="G24" s="10" t="str">
        <f>IF(ABS(G20-G21)&lt;Convergence_Criteria, "YES","NO")</f>
        <v>YES</v>
      </c>
      <c r="H24" s="18"/>
    </row>
    <row r="25" spans="2:11" ht="14" thickTop="1" x14ac:dyDescent="0.15"/>
    <row r="28" spans="2:11" x14ac:dyDescent="0.15">
      <c r="B28" t="s">
        <v>19</v>
      </c>
    </row>
    <row r="29" spans="2:11" x14ac:dyDescent="0.15">
      <c r="B29" s="7" t="s">
        <v>181</v>
      </c>
    </row>
    <row r="30" spans="2:11" x14ac:dyDescent="0.15">
      <c r="B30" s="7" t="s">
        <v>18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4:I24"/>
  <sheetViews>
    <sheetView workbookViewId="0">
      <selection activeCell="G23" sqref="G23"/>
    </sheetView>
  </sheetViews>
  <sheetFormatPr baseColWidth="10" defaultColWidth="8.83203125" defaultRowHeight="13" x14ac:dyDescent="0.15"/>
  <cols>
    <col min="2" max="2" width="21.5" customWidth="1"/>
    <col min="3" max="9" width="17.6640625" customWidth="1"/>
  </cols>
  <sheetData>
    <row r="4" spans="2:9" ht="14" thickBot="1" x14ac:dyDescent="0.2">
      <c r="B4" s="19" t="s">
        <v>14</v>
      </c>
    </row>
    <row r="5" spans="2:9" ht="48.75" customHeight="1" thickTop="1" thickBot="1" x14ac:dyDescent="0.2">
      <c r="B5" s="1"/>
      <c r="C5" s="2" t="s">
        <v>74</v>
      </c>
      <c r="D5" s="2" t="s">
        <v>73</v>
      </c>
      <c r="E5" s="2" t="s">
        <v>75</v>
      </c>
      <c r="F5" s="2" t="s">
        <v>76</v>
      </c>
      <c r="G5" s="2" t="s">
        <v>77</v>
      </c>
      <c r="H5" s="3" t="s">
        <v>21</v>
      </c>
      <c r="I5" s="30" t="s">
        <v>22</v>
      </c>
    </row>
    <row r="6" spans="2:9" ht="17" thickTop="1" x14ac:dyDescent="0.2">
      <c r="B6" s="26" t="s">
        <v>0</v>
      </c>
      <c r="C6" s="11">
        <f>('[3]14_15 fleet'!$D259+'[3]14_15 fleet'!$D274+'[3]14_15 fleet'!$D289+'[3]14_15 fleet'!$D304)/1000000</f>
        <v>1104.4079445299999</v>
      </c>
      <c r="D6" s="11">
        <f>('[3]14_15 fleet'!$D379+'[3]14_15 fleet'!$D394+'[3]14_15 fleet'!$D409+'[3]14_15 fleet'!$D424)/1000000</f>
        <v>325.72894998999999</v>
      </c>
      <c r="E6" s="11">
        <f>('[3]14_15 fleet'!$D$349+'[3]14_15 fleet'!$D$364)/1000000</f>
        <v>126.28731495999999</v>
      </c>
      <c r="F6" s="11">
        <f>('[3]14_15 fleet'!$D229+'[3]14_15 fleet'!$D244)/1000000</f>
        <v>10.122528460000002</v>
      </c>
      <c r="G6" s="11">
        <f>('[3]14_15 fleet'!$D319+'[3]14_15 fleet'!$D334)/1000000</f>
        <v>11.695415859999999</v>
      </c>
      <c r="H6" s="28">
        <f>[8]Northland!$K$8/1000000</f>
        <v>1754.5014659999999</v>
      </c>
      <c r="I6" s="13">
        <f>SUM(C6:G6)</f>
        <v>1578.2421537999999</v>
      </c>
    </row>
    <row r="7" spans="2:9" ht="16" x14ac:dyDescent="0.2">
      <c r="B7" s="27" t="s">
        <v>1</v>
      </c>
      <c r="C7" s="13">
        <f>('[3]14_15 fleet'!$D260+'[3]14_15 fleet'!$D275+'[3]14_15 fleet'!$D290+'[3]14_15 fleet'!$D305)/1000000</f>
        <v>11003.556259999999</v>
      </c>
      <c r="D7" s="13">
        <f>('[3]14_15 fleet'!$D380+'[3]14_15 fleet'!$D395+'[3]14_15 fleet'!$D410+'[3]14_15 fleet'!$D425)/1000000</f>
        <v>1614.81361786</v>
      </c>
      <c r="E7" s="13">
        <f>('[3]14_15 fleet'!$D$350+'[3]14_15 fleet'!$D$365)/1000000</f>
        <v>656.05219276000003</v>
      </c>
      <c r="F7" s="13">
        <f>('[3]14_15 fleet'!$D230+'[3]14_15 fleet'!$D245)/1000000</f>
        <v>92.751310540000006</v>
      </c>
      <c r="G7" s="13">
        <f>('[3]14_15 fleet'!$D320+'[3]14_15 fleet'!$D335)/1000000</f>
        <v>104.50823797</v>
      </c>
      <c r="H7" s="29">
        <f>[8]Auckland!$K$8/1000000</f>
        <v>12651.418256000001</v>
      </c>
      <c r="I7" s="13">
        <f t="shared" ref="I7:I20" si="0">SUM(C7:G7)</f>
        <v>13471.681619129999</v>
      </c>
    </row>
    <row r="8" spans="2:9" ht="16" x14ac:dyDescent="0.2">
      <c r="B8" s="27" t="s">
        <v>2</v>
      </c>
      <c r="C8" s="13">
        <f>('[3]14_15 fleet'!$D261+'[3]14_15 fleet'!$D276+'[3]14_15 fleet'!$D291+'[3]14_15 fleet'!$D306)/1000000</f>
        <v>3246.3993276300002</v>
      </c>
      <c r="D8" s="13">
        <f>('[3]14_15 fleet'!$D381+'[3]14_15 fleet'!$D396+'[3]14_15 fleet'!$D411+'[3]14_15 fleet'!$D426)/1000000</f>
        <v>815.72339521000004</v>
      </c>
      <c r="E8" s="13">
        <f>('[3]14_15 fleet'!$D$351+'[3]14_15 fleet'!$D$366)/1000000</f>
        <v>335.57764110999995</v>
      </c>
      <c r="F8" s="13">
        <f>('[3]14_15 fleet'!$D231+'[3]14_15 fleet'!$D246)/1000000</f>
        <v>16.803433170000002</v>
      </c>
      <c r="G8" s="13">
        <f>('[3]14_15 fleet'!$D321+'[3]14_15 fleet'!$D336)/1000000</f>
        <v>38.293871600000003</v>
      </c>
      <c r="H8" s="29">
        <f>[8]Waikato!$K$8/1000000</f>
        <v>5341.81106</v>
      </c>
      <c r="I8" s="13">
        <f t="shared" si="0"/>
        <v>4452.7976687199998</v>
      </c>
    </row>
    <row r="9" spans="2:9" ht="16" x14ac:dyDescent="0.2">
      <c r="B9" s="27" t="s">
        <v>3</v>
      </c>
      <c r="C9" s="13">
        <f>('[3]14_15 fleet'!$D262+'[3]14_15 fleet'!$D277+'[3]14_15 fleet'!$D292+'[3]14_15 fleet'!$D307)/1000000</f>
        <v>2306.1952718699999</v>
      </c>
      <c r="D9" s="13">
        <f>('[3]14_15 fleet'!$D382+'[3]14_15 fleet'!$D397+'[3]14_15 fleet'!$D412+'[3]14_15 fleet'!$D427)/1000000</f>
        <v>621.56777270000009</v>
      </c>
      <c r="E9" s="13">
        <f>('[3]14_15 fleet'!$D$352+'[3]14_15 fleet'!$D$367)/1000000</f>
        <v>266.40606445999998</v>
      </c>
      <c r="F9" s="13">
        <f>('[3]14_15 fleet'!$D232+'[3]14_15 fleet'!$D247)/1000000</f>
        <v>16.5804361</v>
      </c>
      <c r="G9" s="13">
        <f>('[3]14_15 fleet'!$D322+'[3]14_15 fleet'!$D337)/1000000</f>
        <v>30.65439816</v>
      </c>
      <c r="H9" s="29">
        <f>'[8]Bay of Plenty'!$K$8/1000000</f>
        <v>2737.3056059999999</v>
      </c>
      <c r="I9" s="13">
        <f t="shared" si="0"/>
        <v>3241.4039432899999</v>
      </c>
    </row>
    <row r="10" spans="2:9" ht="16" x14ac:dyDescent="0.2">
      <c r="B10" s="27" t="s">
        <v>4</v>
      </c>
      <c r="C10" s="13">
        <f>('[3]14_15 fleet'!$D263+'[3]14_15 fleet'!$D278+'[3]14_15 fleet'!$D293+'[3]14_15 fleet'!$D308)/1000000</f>
        <v>231.41752043</v>
      </c>
      <c r="D10" s="13">
        <f>('[3]14_15 fleet'!$D383+'[3]14_15 fleet'!$D398+'[3]14_15 fleet'!$D413+'[3]14_15 fleet'!$D428)/1000000</f>
        <v>102.84489451</v>
      </c>
      <c r="E10" s="13">
        <f>('[3]14_15 fleet'!$D$353+'[3]14_15 fleet'!$D$368)/1000000</f>
        <v>33.993922730000001</v>
      </c>
      <c r="F10" s="13">
        <f>('[3]14_15 fleet'!$D233+'[3]14_15 fleet'!$D248)/1000000</f>
        <v>1.8021012000000003</v>
      </c>
      <c r="G10" s="13">
        <f>('[3]14_15 fleet'!$D323+'[3]14_15 fleet'!$D338)/1000000</f>
        <v>2.6054105299999999</v>
      </c>
      <c r="H10" s="29">
        <f>[8]Gisborne!$K$8/1000000</f>
        <v>400.71730000000002</v>
      </c>
      <c r="I10" s="13">
        <f t="shared" si="0"/>
        <v>372.66384939999995</v>
      </c>
    </row>
    <row r="11" spans="2:9" ht="16" x14ac:dyDescent="0.2">
      <c r="B11" s="27" t="s">
        <v>5</v>
      </c>
      <c r="C11" s="13">
        <f>('[3]14_15 fleet'!$D264+'[3]14_15 fleet'!$D279+'[3]14_15 fleet'!$D294+'[3]14_15 fleet'!$D309)/1000000</f>
        <v>1029.3175241599999</v>
      </c>
      <c r="D11" s="13">
        <f>('[3]14_15 fleet'!$D384+'[3]14_15 fleet'!$D399+'[3]14_15 fleet'!$D414+'[3]14_15 fleet'!$D429)/1000000</f>
        <v>284.51233965999995</v>
      </c>
      <c r="E11" s="13">
        <f>('[3]14_15 fleet'!$D$354+'[3]14_15 fleet'!$D$369)/1000000</f>
        <v>105.47268024</v>
      </c>
      <c r="F11" s="13">
        <f>('[3]14_15 fleet'!$D234+'[3]14_15 fleet'!$D249)/1000000</f>
        <v>5.1082306000000006</v>
      </c>
      <c r="G11" s="13">
        <f>('[3]14_15 fleet'!$D324+'[3]14_15 fleet'!$D339)/1000000</f>
        <v>12.404763640000001</v>
      </c>
      <c r="H11" s="29">
        <f>'[8]Hawke''s Bay'!$K$8/1000000</f>
        <v>1488.177907</v>
      </c>
      <c r="I11" s="13">
        <f t="shared" si="0"/>
        <v>1436.8155383000001</v>
      </c>
    </row>
    <row r="12" spans="2:9" ht="16" x14ac:dyDescent="0.2">
      <c r="B12" s="27" t="s">
        <v>6</v>
      </c>
      <c r="C12" s="13">
        <f>('[3]14_15 fleet'!$D265+'[3]14_15 fleet'!$D280+'[3]14_15 fleet'!$D295+'[3]14_15 fleet'!$D310)/1000000</f>
        <v>772.17689474999997</v>
      </c>
      <c r="D12" s="13">
        <f>('[3]14_15 fleet'!$D385+'[3]14_15 fleet'!$D400+'[3]14_15 fleet'!$D415+'[3]14_15 fleet'!$D430)/1000000</f>
        <v>205.5193084</v>
      </c>
      <c r="E12" s="13">
        <f>('[3]14_15 fleet'!$D$355+'[3]14_15 fleet'!$D$370)/1000000</f>
        <v>95.538932369999998</v>
      </c>
      <c r="F12" s="13">
        <f>('[3]14_15 fleet'!$D235+'[3]14_15 fleet'!$D250)/1000000</f>
        <v>3.7424198300000002</v>
      </c>
      <c r="G12" s="13">
        <f>('[3]14_15 fleet'!$D325+'[3]14_15 fleet'!$D340)/1000000</f>
        <v>12.32477682</v>
      </c>
      <c r="H12" s="29">
        <f>[8]Taranaki!$K$8/1000000</f>
        <v>1073.4750320000001</v>
      </c>
      <c r="I12" s="13">
        <f t="shared" si="0"/>
        <v>1089.3023321699998</v>
      </c>
    </row>
    <row r="13" spans="2:9" ht="16" x14ac:dyDescent="0.2">
      <c r="B13" s="27" t="s">
        <v>7</v>
      </c>
      <c r="C13" s="13">
        <f>('[3]14_15 fleet'!$D266+'[3]14_15 fleet'!$D281+'[3]14_15 fleet'!$D296+'[3]14_15 fleet'!$D311)/1000000</f>
        <v>1549.8156409400001</v>
      </c>
      <c r="D13" s="13">
        <f>('[3]14_15 fleet'!$D386+'[3]14_15 fleet'!$D401+'[3]14_15 fleet'!$D416+'[3]14_15 fleet'!$D431)/1000000</f>
        <v>424.64738025000003</v>
      </c>
      <c r="E13" s="13">
        <f>('[3]14_15 fleet'!$D$356+'[3]14_15 fleet'!$D$371)/1000000</f>
        <v>178.94967975</v>
      </c>
      <c r="F13" s="13">
        <f>('[3]14_15 fleet'!$D236+'[3]14_15 fleet'!$D251)/1000000</f>
        <v>7.7470992299999999</v>
      </c>
      <c r="G13" s="13">
        <f>('[3]14_15 fleet'!$D326+'[3]14_15 fleet'!$D341)/1000000</f>
        <v>23.401129860000001</v>
      </c>
      <c r="H13" s="29">
        <f>[8]Manawatu!$K$8/1000000</f>
        <v>2407.5909339999998</v>
      </c>
      <c r="I13" s="13">
        <f t="shared" si="0"/>
        <v>2184.5609300299998</v>
      </c>
    </row>
    <row r="14" spans="2:9" ht="16" x14ac:dyDescent="0.2">
      <c r="B14" s="27" t="s">
        <v>8</v>
      </c>
      <c r="C14" s="13">
        <f>('[3]14_15 fleet'!$D267+'[3]14_15 fleet'!$D282+'[3]14_15 fleet'!$D297+'[3]14_15 fleet'!$D312)/1000000</f>
        <v>3056.0008650899999</v>
      </c>
      <c r="D14" s="13">
        <f>('[3]14_15 fleet'!$D387+'[3]14_15 fleet'!$D402+'[3]14_15 fleet'!$D417+'[3]14_15 fleet'!$D432)/1000000</f>
        <v>514.68822785999998</v>
      </c>
      <c r="E14" s="13">
        <f>('[3]14_15 fleet'!$D$357+'[3]14_15 fleet'!$D$372)/1000000</f>
        <v>148.58099424</v>
      </c>
      <c r="F14" s="13">
        <f>('[3]14_15 fleet'!$D237+'[3]14_15 fleet'!$D252)/1000000</f>
        <v>22.437353310000002</v>
      </c>
      <c r="G14" s="13">
        <f>('[3]14_15 fleet'!$D327+'[3]14_15 fleet'!$D342)/1000000</f>
        <v>46.134155069999998</v>
      </c>
      <c r="H14" s="29">
        <f>[8]Wellington!$K$8/1000000</f>
        <v>3708.289323</v>
      </c>
      <c r="I14" s="13">
        <f t="shared" si="0"/>
        <v>3787.8415955700002</v>
      </c>
    </row>
    <row r="15" spans="2:9" ht="16" x14ac:dyDescent="0.2">
      <c r="B15" s="27" t="s">
        <v>9</v>
      </c>
      <c r="C15" s="13">
        <f>('[3]14_15 fleet'!$D268+'[3]14_15 fleet'!$D283+'[3]14_15 fleet'!$D298+'[3]14_15 fleet'!$D313)/1000000</f>
        <v>971.57737384000006</v>
      </c>
      <c r="D15" s="13">
        <f>('[3]14_15 fleet'!$D388+'[3]14_15 fleet'!$D403+'[3]14_15 fleet'!$D418+'[3]14_15 fleet'!$D433)/1000000</f>
        <v>302.4833883</v>
      </c>
      <c r="E15" s="13">
        <f>('[3]14_15 fleet'!$D$358+'[3]14_15 fleet'!$D$373)/1000000</f>
        <v>106.50559260999999</v>
      </c>
      <c r="F15" s="13">
        <f>('[3]14_15 fleet'!$D238+'[3]14_15 fleet'!$D253)/1000000</f>
        <v>7.130806859999999</v>
      </c>
      <c r="G15" s="13">
        <f>('[3]14_15 fleet'!$D328+'[3]14_15 fleet'!$D343)/1000000</f>
        <v>18.857080779999997</v>
      </c>
      <c r="H15" s="29">
        <f>[8]TMN!$K$8/1000000</f>
        <v>1235.117266</v>
      </c>
      <c r="I15" s="13">
        <f t="shared" si="0"/>
        <v>1406.5542423899997</v>
      </c>
    </row>
    <row r="16" spans="2:9" ht="16" x14ac:dyDescent="0.2">
      <c r="B16" s="27" t="s">
        <v>10</v>
      </c>
      <c r="C16" s="13">
        <f>('[3]14_15 fleet'!$D269+'[3]14_15 fleet'!$D284+'[3]14_15 fleet'!$D299+'[3]14_15 fleet'!$D314)/1000000</f>
        <v>215.89695679999997</v>
      </c>
      <c r="D16" s="13">
        <f>('[3]14_15 fleet'!$D389+'[3]14_15 fleet'!$D404+'[3]14_15 fleet'!$D419+'[3]14_15 fleet'!$D434)/1000000</f>
        <v>85.1600222</v>
      </c>
      <c r="E16" s="13">
        <f>('[3]14_15 fleet'!$D$359+'[3]14_15 fleet'!$D$374)/1000000</f>
        <v>32.842738840000003</v>
      </c>
      <c r="F16" s="13">
        <f>('[3]14_15 fleet'!$D239+'[3]14_15 fleet'!$D254)/1000000</f>
        <v>2.3951146099999998</v>
      </c>
      <c r="G16" s="13">
        <f>('[3]14_15 fleet'!$D329+'[3]14_15 fleet'!$D344)/1000000</f>
        <v>4.1660504299999994</v>
      </c>
      <c r="H16" s="29">
        <f>'[8]West Coast'!$K$8/1000000</f>
        <v>525.576055</v>
      </c>
      <c r="I16" s="13">
        <f t="shared" si="0"/>
        <v>340.46088287999993</v>
      </c>
    </row>
    <row r="17" spans="2:9" ht="16" x14ac:dyDescent="0.2">
      <c r="B17" s="27" t="s">
        <v>11</v>
      </c>
      <c r="C17" s="13">
        <f>('[3]14_15 fleet'!$D270+'[3]14_15 fleet'!$D285+'[3]14_15 fleet'!$D300+'[3]14_15 fleet'!$D315)/1000000</f>
        <v>4602.4386139199996</v>
      </c>
      <c r="D17" s="13">
        <f>('[3]14_15 fleet'!$D390+'[3]14_15 fleet'!$D405+'[3]14_15 fleet'!$D420+'[3]14_15 fleet'!$D435)/1000000</f>
        <v>1157.88419853</v>
      </c>
      <c r="E17" s="13">
        <f>('[3]14_15 fleet'!$D$360+'[3]14_15 fleet'!$D$375)/1000000</f>
        <v>464.16730472</v>
      </c>
      <c r="F17" s="13">
        <f>('[3]14_15 fleet'!$D240+'[3]14_15 fleet'!$D255)/1000000</f>
        <v>48.28955242</v>
      </c>
      <c r="G17" s="13">
        <f>('[3]14_15 fleet'!$D330+'[3]14_15 fleet'!$D345)/1000000</f>
        <v>58.257886540000001</v>
      </c>
      <c r="H17" s="29">
        <f>[8]Canterbury!$K$8/1000000</f>
        <v>5839.3524470000002</v>
      </c>
      <c r="I17" s="13">
        <f t="shared" si="0"/>
        <v>6331.0375561300007</v>
      </c>
    </row>
    <row r="18" spans="2:9" ht="16" x14ac:dyDescent="0.2">
      <c r="B18" s="27" t="s">
        <v>12</v>
      </c>
      <c r="C18" s="13">
        <f>('[3]14_15 fleet'!$D271+'[3]14_15 fleet'!$D286+'[3]14_15 fleet'!$D301+'[3]14_15 fleet'!$D316)/1000000</f>
        <v>1353.7340549600001</v>
      </c>
      <c r="D18" s="13">
        <f>('[3]14_15 fleet'!$D391+'[3]14_15 fleet'!$D406+'[3]14_15 fleet'!$D421+'[3]14_15 fleet'!$D436)/1000000</f>
        <v>357.73984037000002</v>
      </c>
      <c r="E18" s="13">
        <f>('[3]14_15 fleet'!$D$361+'[3]14_15 fleet'!$D$376)/1000000</f>
        <v>120.009871</v>
      </c>
      <c r="F18" s="13">
        <f>('[3]14_15 fleet'!$D241+'[3]14_15 fleet'!$D256)/1000000</f>
        <v>15.85625522</v>
      </c>
      <c r="G18" s="13">
        <f>('[3]14_15 fleet'!$D331+'[3]14_15 fleet'!$D346)/1000000</f>
        <v>16.177917730000001</v>
      </c>
      <c r="H18" s="29">
        <f>[8]Otago!$K$8/1000000</f>
        <v>2275.7435829999999</v>
      </c>
      <c r="I18" s="13">
        <f t="shared" si="0"/>
        <v>1863.5179392800003</v>
      </c>
    </row>
    <row r="19" spans="2:9" ht="17" thickBot="1" x14ac:dyDescent="0.25">
      <c r="B19" s="27" t="s">
        <v>13</v>
      </c>
      <c r="C19" s="15">
        <f>('[3]14_15 fleet'!$D272+'[3]14_15 fleet'!$D287+'[3]14_15 fleet'!$D302+'[3]14_15 fleet'!$D317)/1000000</f>
        <v>705.02020149999998</v>
      </c>
      <c r="D19" s="15">
        <f>('[3]14_15 fleet'!$D392+'[3]14_15 fleet'!$D407+'[3]14_15 fleet'!$D422+'[3]14_15 fleet'!$D437)/1000000</f>
        <v>253.98291541</v>
      </c>
      <c r="E19" s="15">
        <f>('[3]14_15 fleet'!$D$362+'[3]14_15 fleet'!$D$377)/1000000</f>
        <v>98.44429740999999</v>
      </c>
      <c r="F19" s="15">
        <f>('[3]14_15 fleet'!$D242+'[3]14_15 fleet'!$D257)/1000000</f>
        <v>7.1054825600000004</v>
      </c>
      <c r="G19" s="15">
        <f>('[3]14_15 fleet'!$D332+'[3]14_15 fleet'!$D347)/1000000</f>
        <v>7.4794773800000005</v>
      </c>
      <c r="H19" s="29">
        <f>[8]Southland!$K$8/1000000</f>
        <v>1091.082811</v>
      </c>
      <c r="I19" s="13">
        <f t="shared" si="0"/>
        <v>1072.0323742599999</v>
      </c>
    </row>
    <row r="20" spans="2:9" ht="34.5" customHeight="1" thickTop="1" thickBot="1" x14ac:dyDescent="0.25">
      <c r="B20" s="20" t="s">
        <v>20</v>
      </c>
      <c r="C20" s="4">
        <f>(SUM('[3]14_15 fleet'!$D$258:$D$272)+SUM('[3]14_15 fleet'!$D$273:$D$287)+SUM('[3]14_15 fleet'!$D$288:$D$302)+SUM('[3]14_15 fleet'!$D$303:$D$317))/1000000</f>
        <v>32148.551379830005</v>
      </c>
      <c r="D20" s="4">
        <f>(SUM('[3]14_15 fleet'!$D$378:$D$392)+SUM('[3]14_15 fleet'!$D$393:$D$407)+SUM('[3]14_15 fleet'!$D$408:$D$422)+SUM('[3]14_15 fleet'!$D$423:$D$437))/1000000</f>
        <v>7067.6098135199991</v>
      </c>
      <c r="E20" s="4">
        <f>SUM('[3]14_15 fleet'!$D$348:$D$377)/1000000</f>
        <v>2811.1442321399991</v>
      </c>
      <c r="F20" s="4">
        <f>(SUM('[3]14_15 fleet'!$D$228:$D$242)+SUM('[3]14_15 fleet'!$D$243:$D$257))/1000000</f>
        <v>263.52151129999999</v>
      </c>
      <c r="G20" s="4">
        <f>(SUM('[3]14_15 fleet'!$D$318:$D$347))/1000000</f>
        <v>399.98066571000004</v>
      </c>
      <c r="H20" s="21"/>
      <c r="I20" s="9">
        <f t="shared" si="0"/>
        <v>42690.807602500005</v>
      </c>
    </row>
    <row r="21" spans="2:9" ht="36" thickTop="1" thickBot="1" x14ac:dyDescent="0.25">
      <c r="B21" s="31" t="s">
        <v>23</v>
      </c>
      <c r="C21" s="9">
        <f t="shared" ref="C21:H21" si="1">SUM(C6:C19)</f>
        <v>32147.954450419995</v>
      </c>
      <c r="D21" s="9">
        <f t="shared" si="1"/>
        <v>7067.2962512499998</v>
      </c>
      <c r="E21" s="9">
        <f t="shared" si="1"/>
        <v>2768.8292271999999</v>
      </c>
      <c r="F21" s="9">
        <f t="shared" si="1"/>
        <v>257.87212411000007</v>
      </c>
      <c r="G21" s="9">
        <f t="shared" si="1"/>
        <v>386.96057236999997</v>
      </c>
      <c r="H21" s="9">
        <f t="shared" si="1"/>
        <v>42530.159046000001</v>
      </c>
      <c r="I21" s="10"/>
    </row>
    <row r="22" spans="2:9" ht="18" thickTop="1" thickBot="1" x14ac:dyDescent="0.25">
      <c r="B22" s="8" t="s">
        <v>97</v>
      </c>
      <c r="C22" s="9">
        <f>('[3]14_15 fleet'!$D$258+'[3]14_15 fleet'!$D$273+'[3]14_15 fleet'!$D$288+'[3]14_15 fleet'!$D$303)/1000000</f>
        <v>0.59692940999999988</v>
      </c>
      <c r="D22" s="9">
        <f>('[3]14_15 fleet'!$D$378+'[3]14_15 fleet'!$D$393+'[3]14_15 fleet'!$D$408+'[3]14_15 fleet'!$D$423)/1000000</f>
        <v>0.31356227000000003</v>
      </c>
      <c r="E22" s="9">
        <f>('[3]14_15 fleet'!$D$348+'[3]14_15 fleet'!$D$363)/1000000</f>
        <v>42.315004939999994</v>
      </c>
      <c r="F22" s="9">
        <f>('[3]14_15 fleet'!$D$228+'[3]14_15 fleet'!$D$243)/1000000</f>
        <v>5.6493871900000006</v>
      </c>
      <c r="G22" s="9">
        <f>('[3]14_15 fleet'!$D$318+'[3]14_15 fleet'!$D$333)/1000000</f>
        <v>13.020093340000001</v>
      </c>
      <c r="H22" s="10"/>
      <c r="I22" s="10"/>
    </row>
    <row r="23" spans="2:9" ht="36" thickTop="1" thickBot="1" x14ac:dyDescent="0.25">
      <c r="B23" s="31" t="s">
        <v>99</v>
      </c>
      <c r="C23" s="9">
        <f>C21+C22</f>
        <v>32148.551379829994</v>
      </c>
      <c r="D23" s="9">
        <f>D21+D22</f>
        <v>7067.60981352</v>
      </c>
      <c r="E23" s="9">
        <f>E22+E21</f>
        <v>2811.14423214</v>
      </c>
      <c r="F23" s="9">
        <f>F21+F22</f>
        <v>263.5215113000001</v>
      </c>
      <c r="G23" s="9">
        <f>G21+G22</f>
        <v>399.98066570999998</v>
      </c>
      <c r="H23" s="10"/>
      <c r="I23" s="10"/>
    </row>
    <row r="24" spans="2:9" ht="14" thickTop="1" x14ac:dyDescent="0.15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B4:K30"/>
  <sheetViews>
    <sheetView workbookViewId="0">
      <selection activeCell="B30" sqref="B30"/>
    </sheetView>
  </sheetViews>
  <sheetFormatPr baseColWidth="10" defaultColWidth="8.83203125" defaultRowHeight="13" x14ac:dyDescent="0.15"/>
  <cols>
    <col min="2" max="2" width="21.5" customWidth="1"/>
    <col min="3" max="11" width="17.6640625" customWidth="1"/>
  </cols>
  <sheetData>
    <row r="4" spans="2:11" ht="14" thickBot="1" x14ac:dyDescent="0.2">
      <c r="B4" s="19" t="s">
        <v>14</v>
      </c>
    </row>
    <row r="5" spans="2:11" ht="48.75" customHeight="1" thickTop="1" thickBot="1" x14ac:dyDescent="0.2">
      <c r="B5" s="12"/>
      <c r="C5" s="22" t="s">
        <v>74</v>
      </c>
      <c r="D5" s="22" t="s">
        <v>73</v>
      </c>
      <c r="E5" s="22" t="s">
        <v>93</v>
      </c>
      <c r="F5" s="22" t="s">
        <v>94</v>
      </c>
      <c r="G5" s="22" t="s">
        <v>95</v>
      </c>
      <c r="H5" s="22" t="s">
        <v>21</v>
      </c>
      <c r="I5" s="3" t="s">
        <v>22</v>
      </c>
      <c r="J5" s="3" t="s">
        <v>16</v>
      </c>
      <c r="K5" s="3" t="s">
        <v>17</v>
      </c>
    </row>
    <row r="6" spans="2:11" ht="17" thickTop="1" x14ac:dyDescent="0.2">
      <c r="B6" s="23" t="s">
        <v>0</v>
      </c>
      <c r="C6" s="11">
        <f>'Original 2014-15 Data'!C6*C$22*$J6</f>
        <v>1234.8097626669858</v>
      </c>
      <c r="D6" s="11">
        <f>'Original 2014-15 Data'!D6*D$22*$J6</f>
        <v>359.47402904530486</v>
      </c>
      <c r="E6" s="11">
        <f>'Original 2014-15 Data'!E6*E$22*$J6</f>
        <v>141.72576536799093</v>
      </c>
      <c r="F6" s="11">
        <f>'Original 2014-15 Data'!F6*F$22*$J6</f>
        <v>11.633802891815147</v>
      </c>
      <c r="G6" s="11">
        <f>'Original 2014-15 Data'!G6*G$22*$J6</f>
        <v>13.485359116357262</v>
      </c>
      <c r="H6" s="11">
        <f>'Original 2014-15 Data'!H6*'Original 2014-15 Data'!$I$20/'Original 2014-15 Data'!$H$21</f>
        <v>1761.1287190884539</v>
      </c>
      <c r="I6" s="11">
        <f>SUM(C6:G6)</f>
        <v>1761.1287190884541</v>
      </c>
      <c r="J6" s="12">
        <v>1.1148014807140438</v>
      </c>
      <c r="K6" s="12">
        <f>J6*H6/I6</f>
        <v>1.1148014807140436</v>
      </c>
    </row>
    <row r="7" spans="2:11" ht="16" x14ac:dyDescent="0.2">
      <c r="B7" s="24" t="s">
        <v>1</v>
      </c>
      <c r="C7" s="13">
        <f>'Original 2014-15 Data'!C7*C$22*$J7</f>
        <v>10382.313625753499</v>
      </c>
      <c r="D7" s="13">
        <f>'Original 2014-15 Data'!D7*D$22*$J7</f>
        <v>1503.9178234037272</v>
      </c>
      <c r="E7" s="13">
        <f>'Original 2014-15 Data'!E7*E$22*$J7</f>
        <v>621.32383738757562</v>
      </c>
      <c r="F7" s="13">
        <f>'Original 2014-15 Data'!F7*F$22*$J7</f>
        <v>89.958725264677341</v>
      </c>
      <c r="G7" s="13">
        <f>'Original 2014-15 Data'!G7*G$22*$J7</f>
        <v>101.69226394154018</v>
      </c>
      <c r="H7" s="13">
        <f>'Original 2014-15 Data'!H7*'Original 2014-15 Data'!$I$20/'Original 2014-15 Data'!$H$21</f>
        <v>12699.206275751019</v>
      </c>
      <c r="I7" s="13">
        <f t="shared" ref="I7:I20" si="0">SUM(C7:G7)</f>
        <v>12699.206275751019</v>
      </c>
      <c r="J7" s="14">
        <v>0.94078000823423502</v>
      </c>
      <c r="K7" s="14">
        <f t="shared" ref="K7:K19" si="1">J7*H7/I7</f>
        <v>0.94078000823423491</v>
      </c>
    </row>
    <row r="8" spans="2:11" ht="16" x14ac:dyDescent="0.2">
      <c r="B8" s="24" t="s">
        <v>2</v>
      </c>
      <c r="C8" s="13">
        <f>'Original 2014-15 Data'!C8*C$22*$J8</f>
        <v>3915.9824601516216</v>
      </c>
      <c r="D8" s="13">
        <f>'Original 2014-15 Data'!D8*D$22*$J8</f>
        <v>971.23057092037072</v>
      </c>
      <c r="E8" s="13">
        <f>'Original 2014-15 Data'!E8*E$22*$J8</f>
        <v>406.30331344723265</v>
      </c>
      <c r="F8" s="13">
        <f>'Original 2014-15 Data'!F8*F$22*$J8</f>
        <v>20.835262851845872</v>
      </c>
      <c r="G8" s="13">
        <f>'Original 2014-15 Data'!G8*G$22*$J8</f>
        <v>47.636998519517796</v>
      </c>
      <c r="H8" s="13">
        <f>'Original 2014-15 Data'!H8*'Original 2014-15 Data'!$I$20/'Original 2014-15 Data'!$H$21</f>
        <v>5361.9886058905895</v>
      </c>
      <c r="I8" s="13">
        <f t="shared" si="0"/>
        <v>5361.9886058905886</v>
      </c>
      <c r="J8" s="14">
        <v>1.2027235164647647</v>
      </c>
      <c r="K8" s="14">
        <f t="shared" si="1"/>
        <v>1.2027235164647649</v>
      </c>
    </row>
    <row r="9" spans="2:11" ht="16" x14ac:dyDescent="0.2">
      <c r="B9" s="24" t="s">
        <v>3</v>
      </c>
      <c r="C9" s="13">
        <f>'Original 2014-15 Data'!C9*C$22*$J9</f>
        <v>1958.2973608280238</v>
      </c>
      <c r="D9" s="13">
        <f>'Original 2014-15 Data'!D9*D$22*$J9</f>
        <v>520.96875547306979</v>
      </c>
      <c r="E9" s="13">
        <f>'Original 2014-15 Data'!E9*E$22*$J9</f>
        <v>227.06239639810516</v>
      </c>
      <c r="F9" s="13">
        <f>'Original 2014-15 Data'!F9*F$22*$J9</f>
        <v>14.472403850445561</v>
      </c>
      <c r="G9" s="13">
        <f>'Original 2014-15 Data'!G9*G$22*$J9</f>
        <v>26.84427444526807</v>
      </c>
      <c r="H9" s="13">
        <f>'Original 2014-15 Data'!H9*'Original 2014-15 Data'!$I$20/'Original 2014-15 Data'!$H$21</f>
        <v>2747.6451909949124</v>
      </c>
      <c r="I9" s="13">
        <f t="shared" si="0"/>
        <v>2747.6451909949124</v>
      </c>
      <c r="J9" s="14">
        <v>0.84666102048952063</v>
      </c>
      <c r="K9" s="14">
        <f t="shared" si="1"/>
        <v>0.84666102048952063</v>
      </c>
    </row>
    <row r="10" spans="2:11" ht="16" x14ac:dyDescent="0.2">
      <c r="B10" s="24" t="s">
        <v>4</v>
      </c>
      <c r="C10" s="13">
        <f>'Original 2014-15 Data'!C10*C$22*$J10</f>
        <v>250.49922510618026</v>
      </c>
      <c r="D10" s="13">
        <f>'Original 2014-15 Data'!D10*D$22*$J10</f>
        <v>109.88376097047974</v>
      </c>
      <c r="E10" s="13">
        <f>'Original 2014-15 Data'!E10*E$22*$J10</f>
        <v>36.934309376738085</v>
      </c>
      <c r="F10" s="13">
        <f>'Original 2014-15 Data'!F10*F$22*$J10</f>
        <v>2.0051713428473192</v>
      </c>
      <c r="G10" s="13">
        <f>'Original 2014-15 Data'!G10*G$22*$J10</f>
        <v>2.908456882893673</v>
      </c>
      <c r="H10" s="13">
        <f>'Original 2014-15 Data'!H10*'Original 2014-15 Data'!$I$20/'Original 2014-15 Data'!$H$21</f>
        <v>402.23092367913915</v>
      </c>
      <c r="I10" s="13">
        <f t="shared" si="0"/>
        <v>402.2309236791391</v>
      </c>
      <c r="J10" s="14">
        <v>1.0792875201510201</v>
      </c>
      <c r="K10" s="14">
        <f t="shared" si="1"/>
        <v>1.0792875201510204</v>
      </c>
    </row>
    <row r="11" spans="2:11" ht="16" x14ac:dyDescent="0.2">
      <c r="B11" s="24" t="s">
        <v>5</v>
      </c>
      <c r="C11" s="13">
        <f>'Original 2014-15 Data'!C11*C$22*$J11</f>
        <v>1072.1987805887825</v>
      </c>
      <c r="D11" s="13">
        <f>'Original 2014-15 Data'!D11*D$22*$J11</f>
        <v>292.52815830320537</v>
      </c>
      <c r="E11" s="13">
        <f>'Original 2014-15 Data'!E11*E$22*$J11</f>
        <v>110.27688080452752</v>
      </c>
      <c r="F11" s="13">
        <f>'Original 2014-15 Data'!F11*F$22*$J11</f>
        <v>5.4696381884381386</v>
      </c>
      <c r="G11" s="13">
        <f>'Original 2014-15 Data'!G11*G$22*$J11</f>
        <v>13.325722064347435</v>
      </c>
      <c r="H11" s="13">
        <f>'Original 2014-15 Data'!H11*'Original 2014-15 Data'!$I$20/'Original 2014-15 Data'!$H$21</f>
        <v>1493.7991799493011</v>
      </c>
      <c r="I11" s="13">
        <f t="shared" si="0"/>
        <v>1493.7991799493011</v>
      </c>
      <c r="J11" s="14">
        <v>1.0386110689423673</v>
      </c>
      <c r="K11" s="14">
        <f t="shared" si="1"/>
        <v>1.0386110689423673</v>
      </c>
    </row>
    <row r="12" spans="2:11" ht="16" x14ac:dyDescent="0.2">
      <c r="B12" s="24" t="s">
        <v>6</v>
      </c>
      <c r="C12" s="13">
        <f>'Original 2014-15 Data'!C12*C$22*$J12</f>
        <v>765.10585109360647</v>
      </c>
      <c r="D12" s="13">
        <f>'Original 2014-15 Data'!D12*D$22*$J12</f>
        <v>201.0008889926157</v>
      </c>
      <c r="E12" s="13">
        <f>'Original 2014-15 Data'!E12*E$22*$J12</f>
        <v>95.017511822066183</v>
      </c>
      <c r="F12" s="13">
        <f>'Original 2014-15 Data'!F12*F$22*$J12</f>
        <v>3.8117059405101812</v>
      </c>
      <c r="G12" s="13">
        <f>'Original 2014-15 Data'!G12*G$22*$J12</f>
        <v>12.593895910580988</v>
      </c>
      <c r="H12" s="13">
        <f>'Original 2014-15 Data'!H12*'Original 2014-15 Data'!$I$20/'Original 2014-15 Data'!$H$21</f>
        <v>1077.5298537593796</v>
      </c>
      <c r="I12" s="13">
        <f t="shared" si="0"/>
        <v>1077.5298537593796</v>
      </c>
      <c r="J12" s="14">
        <v>0.98794262892152129</v>
      </c>
      <c r="K12" s="14">
        <f t="shared" si="1"/>
        <v>0.98794262892152129</v>
      </c>
    </row>
    <row r="13" spans="2:11" ht="16" x14ac:dyDescent="0.2">
      <c r="B13" s="24" t="s">
        <v>7</v>
      </c>
      <c r="C13" s="13">
        <f>'Original 2014-15 Data'!C13*C$22*$J13</f>
        <v>1717.5454206810266</v>
      </c>
      <c r="D13" s="13">
        <f>'Original 2014-15 Data'!D13*D$22*$J13</f>
        <v>464.51235325575487</v>
      </c>
      <c r="E13" s="13">
        <f>'Original 2014-15 Data'!E13*E$22*$J13</f>
        <v>199.05709684352797</v>
      </c>
      <c r="F13" s="13">
        <f>'Original 2014-15 Data'!F13*F$22*$J13</f>
        <v>8.8252999028763366</v>
      </c>
      <c r="G13" s="13">
        <f>'Original 2014-15 Data'!G13*G$22*$J13</f>
        <v>26.744921835507391</v>
      </c>
      <c r="H13" s="13">
        <f>'Original 2014-15 Data'!H13*'Original 2014-15 Data'!$I$20/'Original 2014-15 Data'!$H$21</f>
        <v>2416.6850925186936</v>
      </c>
      <c r="I13" s="13">
        <f t="shared" si="0"/>
        <v>2416.6850925186932</v>
      </c>
      <c r="J13" s="14">
        <v>1.1049819804935372</v>
      </c>
      <c r="K13" s="14">
        <f t="shared" si="1"/>
        <v>1.1049819804935375</v>
      </c>
    </row>
    <row r="14" spans="2:11" ht="16" x14ac:dyDescent="0.2">
      <c r="B14" s="24" t="s">
        <v>8</v>
      </c>
      <c r="C14" s="13">
        <f>'Original 2014-15 Data'!C14*C$22*$J14</f>
        <v>3006.3253878802329</v>
      </c>
      <c r="D14" s="13">
        <f>'Original 2014-15 Data'!D14*D$22*$J14</f>
        <v>499.76676788026606</v>
      </c>
      <c r="E14" s="13">
        <f>'Original 2014-15 Data'!E14*E$22*$J14</f>
        <v>146.71155515151918</v>
      </c>
      <c r="F14" s="13">
        <f>'Original 2014-15 Data'!F14*F$22*$J14</f>
        <v>22.689049401236158</v>
      </c>
      <c r="G14" s="13">
        <f>'Original 2014-15 Data'!G14*G$22*$J14</f>
        <v>46.803830474764027</v>
      </c>
      <c r="H14" s="13">
        <f>'Original 2014-15 Data'!H14*'Original 2014-15 Data'!$I$20/'Original 2014-15 Data'!$H$21</f>
        <v>3722.2965907880184</v>
      </c>
      <c r="I14" s="13">
        <f t="shared" si="0"/>
        <v>3722.296590788018</v>
      </c>
      <c r="J14" s="14">
        <v>0.98086562807960653</v>
      </c>
      <c r="K14" s="14">
        <f t="shared" si="1"/>
        <v>0.98086562807960664</v>
      </c>
    </row>
    <row r="15" spans="2:11" ht="16" x14ac:dyDescent="0.2">
      <c r="B15" s="24" t="s">
        <v>9</v>
      </c>
      <c r="C15" s="13">
        <f>'Original 2014-15 Data'!C15*C$22*$J15</f>
        <v>858.04498228312059</v>
      </c>
      <c r="D15" s="13">
        <f>'Original 2014-15 Data'!D15*D$22*$J15</f>
        <v>263.67856131271287</v>
      </c>
      <c r="E15" s="13">
        <f>'Original 2014-15 Data'!E15*E$22*$J15</f>
        <v>94.411223487199464</v>
      </c>
      <c r="F15" s="13">
        <f>'Original 2014-15 Data'!F15*F$22*$J15</f>
        <v>6.4734157441534528</v>
      </c>
      <c r="G15" s="13">
        <f>'Original 2014-15 Data'!G15*G$22*$J15</f>
        <v>17.174473811878244</v>
      </c>
      <c r="H15" s="13">
        <f>'Original 2014-15 Data'!H15*'Original 2014-15 Data'!$I$20/'Original 2014-15 Data'!$H$21</f>
        <v>1239.7826566390645</v>
      </c>
      <c r="I15" s="13">
        <f t="shared" si="0"/>
        <v>1239.7826566390647</v>
      </c>
      <c r="J15" s="14">
        <v>0.88056144895921207</v>
      </c>
      <c r="K15" s="14">
        <f t="shared" si="1"/>
        <v>0.88056144895921196</v>
      </c>
    </row>
    <row r="16" spans="2:11" ht="16" x14ac:dyDescent="0.2">
      <c r="B16" s="24" t="s">
        <v>10</v>
      </c>
      <c r="C16" s="13">
        <f>'Original 2014-15 Data'!C16*C$22*$J16</f>
        <v>335.31409851827163</v>
      </c>
      <c r="D16" s="13">
        <f>'Original 2014-15 Data'!D16*D$22*$J16</f>
        <v>130.55144613689384</v>
      </c>
      <c r="E16" s="13">
        <f>'Original 2014-15 Data'!E16*E$22*$J16</f>
        <v>51.199204018245595</v>
      </c>
      <c r="F16" s="13">
        <f>'Original 2014-15 Data'!F16*F$22*$J16</f>
        <v>3.8237875581235587</v>
      </c>
      <c r="G16" s="13">
        <f>'Original 2014-15 Data'!G16*G$22*$J16</f>
        <v>6.6727696224627238</v>
      </c>
      <c r="H16" s="13">
        <f>'Original 2014-15 Data'!H16*'Original 2014-15 Data'!$I$20/'Original 2014-15 Data'!$H$21</f>
        <v>527.5613058539974</v>
      </c>
      <c r="I16" s="13">
        <f t="shared" si="0"/>
        <v>527.56130585399728</v>
      </c>
      <c r="J16" s="14">
        <v>1.5485751926002089</v>
      </c>
      <c r="K16" s="14">
        <f t="shared" si="1"/>
        <v>1.5485751926002094</v>
      </c>
    </row>
    <row r="17" spans="2:11" ht="16" x14ac:dyDescent="0.2">
      <c r="B17" s="24" t="s">
        <v>11</v>
      </c>
      <c r="C17" s="13">
        <f>'Original 2014-15 Data'!C17*C$22*$J17</f>
        <v>4267.8352747887011</v>
      </c>
      <c r="D17" s="13">
        <f>'Original 2014-15 Data'!D17*D$22*$J17</f>
        <v>1059.8036204793086</v>
      </c>
      <c r="E17" s="13">
        <f>'Original 2014-15 Data'!E17*E$22*$J17</f>
        <v>432.02884000366595</v>
      </c>
      <c r="F17" s="13">
        <f>'Original 2014-15 Data'!F17*F$22*$J17</f>
        <v>46.0293653129538</v>
      </c>
      <c r="G17" s="13">
        <f>'Original 2014-15 Data'!G17*G$22*$J17</f>
        <v>55.712248212767172</v>
      </c>
      <c r="H17" s="13">
        <f>'Original 2014-15 Data'!H17*'Original 2014-15 Data'!$I$20/'Original 2014-15 Data'!$H$21</f>
        <v>5861.4093487973978</v>
      </c>
      <c r="I17" s="13">
        <f t="shared" si="0"/>
        <v>5861.4093487973969</v>
      </c>
      <c r="J17" s="14">
        <v>0.92458458498521645</v>
      </c>
      <c r="K17" s="14">
        <f t="shared" si="1"/>
        <v>0.92458458498521667</v>
      </c>
    </row>
    <row r="18" spans="2:11" ht="16" x14ac:dyDescent="0.2">
      <c r="B18" s="24" t="s">
        <v>12</v>
      </c>
      <c r="C18" s="13">
        <f>'Original 2014-15 Data'!C18*C$22*$J18</f>
        <v>1662.3212104101217</v>
      </c>
      <c r="D18" s="13">
        <f>'Original 2014-15 Data'!D18*D$22*$J18</f>
        <v>433.6002545737739</v>
      </c>
      <c r="E18" s="13">
        <f>'Original 2014-15 Data'!E18*E$22*$J18</f>
        <v>147.91666617185348</v>
      </c>
      <c r="F18" s="13">
        <f>'Original 2014-15 Data'!F18*F$22*$J18</f>
        <v>20.014483270765375</v>
      </c>
      <c r="G18" s="13">
        <f>'Original 2014-15 Data'!G18*G$22*$J18</f>
        <v>20.487101994423131</v>
      </c>
      <c r="H18" s="13">
        <f>'Original 2014-15 Data'!H18*'Original 2014-15 Data'!$I$20/'Original 2014-15 Data'!$H$21</f>
        <v>2284.3397164209373</v>
      </c>
      <c r="I18" s="13">
        <f t="shared" si="0"/>
        <v>2284.3397164209377</v>
      </c>
      <c r="J18" s="14">
        <v>1.2243584883613843</v>
      </c>
      <c r="K18" s="14">
        <f t="shared" si="1"/>
        <v>1.2243584883613838</v>
      </c>
    </row>
    <row r="19" spans="2:11" ht="17" thickBot="1" x14ac:dyDescent="0.25">
      <c r="B19" s="25" t="s">
        <v>13</v>
      </c>
      <c r="C19" s="15">
        <f>'Original 2014-15 Data'!C19*C$22*$J19</f>
        <v>721.93474035273982</v>
      </c>
      <c r="D19" s="15">
        <f>'Original 2014-15 Data'!D19*D$22*$J19</f>
        <v>256.70924618429348</v>
      </c>
      <c r="E19" s="15">
        <f>'Original 2014-15 Data'!E19*E$22*$J19</f>
        <v>101.18252022580538</v>
      </c>
      <c r="F19" s="15">
        <f>'Original 2014-15 Data'!F19*F$22*$J19</f>
        <v>7.4791478762437498</v>
      </c>
      <c r="G19" s="15">
        <f>'Original 2014-15 Data'!G19*G$22*$J19</f>
        <v>7.8984877300179157</v>
      </c>
      <c r="H19" s="15">
        <f>'Original 2014-15 Data'!H19*'Original 2014-15 Data'!$I$20/'Original 2014-15 Data'!$H$21</f>
        <v>1095.2041423691005</v>
      </c>
      <c r="I19" s="15">
        <f t="shared" si="0"/>
        <v>1095.2041423691003</v>
      </c>
      <c r="J19" s="16">
        <v>1.0209944568360041</v>
      </c>
      <c r="K19" s="16">
        <f t="shared" si="1"/>
        <v>1.0209944568360043</v>
      </c>
    </row>
    <row r="20" spans="2:11" ht="32.25" customHeight="1" thickTop="1" thickBot="1" x14ac:dyDescent="0.25">
      <c r="B20" s="20" t="s">
        <v>20</v>
      </c>
      <c r="C20" s="4">
        <f>'Original 2014-15 Data'!C20</f>
        <v>32148.551379830005</v>
      </c>
      <c r="D20" s="4">
        <f>'Original 2014-15 Data'!D20</f>
        <v>7067.6098135199991</v>
      </c>
      <c r="E20" s="4">
        <f>'Original 2014-15 Data'!E20</f>
        <v>2811.1442321399991</v>
      </c>
      <c r="F20" s="4">
        <f>'Original 2014-15 Data'!F20</f>
        <v>263.52151129999999</v>
      </c>
      <c r="G20" s="4">
        <f>'Original 2014-15 Data'!G20</f>
        <v>399.98066571000004</v>
      </c>
      <c r="H20" s="5"/>
      <c r="I20" s="9">
        <f t="shared" si="0"/>
        <v>42690.807602500005</v>
      </c>
    </row>
    <row r="21" spans="2:11" ht="36" thickTop="1" thickBot="1" x14ac:dyDescent="0.25">
      <c r="B21" s="31" t="s">
        <v>23</v>
      </c>
      <c r="C21" s="9">
        <f t="shared" ref="C21:H21" si="2">SUM(C6:C19)</f>
        <v>32148.528181102916</v>
      </c>
      <c r="D21" s="9">
        <f t="shared" si="2"/>
        <v>7067.6262369317774</v>
      </c>
      <c r="E21" s="9">
        <f t="shared" si="2"/>
        <v>2811.1511205060533</v>
      </c>
      <c r="F21" s="9">
        <f t="shared" si="2"/>
        <v>263.52125939693201</v>
      </c>
      <c r="G21" s="9">
        <f t="shared" si="2"/>
        <v>399.980804562326</v>
      </c>
      <c r="H21" s="9">
        <f t="shared" si="2"/>
        <v>42690.807602499997</v>
      </c>
      <c r="I21" s="6"/>
    </row>
    <row r="22" spans="2:11" ht="18" thickTop="1" thickBot="1" x14ac:dyDescent="0.25">
      <c r="B22" s="8" t="s">
        <v>16</v>
      </c>
      <c r="C22" s="10">
        <v>1.0029354805668012</v>
      </c>
      <c r="D22" s="10">
        <v>0.98995082781403865</v>
      </c>
      <c r="E22" s="10">
        <v>1.006680241123356</v>
      </c>
      <c r="F22" s="10">
        <v>1.0309441961070975</v>
      </c>
      <c r="G22" s="10">
        <v>1.034306634631176</v>
      </c>
      <c r="H22" s="17"/>
    </row>
    <row r="23" spans="2:11" ht="18" thickTop="1" thickBot="1" x14ac:dyDescent="0.25">
      <c r="B23" s="8" t="s">
        <v>17</v>
      </c>
      <c r="C23" s="10">
        <f>C22*C20/C21</f>
        <v>1.0029362042959364</v>
      </c>
      <c r="D23" s="10">
        <f>D22*D20/D21</f>
        <v>0.98994852741365802</v>
      </c>
      <c r="E23" s="10">
        <f>E22*E20/E21</f>
        <v>1.0066777743822584</v>
      </c>
      <c r="F23" s="10">
        <f>F22*F20/F21</f>
        <v>1.0309451815987671</v>
      </c>
      <c r="G23" s="10">
        <f>G22*G20/G21</f>
        <v>1.0343062755742405</v>
      </c>
      <c r="H23" s="18"/>
    </row>
    <row r="24" spans="2:11" ht="18" thickTop="1" thickBot="1" x14ac:dyDescent="0.25">
      <c r="B24" s="8" t="s">
        <v>15</v>
      </c>
      <c r="C24" s="10" t="str">
        <f>IF(ABS(C20-C21)&lt;Convergence_Criteria, "YES","NO")</f>
        <v>YES</v>
      </c>
      <c r="D24" s="10" t="str">
        <f>IF(ABS(D20-D21)&lt;Convergence_Criteria, "YES","NO")</f>
        <v>YES</v>
      </c>
      <c r="E24" s="10" t="str">
        <f>IF(ABS(E20-E21)&lt;Convergence_Criteria, "YES","NO")</f>
        <v>YES</v>
      </c>
      <c r="F24" s="10" t="str">
        <f>IF(ABS(F20-F21)&lt;Convergence_Criteria, "YES","NO")</f>
        <v>YES</v>
      </c>
      <c r="G24" s="10" t="str">
        <f>IF(ABS(G20-G21)&lt;Convergence_Criteria, "YES","NO")</f>
        <v>YES</v>
      </c>
      <c r="H24" s="18"/>
    </row>
    <row r="25" spans="2:11" ht="14" thickTop="1" x14ac:dyDescent="0.15"/>
    <row r="28" spans="2:11" x14ac:dyDescent="0.15">
      <c r="B28" t="s">
        <v>19</v>
      </c>
    </row>
    <row r="29" spans="2:11" x14ac:dyDescent="0.15">
      <c r="B29" s="7" t="s">
        <v>181</v>
      </c>
    </row>
    <row r="30" spans="2:11" x14ac:dyDescent="0.15">
      <c r="B30" s="7" t="s">
        <v>18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5">
    <pageSetUpPr fitToPage="1"/>
  </sheetPr>
  <dimension ref="B4:I24"/>
  <sheetViews>
    <sheetView workbookViewId="0">
      <selection activeCell="C16" sqref="C16"/>
    </sheetView>
  </sheetViews>
  <sheetFormatPr baseColWidth="10" defaultColWidth="8.83203125" defaultRowHeight="13" x14ac:dyDescent="0.15"/>
  <cols>
    <col min="2" max="2" width="21.5" customWidth="1"/>
    <col min="3" max="9" width="17.6640625" customWidth="1"/>
  </cols>
  <sheetData>
    <row r="4" spans="2:9" ht="14" thickBot="1" x14ac:dyDescent="0.2">
      <c r="B4" s="19" t="s">
        <v>14</v>
      </c>
    </row>
    <row r="5" spans="2:9" ht="48.75" customHeight="1" thickTop="1" thickBot="1" x14ac:dyDescent="0.2">
      <c r="B5" s="1"/>
      <c r="C5" s="2" t="s">
        <v>74</v>
      </c>
      <c r="D5" s="2" t="s">
        <v>73</v>
      </c>
      <c r="E5" s="2" t="s">
        <v>75</v>
      </c>
      <c r="F5" s="2" t="s">
        <v>76</v>
      </c>
      <c r="G5" s="2" t="s">
        <v>77</v>
      </c>
      <c r="H5" s="3" t="s">
        <v>21</v>
      </c>
      <c r="I5" s="30" t="s">
        <v>22</v>
      </c>
    </row>
    <row r="6" spans="2:9" ht="17" thickTop="1" x14ac:dyDescent="0.2">
      <c r="B6" s="26" t="s">
        <v>0</v>
      </c>
      <c r="C6" s="11">
        <f>('[4]15_16 fleet'!$D259+'[4]15_16 fleet'!$D274+'[4]15_16 fleet'!$D289+'[4]15_16 fleet'!$D304)/1000000</f>
        <v>1142.6367848499999</v>
      </c>
      <c r="D6" s="11">
        <f>('[4]15_16 fleet'!$D379+'[4]15_16 fleet'!$D394+'[4]15_16 fleet'!$D409+'[4]15_16 fleet'!$D424)/1000000</f>
        <v>343.81327999000001</v>
      </c>
      <c r="E6" s="11">
        <f>('[4]15_16 fleet'!$D$349+'[4]15_16 fleet'!$D$364)/1000000</f>
        <v>128.67080478</v>
      </c>
      <c r="F6" s="11">
        <f>('[4]15_16 fleet'!$D229+'[4]15_16 fleet'!$D244)/1000000</f>
        <v>10.05566133</v>
      </c>
      <c r="G6" s="11">
        <f>('[4]15_16 fleet'!$D319+'[4]15_16 fleet'!$D334)/1000000</f>
        <v>12.537344600000001</v>
      </c>
      <c r="H6" s="28">
        <f>[8]Northland!$L$8/1000000</f>
        <v>1780.82672</v>
      </c>
      <c r="I6" s="13">
        <f>SUM(C6:G6)</f>
        <v>1637.71387555</v>
      </c>
    </row>
    <row r="7" spans="2:9" ht="16" x14ac:dyDescent="0.2">
      <c r="B7" s="27" t="s">
        <v>1</v>
      </c>
      <c r="C7" s="13">
        <f>('[4]15_16 fleet'!$D260+'[4]15_16 fleet'!$D275+'[4]15_16 fleet'!$D290+'[4]15_16 fleet'!$D305)/1000000</f>
        <v>11483.379964959999</v>
      </c>
      <c r="D7" s="13">
        <f>('[4]15_16 fleet'!$D380+'[4]15_16 fleet'!$D395+'[4]15_16 fleet'!$D410+'[4]15_16 fleet'!$D425)/1000000</f>
        <v>1827.1651515000001</v>
      </c>
      <c r="E7" s="13">
        <f>('[4]15_16 fleet'!$D$350+'[4]15_16 fleet'!$D$365)/1000000</f>
        <v>690.77475908000008</v>
      </c>
      <c r="F7" s="13">
        <f>('[4]15_16 fleet'!$D230+'[4]15_16 fleet'!$D245)/1000000</f>
        <v>97.089784589999994</v>
      </c>
      <c r="G7" s="13">
        <f>('[4]15_16 fleet'!$D320+'[4]15_16 fleet'!$D335)/1000000</f>
        <v>110.25136005</v>
      </c>
      <c r="H7" s="29">
        <f>[8]Auckland!$L$8/1000000</f>
        <v>12626.203600999999</v>
      </c>
      <c r="I7" s="13">
        <f t="shared" ref="I7:I20" si="0">SUM(C7:G7)</f>
        <v>14208.661020179999</v>
      </c>
    </row>
    <row r="8" spans="2:9" ht="16" x14ac:dyDescent="0.2">
      <c r="B8" s="27" t="s">
        <v>2</v>
      </c>
      <c r="C8" s="13">
        <f>('[4]15_16 fleet'!$D261+'[4]15_16 fleet'!$D276+'[4]15_16 fleet'!$D291+'[4]15_16 fleet'!$D306)/1000000</f>
        <v>3378.1666798200004</v>
      </c>
      <c r="D8" s="13">
        <f>('[4]15_16 fleet'!$D381+'[4]15_16 fleet'!$D396+'[4]15_16 fleet'!$D411+'[4]15_16 fleet'!$D426)/1000000</f>
        <v>864.47114303000001</v>
      </c>
      <c r="E8" s="13">
        <f>('[4]15_16 fleet'!$D$351+'[4]15_16 fleet'!$D$366)/1000000</f>
        <v>341.52518610999999</v>
      </c>
      <c r="F8" s="13">
        <f>('[4]15_16 fleet'!$D231+'[4]15_16 fleet'!$D246)/1000000</f>
        <v>17.852518589999999</v>
      </c>
      <c r="G8" s="13">
        <f>('[4]15_16 fleet'!$D321+'[4]15_16 fleet'!$D336)/1000000</f>
        <v>39.460214030000003</v>
      </c>
      <c r="H8" s="29">
        <f>[8]Waikato!$L$8/1000000</f>
        <v>5470.1267690000004</v>
      </c>
      <c r="I8" s="13">
        <f t="shared" si="0"/>
        <v>4641.4757415800004</v>
      </c>
    </row>
    <row r="9" spans="2:9" ht="16" x14ac:dyDescent="0.2">
      <c r="B9" s="27" t="s">
        <v>3</v>
      </c>
      <c r="C9" s="13">
        <f>('[4]15_16 fleet'!$D262+'[4]15_16 fleet'!$D277+'[4]15_16 fleet'!$D292+'[4]15_16 fleet'!$D307)/1000000</f>
        <v>2413.3157834099998</v>
      </c>
      <c r="D9" s="13">
        <f>('[4]15_16 fleet'!$D382+'[4]15_16 fleet'!$D397+'[4]15_16 fleet'!$D412+'[4]15_16 fleet'!$D427)/1000000</f>
        <v>669.00232333999986</v>
      </c>
      <c r="E9" s="13">
        <f>('[4]15_16 fleet'!$D$352+'[4]15_16 fleet'!$D$367)/1000000</f>
        <v>272.68694703000006</v>
      </c>
      <c r="F9" s="13">
        <f>('[4]15_16 fleet'!$D232+'[4]15_16 fleet'!$D247)/1000000</f>
        <v>17.903074480000001</v>
      </c>
      <c r="G9" s="13">
        <f>('[4]15_16 fleet'!$D322+'[4]15_16 fleet'!$D337)/1000000</f>
        <v>32.300547209999998</v>
      </c>
      <c r="H9" s="29">
        <f>'[8]Bay of Plenty'!$L$8/1000000</f>
        <v>2758.4853760000001</v>
      </c>
      <c r="I9" s="13">
        <f t="shared" si="0"/>
        <v>3405.2086754699999</v>
      </c>
    </row>
    <row r="10" spans="2:9" ht="16" x14ac:dyDescent="0.2">
      <c r="B10" s="27" t="s">
        <v>4</v>
      </c>
      <c r="C10" s="13">
        <f>('[4]15_16 fleet'!$D263+'[4]15_16 fleet'!$D278+'[4]15_16 fleet'!$D293+'[4]15_16 fleet'!$D308)/1000000</f>
        <v>234.91012252000002</v>
      </c>
      <c r="D10" s="13">
        <f>('[4]15_16 fleet'!$D383+'[4]15_16 fleet'!$D398+'[4]15_16 fleet'!$D413+'[4]15_16 fleet'!$D428)/1000000</f>
        <v>107.13080771999999</v>
      </c>
      <c r="E10" s="13">
        <f>('[4]15_16 fleet'!$D$353+'[4]15_16 fleet'!$D$368)/1000000</f>
        <v>31.367036880000004</v>
      </c>
      <c r="F10" s="13">
        <f>('[4]15_16 fleet'!$D233+'[4]15_16 fleet'!$D248)/1000000</f>
        <v>1.8600733899999999</v>
      </c>
      <c r="G10" s="13">
        <f>('[4]15_16 fleet'!$D323+'[4]15_16 fleet'!$D338)/1000000</f>
        <v>2.6992057900000002</v>
      </c>
      <c r="H10" s="29">
        <f>[8]Gisborne!$L$8/1000000</f>
        <v>399.92392000000001</v>
      </c>
      <c r="I10" s="13">
        <f t="shared" si="0"/>
        <v>377.96724630000006</v>
      </c>
    </row>
    <row r="11" spans="2:9" ht="16" x14ac:dyDescent="0.2">
      <c r="B11" s="27" t="s">
        <v>5</v>
      </c>
      <c r="C11" s="13">
        <f>('[4]15_16 fleet'!$D264+'[4]15_16 fleet'!$D279+'[4]15_16 fleet'!$D294+'[4]15_16 fleet'!$D309)/1000000</f>
        <v>1064.87520535</v>
      </c>
      <c r="D11" s="13">
        <f>('[4]15_16 fleet'!$D384+'[4]15_16 fleet'!$D399+'[4]15_16 fleet'!$D414+'[4]15_16 fleet'!$D429)/1000000</f>
        <v>302.55118441999997</v>
      </c>
      <c r="E11" s="13">
        <f>('[4]15_16 fleet'!$D$354+'[4]15_16 fleet'!$D$369)/1000000</f>
        <v>105.82278565</v>
      </c>
      <c r="F11" s="13">
        <f>('[4]15_16 fleet'!$D234+'[4]15_16 fleet'!$D249)/1000000</f>
        <v>5.041518159999999</v>
      </c>
      <c r="G11" s="13">
        <f>('[4]15_16 fleet'!$D324+'[4]15_16 fleet'!$D339)/1000000</f>
        <v>12.89414835</v>
      </c>
      <c r="H11" s="29">
        <f>'[8]Hawke''s Bay'!$L$8/1000000</f>
        <v>1516.034191</v>
      </c>
      <c r="I11" s="13">
        <f t="shared" si="0"/>
        <v>1491.1848419299999</v>
      </c>
    </row>
    <row r="12" spans="2:9" ht="16" x14ac:dyDescent="0.2">
      <c r="B12" s="27" t="s">
        <v>6</v>
      </c>
      <c r="C12" s="13">
        <f>('[4]15_16 fleet'!$D265+'[4]15_16 fleet'!$D280+'[4]15_16 fleet'!$D295+'[4]15_16 fleet'!$D310)/1000000</f>
        <v>783.81759317000001</v>
      </c>
      <c r="D12" s="13">
        <f>('[4]15_16 fleet'!$D385+'[4]15_16 fleet'!$D400+'[4]15_16 fleet'!$D415+'[4]15_16 fleet'!$D430)/1000000</f>
        <v>212.53217554</v>
      </c>
      <c r="E12" s="13">
        <f>('[4]15_16 fleet'!$D$355+'[4]15_16 fleet'!$D$370)/1000000</f>
        <v>95.975444080000003</v>
      </c>
      <c r="F12" s="13">
        <f>('[4]15_16 fleet'!$D235+'[4]15_16 fleet'!$D250)/1000000</f>
        <v>3.3578371799999998</v>
      </c>
      <c r="G12" s="13">
        <f>('[4]15_16 fleet'!$D325+'[4]15_16 fleet'!$D340)/1000000</f>
        <v>13.00836522</v>
      </c>
      <c r="H12" s="29">
        <f>[8]Taranaki!$L$8/1000000</f>
        <v>1082.715829</v>
      </c>
      <c r="I12" s="13">
        <f t="shared" si="0"/>
        <v>1108.69141519</v>
      </c>
    </row>
    <row r="13" spans="2:9" ht="16" x14ac:dyDescent="0.2">
      <c r="B13" s="27" t="s">
        <v>7</v>
      </c>
      <c r="C13" s="13">
        <f>('[4]15_16 fleet'!$D266+'[4]15_16 fleet'!$D281+'[4]15_16 fleet'!$D296+'[4]15_16 fleet'!$D311)/1000000</f>
        <v>1586.0066752900002</v>
      </c>
      <c r="D13" s="13">
        <f>('[4]15_16 fleet'!$D386+'[4]15_16 fleet'!$D401+'[4]15_16 fleet'!$D416+'[4]15_16 fleet'!$D431)/1000000</f>
        <v>451.52480729999996</v>
      </c>
      <c r="E13" s="13">
        <f>('[4]15_16 fleet'!$D$356+'[4]15_16 fleet'!$D$371)/1000000</f>
        <v>184.22490279000002</v>
      </c>
      <c r="F13" s="13">
        <f>('[4]15_16 fleet'!$D236+'[4]15_16 fleet'!$D251)/1000000</f>
        <v>7.9316956999999997</v>
      </c>
      <c r="G13" s="13">
        <f>('[4]15_16 fleet'!$D326+'[4]15_16 fleet'!$D341)/1000000</f>
        <v>25.12350769</v>
      </c>
      <c r="H13" s="29">
        <f>[8]Manawatu!$L$8/1000000</f>
        <v>2461.335251</v>
      </c>
      <c r="I13" s="13">
        <f t="shared" si="0"/>
        <v>2254.8115887700005</v>
      </c>
    </row>
    <row r="14" spans="2:9" ht="16" x14ac:dyDescent="0.2">
      <c r="B14" s="27" t="s">
        <v>8</v>
      </c>
      <c r="C14" s="13">
        <f>('[4]15_16 fleet'!$D267+'[4]15_16 fleet'!$D282+'[4]15_16 fleet'!$D297+'[4]15_16 fleet'!$D312)/1000000</f>
        <v>3122.7044615299997</v>
      </c>
      <c r="D14" s="13">
        <f>('[4]15_16 fleet'!$D387+'[4]15_16 fleet'!$D402+'[4]15_16 fleet'!$D417+'[4]15_16 fleet'!$D432)/1000000</f>
        <v>542.33986751999998</v>
      </c>
      <c r="E14" s="13">
        <f>('[4]15_16 fleet'!$D$357+'[4]15_16 fleet'!$D$372)/1000000</f>
        <v>153.72444651999999</v>
      </c>
      <c r="F14" s="13">
        <f>('[4]15_16 fleet'!$D237+'[4]15_16 fleet'!$D252)/1000000</f>
        <v>21.386748730000001</v>
      </c>
      <c r="G14" s="13">
        <f>('[4]15_16 fleet'!$D327+'[4]15_16 fleet'!$D342)/1000000</f>
        <v>47.839879490000001</v>
      </c>
      <c r="H14" s="29">
        <f>[8]Wellington!$L$8/1000000</f>
        <v>3526.817767</v>
      </c>
      <c r="I14" s="13">
        <f t="shared" si="0"/>
        <v>3887.9954037899997</v>
      </c>
    </row>
    <row r="15" spans="2:9" ht="16" x14ac:dyDescent="0.2">
      <c r="B15" s="27" t="s">
        <v>9</v>
      </c>
      <c r="C15" s="13">
        <f>('[4]15_16 fleet'!$D268+'[4]15_16 fleet'!$D283+'[4]15_16 fleet'!$D298+'[4]15_16 fleet'!$D313)/1000000</f>
        <v>1059.8833823099999</v>
      </c>
      <c r="D15" s="13">
        <f>('[4]15_16 fleet'!$D388+'[4]15_16 fleet'!$D403+'[4]15_16 fleet'!$D418+'[4]15_16 fleet'!$D433)/1000000</f>
        <v>322.45852177999996</v>
      </c>
      <c r="E15" s="13">
        <f>('[4]15_16 fleet'!$D$358+'[4]15_16 fleet'!$D$373)/1000000</f>
        <v>107.54160916999999</v>
      </c>
      <c r="F15" s="13">
        <f>('[4]15_16 fleet'!$D238+'[4]15_16 fleet'!$D253)/1000000</f>
        <v>7.051762720000001</v>
      </c>
      <c r="G15" s="13">
        <f>('[4]15_16 fleet'!$D328+'[4]15_16 fleet'!$D343)/1000000</f>
        <v>20.018806599999998</v>
      </c>
      <c r="H15" s="29">
        <f>[8]TMN!$L$8/1000000</f>
        <v>1394.458697</v>
      </c>
      <c r="I15" s="13">
        <f t="shared" si="0"/>
        <v>1516.9540825799997</v>
      </c>
    </row>
    <row r="16" spans="2:9" ht="16" x14ac:dyDescent="0.2">
      <c r="B16" s="27" t="s">
        <v>10</v>
      </c>
      <c r="C16" s="13">
        <f>('[4]15_16 fleet'!$D269+'[4]15_16 fleet'!$D284+'[4]15_16 fleet'!$D299+'[4]15_16 fleet'!$D314)/1000000</f>
        <v>214.29084997999999</v>
      </c>
      <c r="D16" s="13">
        <f>('[4]15_16 fleet'!$D389+'[4]15_16 fleet'!$D404+'[4]15_16 fleet'!$D419+'[4]15_16 fleet'!$D434)/1000000</f>
        <v>81.283557979999983</v>
      </c>
      <c r="E16" s="13">
        <f>('[4]15_16 fleet'!$D$359+'[4]15_16 fleet'!$D$374)/1000000</f>
        <v>32.317802610000001</v>
      </c>
      <c r="F16" s="13">
        <f>('[4]15_16 fleet'!$D239+'[4]15_16 fleet'!$D254)/1000000</f>
        <v>1.92642197</v>
      </c>
      <c r="G16" s="13">
        <f>('[4]15_16 fleet'!$D329+'[4]15_16 fleet'!$D344)/1000000</f>
        <v>3.87560211</v>
      </c>
      <c r="H16" s="29">
        <f>'[8]West Coast'!$L$8/1000000</f>
        <v>535.00930700000004</v>
      </c>
      <c r="I16" s="13">
        <f t="shared" si="0"/>
        <v>333.69423464999994</v>
      </c>
    </row>
    <row r="17" spans="2:9" ht="16" x14ac:dyDescent="0.2">
      <c r="B17" s="27" t="s">
        <v>11</v>
      </c>
      <c r="C17" s="13">
        <f>('[4]15_16 fleet'!$D270+'[4]15_16 fleet'!$D285+'[4]15_16 fleet'!$D300+'[4]15_16 fleet'!$D315)/1000000</f>
        <v>4733.3005249999997</v>
      </c>
      <c r="D17" s="13">
        <f>('[4]15_16 fleet'!$D390+'[4]15_16 fleet'!$D405+'[4]15_16 fleet'!$D420+'[4]15_16 fleet'!$D435)/1000000</f>
        <v>1211.9488520499999</v>
      </c>
      <c r="E17" s="13">
        <f>('[4]15_16 fleet'!$D$360+'[4]15_16 fleet'!$D$375)/1000000</f>
        <v>465.07951617999993</v>
      </c>
      <c r="F17" s="13">
        <f>('[4]15_16 fleet'!$D240+'[4]15_16 fleet'!$D255)/1000000</f>
        <v>51.992173449999996</v>
      </c>
      <c r="G17" s="13">
        <f>('[4]15_16 fleet'!$D330+'[4]15_16 fleet'!$D345)/1000000</f>
        <v>61.384366569999997</v>
      </c>
      <c r="H17" s="29">
        <f>[8]Canterbury!$L$8/1000000</f>
        <v>6009.7287230000002</v>
      </c>
      <c r="I17" s="13">
        <f t="shared" si="0"/>
        <v>6523.7054332499993</v>
      </c>
    </row>
    <row r="18" spans="2:9" ht="16" x14ac:dyDescent="0.2">
      <c r="B18" s="27" t="s">
        <v>12</v>
      </c>
      <c r="C18" s="13">
        <f>('[4]15_16 fleet'!$D271+'[4]15_16 fleet'!$D286+'[4]15_16 fleet'!$D301+'[4]15_16 fleet'!$D316)/1000000</f>
        <v>1404.57303527</v>
      </c>
      <c r="D18" s="13">
        <f>('[4]15_16 fleet'!$D391+'[4]15_16 fleet'!$D406+'[4]15_16 fleet'!$D421+'[4]15_16 fleet'!$D436)/1000000</f>
        <v>381.24587639999999</v>
      </c>
      <c r="E18" s="13">
        <f>('[4]15_16 fleet'!$D$361+'[4]15_16 fleet'!$D$376)/1000000</f>
        <v>121.13718618</v>
      </c>
      <c r="F18" s="13">
        <f>('[4]15_16 fleet'!$D241+'[4]15_16 fleet'!$D256)/1000000</f>
        <v>15.496611049999998</v>
      </c>
      <c r="G18" s="13">
        <f>('[4]15_16 fleet'!$D331+'[4]15_16 fleet'!$D346)/1000000</f>
        <v>16.878339580000002</v>
      </c>
      <c r="H18" s="29">
        <f>[8]Otago!$L$8/1000000</f>
        <v>2304.9764449999998</v>
      </c>
      <c r="I18" s="13">
        <f t="shared" si="0"/>
        <v>1939.3310484800002</v>
      </c>
    </row>
    <row r="19" spans="2:9" ht="17" thickBot="1" x14ac:dyDescent="0.25">
      <c r="B19" s="27" t="s">
        <v>13</v>
      </c>
      <c r="C19" s="15">
        <f>('[4]15_16 fleet'!$D272+'[4]15_16 fleet'!$D287+'[4]15_16 fleet'!$D302+'[4]15_16 fleet'!$D317)/1000000</f>
        <v>719.76130674000001</v>
      </c>
      <c r="D19" s="15">
        <f>('[4]15_16 fleet'!$D392+'[4]15_16 fleet'!$D407+'[4]15_16 fleet'!$D422+'[4]15_16 fleet'!$D437)/1000000</f>
        <v>264.16760821000003</v>
      </c>
      <c r="E19" s="15">
        <f>('[4]15_16 fleet'!$D$362+'[4]15_16 fleet'!$D$377)/1000000</f>
        <v>100.75191218000001</v>
      </c>
      <c r="F19" s="15">
        <f>('[4]15_16 fleet'!$D242+'[4]15_16 fleet'!$D257)/1000000</f>
        <v>7.7276006299999995</v>
      </c>
      <c r="G19" s="15">
        <f>('[4]15_16 fleet'!$D332+'[4]15_16 fleet'!$D347)/1000000</f>
        <v>7.6975099900000004</v>
      </c>
      <c r="H19" s="29">
        <f>[8]Southland!$L$8/1000000</f>
        <v>1191.6495500000001</v>
      </c>
      <c r="I19" s="13">
        <f t="shared" si="0"/>
        <v>1100.1059377500003</v>
      </c>
    </row>
    <row r="20" spans="2:9" ht="34.5" customHeight="1" thickTop="1" thickBot="1" x14ac:dyDescent="0.25">
      <c r="B20" s="20" t="s">
        <v>20</v>
      </c>
      <c r="C20" s="4">
        <f>(SUM('[4]15_16 fleet'!$D$258:$D$272)+SUM('[4]15_16 fleet'!$D$273:$D$287)+SUM('[4]15_16 fleet'!$D$288:$D$302)+SUM('[4]15_16 fleet'!$D$303:$D$317))/1000000</f>
        <v>33342.354963440004</v>
      </c>
      <c r="D20" s="4">
        <f>(SUM('[4]15_16 fleet'!$D$378:$D$392)+SUM('[4]15_16 fleet'!$D$393:$D$407)+SUM('[4]15_16 fleet'!$D$408:$D$422)+SUM('[4]15_16 fleet'!$D$423:$D$437))/1000000</f>
        <v>7582.2723646699997</v>
      </c>
      <c r="E20" s="4">
        <f>SUM('[4]15_16 fleet'!$D$348:$D$377)/1000000</f>
        <v>2886.4540566200003</v>
      </c>
      <c r="F20" s="4">
        <f>(SUM('[4]15_16 fleet'!$D$228:$D$242)+SUM('[4]15_16 fleet'!$D$243:$D$257))/1000000</f>
        <v>272.01090876999996</v>
      </c>
      <c r="G20" s="4">
        <f>(SUM('[4]15_16 fleet'!$D$318:$D$347))/1000000</f>
        <v>417.5910132300001</v>
      </c>
      <c r="H20" s="21"/>
      <c r="I20" s="9">
        <f t="shared" si="0"/>
        <v>44500.683306729996</v>
      </c>
    </row>
    <row r="21" spans="2:9" ht="36" thickTop="1" thickBot="1" x14ac:dyDescent="0.25">
      <c r="B21" s="31" t="s">
        <v>23</v>
      </c>
      <c r="C21" s="9">
        <f t="shared" ref="C21:H21" si="1">SUM(C6:C19)</f>
        <v>33341.622370199992</v>
      </c>
      <c r="D21" s="9">
        <f t="shared" si="1"/>
        <v>7581.6351567800002</v>
      </c>
      <c r="E21" s="9">
        <f t="shared" si="1"/>
        <v>2831.6003392400003</v>
      </c>
      <c r="F21" s="9">
        <f t="shared" si="1"/>
        <v>266.67348196999995</v>
      </c>
      <c r="G21" s="9">
        <f t="shared" si="1"/>
        <v>405.96919728</v>
      </c>
      <c r="H21" s="9">
        <f t="shared" si="1"/>
        <v>43058.292146000007</v>
      </c>
      <c r="I21" s="10"/>
    </row>
    <row r="22" spans="2:9" ht="18" thickTop="1" thickBot="1" x14ac:dyDescent="0.25">
      <c r="B22" s="8" t="s">
        <v>97</v>
      </c>
      <c r="C22" s="9">
        <f>('[4]15_16 fleet'!$D$258+'[4]15_16 fleet'!$D$273+'[4]15_16 fleet'!$D$288+'[4]15_16 fleet'!$D$303)/1000000</f>
        <v>0.73259324000000003</v>
      </c>
      <c r="D22" s="9">
        <f>('[4]15_16 fleet'!$D$378+'[4]15_16 fleet'!$D$393+'[4]15_16 fleet'!$D$408+'[4]15_16 fleet'!$D$423)/1000000</f>
        <v>0.63720788999999989</v>
      </c>
      <c r="E22" s="9">
        <f>('[4]15_16 fleet'!$D$348+'[4]15_16 fleet'!$D$363)/1000000</f>
        <v>54.853717379999992</v>
      </c>
      <c r="F22" s="9">
        <f>('[4]15_16 fleet'!$D$228+'[4]15_16 fleet'!$D$243)/1000000</f>
        <v>5.3374268000000002</v>
      </c>
      <c r="G22" s="9">
        <f>('[4]15_16 fleet'!$D$318+'[4]15_16 fleet'!$D$333)/1000000</f>
        <v>11.621815949999998</v>
      </c>
      <c r="H22" s="10"/>
      <c r="I22" s="10"/>
    </row>
    <row r="23" spans="2:9" ht="36" thickTop="1" thickBot="1" x14ac:dyDescent="0.25">
      <c r="B23" s="31" t="s">
        <v>99</v>
      </c>
      <c r="C23" s="9">
        <f>C21+C22</f>
        <v>33342.35496343999</v>
      </c>
      <c r="D23" s="9">
        <f>D21+D22</f>
        <v>7582.2723646700006</v>
      </c>
      <c r="E23" s="9">
        <f>E22+E21</f>
        <v>2886.4540566200003</v>
      </c>
      <c r="F23" s="9">
        <f>F21+F22</f>
        <v>272.01090876999996</v>
      </c>
      <c r="G23" s="9">
        <f>G21+G22</f>
        <v>417.59101322999999</v>
      </c>
      <c r="H23" s="10"/>
      <c r="I23" s="10"/>
    </row>
    <row r="24" spans="2:9" ht="14" thickTop="1" x14ac:dyDescent="0.15"/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86"/>
  <sheetViews>
    <sheetView workbookViewId="0">
      <selection activeCell="I3" sqref="I3"/>
    </sheetView>
  </sheetViews>
  <sheetFormatPr baseColWidth="10" defaultColWidth="8.83203125" defaultRowHeight="13" x14ac:dyDescent="0.15"/>
  <cols>
    <col min="3" max="3" width="44" customWidth="1"/>
    <col min="4" max="16" width="17.6640625" customWidth="1"/>
    <col min="17" max="18" width="16.33203125" customWidth="1"/>
  </cols>
  <sheetData>
    <row r="1" spans="3:18" ht="16" x14ac:dyDescent="0.2">
      <c r="C1" s="223" t="s">
        <v>187</v>
      </c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</row>
    <row r="2" spans="3:18" x14ac:dyDescent="0.15"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</row>
    <row r="3" spans="3:18" ht="14" thickBot="1" x14ac:dyDescent="0.2"/>
    <row r="4" spans="3:18" ht="17" thickTop="1" x14ac:dyDescent="0.2">
      <c r="C4" s="32" t="s">
        <v>47</v>
      </c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34"/>
      <c r="Q4" s="34"/>
      <c r="R4" s="35"/>
    </row>
    <row r="5" spans="3:18" ht="14" thickBot="1" x14ac:dyDescent="0.2">
      <c r="C5" s="36"/>
      <c r="D5" s="37" t="s">
        <v>25</v>
      </c>
      <c r="E5" s="37" t="s">
        <v>37</v>
      </c>
      <c r="F5" s="37" t="s">
        <v>38</v>
      </c>
      <c r="G5" s="37" t="s">
        <v>177</v>
      </c>
      <c r="H5" s="37" t="s">
        <v>178</v>
      </c>
      <c r="I5" s="37" t="s">
        <v>26</v>
      </c>
      <c r="J5" s="37" t="s">
        <v>183</v>
      </c>
      <c r="K5" s="37" t="s">
        <v>27</v>
      </c>
      <c r="L5" s="37" t="s">
        <v>28</v>
      </c>
      <c r="M5" s="37" t="s">
        <v>29</v>
      </c>
      <c r="N5" s="37" t="s">
        <v>30</v>
      </c>
      <c r="O5" s="37" t="s">
        <v>31</v>
      </c>
      <c r="P5" s="37" t="s">
        <v>174</v>
      </c>
      <c r="Q5" s="37" t="s">
        <v>175</v>
      </c>
      <c r="R5" s="38" t="s">
        <v>176</v>
      </c>
    </row>
    <row r="6" spans="3:18" ht="15" thickTop="1" thickBot="1" x14ac:dyDescent="0.2">
      <c r="C6" s="70"/>
      <c r="D6" s="65" t="s">
        <v>39</v>
      </c>
      <c r="E6" s="65" t="s">
        <v>39</v>
      </c>
      <c r="F6" s="65" t="s">
        <v>39</v>
      </c>
      <c r="G6" s="65" t="s">
        <v>39</v>
      </c>
      <c r="H6" s="65" t="s">
        <v>39</v>
      </c>
      <c r="I6" s="65" t="s">
        <v>39</v>
      </c>
      <c r="J6" s="65" t="s">
        <v>39</v>
      </c>
      <c r="K6" s="65" t="s">
        <v>32</v>
      </c>
      <c r="L6" s="65" t="s">
        <v>32</v>
      </c>
      <c r="M6" s="65" t="s">
        <v>32</v>
      </c>
      <c r="N6" s="65" t="s">
        <v>32</v>
      </c>
      <c r="O6" s="65" t="s">
        <v>32</v>
      </c>
      <c r="P6" s="65" t="s">
        <v>32</v>
      </c>
      <c r="Q6" s="65" t="s">
        <v>32</v>
      </c>
      <c r="R6" s="66" t="s">
        <v>32</v>
      </c>
    </row>
    <row r="7" spans="3:18" ht="17" thickTop="1" x14ac:dyDescent="0.2">
      <c r="C7" s="24" t="s">
        <v>113</v>
      </c>
      <c r="D7" s="52">
        <f>Summary_Initial!D7</f>
        <v>30613.689355067952</v>
      </c>
      <c r="E7" s="53">
        <f t="shared" ref="E7:J7" si="0">E35</f>
        <v>31098.979572422566</v>
      </c>
      <c r="F7" s="53">
        <f t="shared" si="0"/>
        <v>31876.938732869763</v>
      </c>
      <c r="G7" s="53">
        <f t="shared" si="0"/>
        <v>33051.635057013067</v>
      </c>
      <c r="H7" s="53">
        <f t="shared" si="0"/>
        <v>34121.587861308311</v>
      </c>
      <c r="I7" s="53">
        <f t="shared" si="0"/>
        <v>34739.353769954891</v>
      </c>
      <c r="J7" s="53">
        <f t="shared" si="0"/>
        <v>35098.58829202452</v>
      </c>
      <c r="K7" s="53">
        <f t="shared" ref="K7:R7" si="1">K35</f>
        <v>37650.06057238565</v>
      </c>
      <c r="L7" s="53">
        <f t="shared" si="1"/>
        <v>38223.132664954974</v>
      </c>
      <c r="M7" s="53">
        <f t="shared" si="1"/>
        <v>38442.692707468756</v>
      </c>
      <c r="N7" s="53">
        <f t="shared" si="1"/>
        <v>38259.10835494924</v>
      </c>
      <c r="O7" s="53">
        <f t="shared" si="1"/>
        <v>37948.150675254117</v>
      </c>
      <c r="P7" s="53">
        <f t="shared" si="1"/>
        <v>37560.434326105336</v>
      </c>
      <c r="Q7" s="53">
        <f t="shared" si="1"/>
        <v>37017.333975346766</v>
      </c>
      <c r="R7" s="54">
        <f t="shared" si="1"/>
        <v>36316.887151734678</v>
      </c>
    </row>
    <row r="8" spans="3:18" ht="16" x14ac:dyDescent="0.2">
      <c r="C8" s="24" t="s">
        <v>114</v>
      </c>
      <c r="D8" s="55">
        <f>D36</f>
        <v>6225.763920082044</v>
      </c>
      <c r="E8" s="56">
        <f t="shared" ref="E8:J8" si="2">E36</f>
        <v>6562.575245763288</v>
      </c>
      <c r="F8" s="56">
        <f t="shared" si="2"/>
        <v>6996.3794099640199</v>
      </c>
      <c r="G8" s="56">
        <f t="shared" si="2"/>
        <v>7511.765142262976</v>
      </c>
      <c r="H8" s="56">
        <f t="shared" si="2"/>
        <v>8038.7908779505815</v>
      </c>
      <c r="I8" s="56">
        <f t="shared" si="2"/>
        <v>8663.4125058044647</v>
      </c>
      <c r="J8" s="56">
        <f t="shared" si="2"/>
        <v>9237.5981390832803</v>
      </c>
      <c r="K8" s="56">
        <f>K21*$J63/10^6</f>
        <v>10050.786829472516</v>
      </c>
      <c r="L8" s="56">
        <f t="shared" ref="L8:R8" si="3">L21*$J63/10^6</f>
        <v>10699.075304790591</v>
      </c>
      <c r="M8" s="56">
        <f t="shared" si="3"/>
        <v>11161.897685766033</v>
      </c>
      <c r="N8" s="56">
        <f t="shared" si="3"/>
        <v>11535.493379524693</v>
      </c>
      <c r="O8" s="56">
        <f t="shared" si="3"/>
        <v>11929.583426200461</v>
      </c>
      <c r="P8" s="56">
        <f t="shared" si="3"/>
        <v>12236.191738480291</v>
      </c>
      <c r="Q8" s="56">
        <f t="shared" si="3"/>
        <v>12506.021121137288</v>
      </c>
      <c r="R8" s="57">
        <f t="shared" si="3"/>
        <v>12721.258790381033</v>
      </c>
    </row>
    <row r="9" spans="3:18" ht="16" x14ac:dyDescent="0.2">
      <c r="C9" s="24" t="s">
        <v>115</v>
      </c>
      <c r="D9" s="55">
        <f t="shared" ref="D9:R10" si="4">D37</f>
        <v>262.81779245548046</v>
      </c>
      <c r="E9" s="56">
        <f t="shared" si="4"/>
        <v>266.88733686006401</v>
      </c>
      <c r="F9" s="56">
        <f t="shared" si="4"/>
        <v>271.58944823315261</v>
      </c>
      <c r="G9" s="56">
        <f t="shared" si="4"/>
        <v>290.69149218598466</v>
      </c>
      <c r="H9" s="56">
        <f t="shared" si="4"/>
        <v>328.77035123657737</v>
      </c>
      <c r="I9" s="56">
        <f t="shared" si="4"/>
        <v>451.94991590508977</v>
      </c>
      <c r="J9" s="56">
        <f t="shared" si="4"/>
        <v>524.58025185836539</v>
      </c>
      <c r="K9" s="56">
        <f t="shared" ref="K9:R9" si="5">K37</f>
        <v>614.17640834693384</v>
      </c>
      <c r="L9" s="56">
        <f t="shared" si="5"/>
        <v>2309.2958918432519</v>
      </c>
      <c r="M9" s="56">
        <f t="shared" si="5"/>
        <v>4117.8142702534233</v>
      </c>
      <c r="N9" s="56">
        <f t="shared" si="5"/>
        <v>6002.4935206406035</v>
      </c>
      <c r="O9" s="56">
        <f t="shared" si="5"/>
        <v>7963.3593971271002</v>
      </c>
      <c r="P9" s="56">
        <f t="shared" si="5"/>
        <v>9978.2660624523487</v>
      </c>
      <c r="Q9" s="56">
        <f t="shared" si="5"/>
        <v>12046.956515755641</v>
      </c>
      <c r="R9" s="57">
        <f t="shared" si="5"/>
        <v>14167.332692450718</v>
      </c>
    </row>
    <row r="10" spans="3:18" ht="16" x14ac:dyDescent="0.2">
      <c r="C10" s="24" t="s">
        <v>116</v>
      </c>
      <c r="D10" s="55">
        <f t="shared" si="4"/>
        <v>72.037163507162475</v>
      </c>
      <c r="E10" s="56">
        <f t="shared" si="4"/>
        <v>71.584924474733342</v>
      </c>
      <c r="F10" s="56">
        <f t="shared" si="4"/>
        <v>71.246826967757883</v>
      </c>
      <c r="G10" s="56">
        <f t="shared" si="4"/>
        <v>70.527300522370751</v>
      </c>
      <c r="H10" s="56">
        <f t="shared" si="4"/>
        <v>79.610439330117231</v>
      </c>
      <c r="I10" s="56">
        <f t="shared" si="4"/>
        <v>82.929003905534231</v>
      </c>
      <c r="J10" s="56">
        <f t="shared" si="4"/>
        <v>90.547637102659706</v>
      </c>
      <c r="K10" s="56">
        <f t="shared" si="4"/>
        <v>105.01081351690812</v>
      </c>
      <c r="L10" s="56">
        <f t="shared" si="4"/>
        <v>374.0572440597939</v>
      </c>
      <c r="M10" s="56">
        <f t="shared" si="4"/>
        <v>658.27777714486695</v>
      </c>
      <c r="N10" s="56">
        <f t="shared" si="4"/>
        <v>951.79996562575241</v>
      </c>
      <c r="O10" s="56">
        <f t="shared" si="4"/>
        <v>1254.6611127187289</v>
      </c>
      <c r="P10" s="56">
        <f t="shared" si="4"/>
        <v>1562.9403339491473</v>
      </c>
      <c r="Q10" s="56">
        <f t="shared" si="4"/>
        <v>1876.798446993603</v>
      </c>
      <c r="R10" s="57">
        <f t="shared" si="4"/>
        <v>2195.9307645632066</v>
      </c>
    </row>
    <row r="11" spans="3:18" ht="16" x14ac:dyDescent="0.2">
      <c r="C11" s="24" t="s">
        <v>43</v>
      </c>
      <c r="D11" s="55">
        <f>D39</f>
        <v>2625.5817312218246</v>
      </c>
      <c r="E11" s="56">
        <f t="shared" ref="E11:J11" si="6">E39</f>
        <v>2725.0931923571188</v>
      </c>
      <c r="F11" s="56">
        <f t="shared" si="6"/>
        <v>2811.1511205060533</v>
      </c>
      <c r="G11" s="56">
        <f t="shared" si="6"/>
        <v>2886.4625296213922</v>
      </c>
      <c r="H11" s="56">
        <f t="shared" si="6"/>
        <v>2974.6447783585722</v>
      </c>
      <c r="I11" s="56">
        <f t="shared" si="6"/>
        <v>3017.6676879199986</v>
      </c>
      <c r="J11" s="56">
        <f t="shared" si="6"/>
        <v>3077.2057648425744</v>
      </c>
      <c r="K11" s="56">
        <f t="shared" ref="K11:R11" si="7">K39</f>
        <v>3130.2408819958014</v>
      </c>
      <c r="L11" s="56">
        <f t="shared" si="7"/>
        <v>3229.0160857382652</v>
      </c>
      <c r="M11" s="56">
        <f t="shared" si="7"/>
        <v>3321.0269384109019</v>
      </c>
      <c r="N11" s="56">
        <f t="shared" si="7"/>
        <v>3344.8507252526656</v>
      </c>
      <c r="O11" s="56">
        <f t="shared" si="7"/>
        <v>3365.486436051558</v>
      </c>
      <c r="P11" s="56">
        <f t="shared" si="7"/>
        <v>3421.0881646543467</v>
      </c>
      <c r="Q11" s="56">
        <f t="shared" si="7"/>
        <v>3471.9095089732086</v>
      </c>
      <c r="R11" s="57">
        <f t="shared" si="7"/>
        <v>3518.1522161182356</v>
      </c>
    </row>
    <row r="12" spans="3:18" ht="16" x14ac:dyDescent="0.2">
      <c r="C12" s="24" t="s">
        <v>44</v>
      </c>
      <c r="D12" s="55">
        <f t="shared" ref="D12:J13" si="8">D40</f>
        <v>245.25345477429616</v>
      </c>
      <c r="E12" s="56">
        <f t="shared" si="8"/>
        <v>255.49508658811862</v>
      </c>
      <c r="F12" s="56">
        <f t="shared" si="8"/>
        <v>263.52125939693201</v>
      </c>
      <c r="G12" s="56">
        <f t="shared" si="8"/>
        <v>272.01059552122399</v>
      </c>
      <c r="H12" s="56">
        <f t="shared" si="8"/>
        <v>285.50486420865337</v>
      </c>
      <c r="I12" s="56">
        <f t="shared" si="8"/>
        <v>299.20374473000015</v>
      </c>
      <c r="J12" s="56">
        <f t="shared" si="8"/>
        <v>320.30879022326218</v>
      </c>
      <c r="K12" s="56">
        <f t="shared" ref="K12:R12" si="9">K40</f>
        <v>364.5645533531287</v>
      </c>
      <c r="L12" s="56">
        <f t="shared" si="9"/>
        <v>424.6920495778935</v>
      </c>
      <c r="M12" s="56">
        <f t="shared" si="9"/>
        <v>473.21379992181716</v>
      </c>
      <c r="N12" s="56">
        <f t="shared" si="9"/>
        <v>528.24397627447786</v>
      </c>
      <c r="O12" s="56">
        <f t="shared" si="9"/>
        <v>589.97169555201685</v>
      </c>
      <c r="P12" s="56">
        <f t="shared" si="9"/>
        <v>661.67081759830614</v>
      </c>
      <c r="Q12" s="56">
        <f t="shared" si="9"/>
        <v>743.28615565588598</v>
      </c>
      <c r="R12" s="57">
        <f t="shared" si="9"/>
        <v>836.83585169531159</v>
      </c>
    </row>
    <row r="13" spans="3:18" ht="17" thickBot="1" x14ac:dyDescent="0.25">
      <c r="C13" s="24" t="s">
        <v>42</v>
      </c>
      <c r="D13" s="55">
        <f t="shared" si="8"/>
        <v>385.37817629123339</v>
      </c>
      <c r="E13" s="59">
        <f t="shared" si="8"/>
        <v>394.47859881411927</v>
      </c>
      <c r="F13" s="59">
        <f t="shared" si="8"/>
        <v>399.980804562326</v>
      </c>
      <c r="G13" s="59">
        <f t="shared" si="8"/>
        <v>417.59118960297752</v>
      </c>
      <c r="H13" s="59">
        <f t="shared" si="8"/>
        <v>414.46709349717725</v>
      </c>
      <c r="I13" s="59">
        <f t="shared" si="8"/>
        <v>425.13386414999991</v>
      </c>
      <c r="J13" s="59">
        <f t="shared" si="8"/>
        <v>426.71135432533777</v>
      </c>
      <c r="K13" s="59">
        <f t="shared" ref="K13:R13" si="10">K41</f>
        <v>449.43311833919182</v>
      </c>
      <c r="L13" s="59">
        <f t="shared" si="10"/>
        <v>460.14529183978112</v>
      </c>
      <c r="M13" s="59">
        <f t="shared" si="10"/>
        <v>466.38235509787768</v>
      </c>
      <c r="N13" s="59">
        <f t="shared" si="10"/>
        <v>464.43527739442084</v>
      </c>
      <c r="O13" s="59">
        <f t="shared" si="10"/>
        <v>460.13936030832042</v>
      </c>
      <c r="P13" s="59">
        <f t="shared" si="10"/>
        <v>472.35893825226026</v>
      </c>
      <c r="Q13" s="59">
        <f t="shared" si="10"/>
        <v>483.53295154073817</v>
      </c>
      <c r="R13" s="60">
        <f t="shared" si="10"/>
        <v>494.08261294746728</v>
      </c>
    </row>
    <row r="14" spans="3:18" ht="19" thickTop="1" thickBot="1" x14ac:dyDescent="0.25">
      <c r="C14" s="31" t="s">
        <v>45</v>
      </c>
      <c r="D14" s="61">
        <f>SUM(D7:D13)</f>
        <v>40430.521593400001</v>
      </c>
      <c r="E14" s="62">
        <f t="shared" ref="E14:R14" si="11">SUM(E7:E13)</f>
        <v>41375.093957280005</v>
      </c>
      <c r="F14" s="62">
        <f t="shared" si="11"/>
        <v>42690.807602500005</v>
      </c>
      <c r="G14" s="62">
        <f t="shared" si="11"/>
        <v>44500.683306730003</v>
      </c>
      <c r="H14" s="62">
        <f t="shared" si="11"/>
        <v>46243.376265889994</v>
      </c>
      <c r="I14" s="62">
        <f t="shared" si="11"/>
        <v>47679.650492369983</v>
      </c>
      <c r="J14" s="62">
        <f t="shared" si="11"/>
        <v>48775.540229460006</v>
      </c>
      <c r="K14" s="62">
        <f t="shared" si="11"/>
        <v>52364.273177410119</v>
      </c>
      <c r="L14" s="62">
        <f t="shared" si="11"/>
        <v>55719.414532804549</v>
      </c>
      <c r="M14" s="62">
        <f t="shared" si="11"/>
        <v>58641.305534063678</v>
      </c>
      <c r="N14" s="62">
        <f t="shared" si="11"/>
        <v>61086.425199661848</v>
      </c>
      <c r="O14" s="62">
        <f t="shared" si="11"/>
        <v>63511.35210321231</v>
      </c>
      <c r="P14" s="62">
        <f t="shared" si="11"/>
        <v>65892.950381492032</v>
      </c>
      <c r="Q14" s="62">
        <f t="shared" si="11"/>
        <v>68145.838675403138</v>
      </c>
      <c r="R14" s="63">
        <f t="shared" si="11"/>
        <v>70250.480079890665</v>
      </c>
    </row>
    <row r="15" spans="3:18" ht="14" thickTop="1" x14ac:dyDescent="0.15"/>
    <row r="16" spans="3:18" ht="14" thickBot="1" x14ac:dyDescent="0.2"/>
    <row r="17" spans="3:18" ht="17" thickTop="1" x14ac:dyDescent="0.2">
      <c r="C17" s="32" t="s">
        <v>46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</row>
    <row r="18" spans="3:18" ht="14" thickBot="1" x14ac:dyDescent="0.2">
      <c r="C18" s="18"/>
      <c r="D18" s="65" t="s">
        <v>25</v>
      </c>
      <c r="E18" s="65" t="s">
        <v>37</v>
      </c>
      <c r="F18" s="65" t="s">
        <v>38</v>
      </c>
      <c r="G18" s="37" t="s">
        <v>177</v>
      </c>
      <c r="H18" s="37" t="s">
        <v>178</v>
      </c>
      <c r="I18" s="65" t="s">
        <v>26</v>
      </c>
      <c r="J18" s="37" t="s">
        <v>183</v>
      </c>
      <c r="K18" s="65" t="s">
        <v>27</v>
      </c>
      <c r="L18" s="65" t="s">
        <v>28</v>
      </c>
      <c r="M18" s="65" t="s">
        <v>29</v>
      </c>
      <c r="N18" s="65" t="s">
        <v>30</v>
      </c>
      <c r="O18" s="65" t="s">
        <v>31</v>
      </c>
      <c r="P18" s="37" t="s">
        <v>174</v>
      </c>
      <c r="Q18" s="37" t="s">
        <v>175</v>
      </c>
      <c r="R18" s="38" t="s">
        <v>176</v>
      </c>
    </row>
    <row r="19" spans="3:18" ht="15" thickTop="1" thickBot="1" x14ac:dyDescent="0.2">
      <c r="C19" s="70"/>
      <c r="D19" s="71" t="s">
        <v>39</v>
      </c>
      <c r="E19" s="71" t="s">
        <v>39</v>
      </c>
      <c r="F19" s="71" t="s">
        <v>39</v>
      </c>
      <c r="G19" s="71" t="s">
        <v>39</v>
      </c>
      <c r="H19" s="71" t="s">
        <v>39</v>
      </c>
      <c r="I19" s="71" t="s">
        <v>39</v>
      </c>
      <c r="J19" s="71" t="s">
        <v>39</v>
      </c>
      <c r="K19" s="71" t="s">
        <v>32</v>
      </c>
      <c r="L19" s="71" t="s">
        <v>32</v>
      </c>
      <c r="M19" s="71" t="s">
        <v>32</v>
      </c>
      <c r="N19" s="71" t="s">
        <v>32</v>
      </c>
      <c r="O19" s="71" t="s">
        <v>32</v>
      </c>
      <c r="P19" s="65" t="s">
        <v>32</v>
      </c>
      <c r="Q19" s="65" t="s">
        <v>32</v>
      </c>
      <c r="R19" s="66" t="s">
        <v>32</v>
      </c>
    </row>
    <row r="20" spans="3:18" ht="17" thickTop="1" x14ac:dyDescent="0.2">
      <c r="C20" s="24" t="s">
        <v>113</v>
      </c>
      <c r="D20" s="42">
        <f>'Car+SUV'!D42-'Car+SUV'!D165</f>
        <v>2754244</v>
      </c>
      <c r="E20" s="43">
        <f>'Car+SUV'!E42-'Car+SUV'!E165</f>
        <v>2825306.9999999995</v>
      </c>
      <c r="F20" s="43">
        <f>'Car+SUV'!F42-'Car+SUV'!F165</f>
        <v>2922022.0000000005</v>
      </c>
      <c r="G20" s="43">
        <f>'Car+SUV'!G42-'Car+SUV'!G165</f>
        <v>3028799</v>
      </c>
      <c r="H20" s="43">
        <f>'Car+SUV'!H42-'Car+SUV'!H165</f>
        <v>3144783.9999999995</v>
      </c>
      <c r="I20" s="43">
        <f>'Car+SUV'!I42-'Car+SUV'!I165</f>
        <v>3226155.1873411867</v>
      </c>
      <c r="J20" s="43">
        <f>'Car+SUV'!J42-'Car+SUV'!J165</f>
        <v>3298600.5305558695</v>
      </c>
      <c r="K20" s="43">
        <f>'Car+SUV'!K42-'Car+SUV'!K165</f>
        <v>3532927.6671348065</v>
      </c>
      <c r="L20" s="43">
        <f>'Car+SUV'!L42-'Car+SUV'!L165</f>
        <v>3626992.4296765332</v>
      </c>
      <c r="M20" s="43">
        <f>'Car+SUV'!M42-'Car+SUV'!M165</f>
        <v>3670829.4911997928</v>
      </c>
      <c r="N20" s="43">
        <f>'Car+SUV'!N42-'Car+SUV'!N165</f>
        <v>3672604.9560348117</v>
      </c>
      <c r="O20" s="40">
        <f>'Car+SUV'!O42-'Car+SUV'!O165</f>
        <v>3665656.6518624378</v>
      </c>
      <c r="P20" s="40">
        <f>'Car+SUV'!P42-'Car+SUV'!P165</f>
        <v>3596922.474628679</v>
      </c>
      <c r="Q20" s="40">
        <f>'Car+SUV'!Q42-'Car+SUV'!Q165</f>
        <v>3512132.9864089168</v>
      </c>
      <c r="R20" s="41">
        <f>'Car+SUV'!R42-'Car+SUV'!R165</f>
        <v>3412583.326943005</v>
      </c>
    </row>
    <row r="21" spans="3:18" ht="16" x14ac:dyDescent="0.2">
      <c r="C21" s="24" t="s">
        <v>114</v>
      </c>
      <c r="D21" s="42">
        <f>'Van+Ute'!D42-'Van+Ute'!D165</f>
        <v>435330</v>
      </c>
      <c r="E21" s="43">
        <f>'Van+Ute'!E42-'Van+Ute'!E165</f>
        <v>458186.00000000006</v>
      </c>
      <c r="F21" s="43">
        <f>'Van+Ute'!F42-'Van+Ute'!F165</f>
        <v>486009</v>
      </c>
      <c r="G21" s="43">
        <f>'Van+Ute'!G42-'Van+Ute'!G165</f>
        <v>519100.00000000012</v>
      </c>
      <c r="H21" s="43">
        <f>'Van+Ute'!H42-'Van+Ute'!H165</f>
        <v>559842.99999999988</v>
      </c>
      <c r="I21" s="43">
        <f>'Van+Ute'!I42-'Van+Ute'!I165</f>
        <v>611179.05688000412</v>
      </c>
      <c r="J21" s="43">
        <f>'Van+Ute'!J42-'Van+Ute'!J165</f>
        <v>652300.81633981492</v>
      </c>
      <c r="K21" s="43">
        <f>'Van+Ute'!K42-'Van+Ute'!K165</f>
        <v>702248.80049077712</v>
      </c>
      <c r="L21" s="43">
        <f>'Van+Ute'!L42-'Van+Ute'!L165</f>
        <v>747544.73720581399</v>
      </c>
      <c r="M21" s="43">
        <f>'Van+Ute'!M42-'Van+Ute'!M165</f>
        <v>779882.15191719017</v>
      </c>
      <c r="N21" s="43">
        <f>'Van+Ute'!N42-'Van+Ute'!N165</f>
        <v>805985.29511004081</v>
      </c>
      <c r="O21" s="43">
        <f>'Van+Ute'!O42-'Van+Ute'!O165</f>
        <v>833520.3794033305</v>
      </c>
      <c r="P21" s="43">
        <f>'Van+Ute'!P42-'Van+Ute'!P165</f>
        <v>854943.11208806233</v>
      </c>
      <c r="Q21" s="43">
        <f>'Van+Ute'!Q42-'Van+Ute'!Q165</f>
        <v>873796.09977181233</v>
      </c>
      <c r="R21" s="44">
        <f>'Van+Ute'!R42-'Van+Ute'!R165</f>
        <v>888834.76267565822</v>
      </c>
    </row>
    <row r="22" spans="3:18" ht="16" x14ac:dyDescent="0.2">
      <c r="C22" s="24" t="s">
        <v>115</v>
      </c>
      <c r="D22" s="42">
        <f>'Car+SUV'!D165</f>
        <v>7813</v>
      </c>
      <c r="E22" s="43">
        <f>'Car+SUV'!E165</f>
        <v>7938.0000000000009</v>
      </c>
      <c r="F22" s="43">
        <f>'Car+SUV'!F165</f>
        <v>8490</v>
      </c>
      <c r="G22" s="43">
        <f>'Car+SUV'!G165</f>
        <v>9863</v>
      </c>
      <c r="H22" s="43">
        <f>'Car+SUV'!H165</f>
        <v>10350</v>
      </c>
      <c r="I22" s="202">
        <f>'Car+SUV'!I165</f>
        <v>16979.548037889039</v>
      </c>
      <c r="J22" s="202">
        <f>'Car+SUV'!J165</f>
        <v>18750.757953677781</v>
      </c>
      <c r="K22" s="43">
        <f>'Car+SUV'!K165</f>
        <v>21951.143467577454</v>
      </c>
      <c r="L22" s="43">
        <f>'Car+SUV'!L165</f>
        <v>82652.863864617335</v>
      </c>
      <c r="M22" s="43">
        <f>'Car+SUV'!M165</f>
        <v>147463.51841956153</v>
      </c>
      <c r="N22" s="43">
        <f>'Car+SUV'!N165</f>
        <v>215050.07711042592</v>
      </c>
      <c r="O22" s="43">
        <f>'Car+SUV'!O165</f>
        <v>285408.58099841559</v>
      </c>
      <c r="P22" s="43">
        <f>'Car+SUV'!P165</f>
        <v>357747.45716364594</v>
      </c>
      <c r="Q22" s="43">
        <f>'Car+SUV'!Q165</f>
        <v>432055.11848068621</v>
      </c>
      <c r="R22" s="44">
        <f>'Car+SUV'!R165</f>
        <v>508255.82781115355</v>
      </c>
    </row>
    <row r="23" spans="3:18" ht="16" x14ac:dyDescent="0.2">
      <c r="C23" s="24" t="s">
        <v>116</v>
      </c>
      <c r="D23" s="42">
        <f>'Van+Ute'!D165</f>
        <v>2433</v>
      </c>
      <c r="E23" s="43">
        <f>'Van+Ute'!E165</f>
        <v>2426</v>
      </c>
      <c r="F23" s="43">
        <f>'Van+Ute'!F165</f>
        <v>2514</v>
      </c>
      <c r="G23" s="43">
        <f>'Van+Ute'!G165</f>
        <v>2607</v>
      </c>
      <c r="H23" s="43">
        <f>'Van+Ute'!H165</f>
        <v>2927</v>
      </c>
      <c r="I23" s="202">
        <f>'Van+Ute'!I165</f>
        <v>3294.9080749072987</v>
      </c>
      <c r="J23" s="202">
        <f>'Van+Ute'!J165</f>
        <v>3442.1542892367393</v>
      </c>
      <c r="K23" s="43">
        <f>'Van+Ute'!K165</f>
        <v>3991.8188293617391</v>
      </c>
      <c r="L23" s="43">
        <f>'Van+Ute'!L165</f>
        <v>14394.382656733334</v>
      </c>
      <c r="M23" s="43">
        <f>'Van+Ute'!M165</f>
        <v>25375.089287861705</v>
      </c>
      <c r="N23" s="43">
        <f>'Van+Ute'!N165</f>
        <v>36705.078985248576</v>
      </c>
      <c r="O23" s="43">
        <f>'Van+Ute'!O165</f>
        <v>48384.10635038223</v>
      </c>
      <c r="P23" s="43">
        <f>'Van+Ute'!P165</f>
        <v>60262.613435607906</v>
      </c>
      <c r="Q23" s="43">
        <f>'Van+Ute'!Q165</f>
        <v>72344.829486488452</v>
      </c>
      <c r="R23" s="44">
        <f>'Van+Ute'!R165</f>
        <v>84618.935394043991</v>
      </c>
    </row>
    <row r="24" spans="3:18" ht="16" x14ac:dyDescent="0.2">
      <c r="C24" s="24" t="s">
        <v>43</v>
      </c>
      <c r="D24" s="42">
        <f>'Heavy Truck'!D28</f>
        <v>143848</v>
      </c>
      <c r="E24" s="43">
        <f>'Heavy Truck'!E28</f>
        <v>150083</v>
      </c>
      <c r="F24" s="43">
        <f>'Heavy Truck'!F28</f>
        <v>157513</v>
      </c>
      <c r="G24" s="43">
        <f>'Heavy Truck'!G28</f>
        <v>164004</v>
      </c>
      <c r="H24" s="43">
        <f>'Heavy Truck'!H28</f>
        <v>170042</v>
      </c>
      <c r="I24" s="202">
        <f>'Heavy Truck'!I28</f>
        <v>146454</v>
      </c>
      <c r="J24" s="202">
        <f>'Heavy Truck'!J28</f>
        <v>151306</v>
      </c>
      <c r="K24" s="202">
        <f>'Heavy Truck'!K28</f>
        <v>153901.1437978165</v>
      </c>
      <c r="L24" s="43">
        <f>'Heavy Truck'!L28</f>
        <v>158342.62904259309</v>
      </c>
      <c r="M24" s="43">
        <f>'Heavy Truck'!M28</f>
        <v>162471.97561532832</v>
      </c>
      <c r="N24" s="43">
        <f>'Heavy Truck'!N28</f>
        <v>162971.96460365996</v>
      </c>
      <c r="O24" s="43">
        <f>'Heavy Truck'!O28</f>
        <v>163348.76865620245</v>
      </c>
      <c r="P24" s="43">
        <f>'Heavy Truck'!P28</f>
        <v>165790.46804953905</v>
      </c>
      <c r="Q24" s="43">
        <f>'Heavy Truck'!Q28</f>
        <v>168012.80458191145</v>
      </c>
      <c r="R24" s="44">
        <f>'Heavy Truck'!R28</f>
        <v>170025.10263006168</v>
      </c>
    </row>
    <row r="25" spans="3:18" ht="16" x14ac:dyDescent="0.2">
      <c r="C25" s="24" t="s">
        <v>44</v>
      </c>
      <c r="D25" s="42">
        <f>'Heavy Bus'!D28</f>
        <v>8974</v>
      </c>
      <c r="E25" s="43">
        <f>'Heavy Bus'!E28</f>
        <v>9253</v>
      </c>
      <c r="F25" s="43">
        <f>'Heavy Bus'!F28</f>
        <v>9440</v>
      </c>
      <c r="G25" s="43">
        <f>'Heavy Bus'!G28</f>
        <v>9791</v>
      </c>
      <c r="H25" s="43">
        <f>'Heavy Bus'!H28</f>
        <v>10339</v>
      </c>
      <c r="I25" s="202">
        <f>'Heavy Bus'!I28</f>
        <v>10786</v>
      </c>
      <c r="J25" s="202">
        <f>'Heavy Bus'!J28</f>
        <v>11380</v>
      </c>
      <c r="K25" s="43">
        <f>'Heavy Bus'!K28</f>
        <v>13522.777117149966</v>
      </c>
      <c r="L25" s="43">
        <f>'Heavy Bus'!L28</f>
        <v>15825.725442495463</v>
      </c>
      <c r="M25" s="43">
        <f>'Heavy Bus'!M28</f>
        <v>17647.871378487293</v>
      </c>
      <c r="N25" s="43">
        <f>'Heavy Bus'!N28</f>
        <v>19699.360720310862</v>
      </c>
      <c r="O25" s="43">
        <f>'Heavy Bus'!O28</f>
        <v>21987.948642138374</v>
      </c>
      <c r="P25" s="43">
        <f>'Heavy Bus'!P28</f>
        <v>24624.543980797924</v>
      </c>
      <c r="Q25" s="43">
        <f>'Heavy Bus'!Q28</f>
        <v>27616.534960699839</v>
      </c>
      <c r="R25" s="44">
        <f>'Heavy Bus'!R28</f>
        <v>31039.377541998467</v>
      </c>
    </row>
    <row r="26" spans="3:18" ht="17" thickBot="1" x14ac:dyDescent="0.25">
      <c r="C26" s="24" t="s">
        <v>42</v>
      </c>
      <c r="D26" s="42">
        <f>Motorcycle!D42</f>
        <v>143948.00000000003</v>
      </c>
      <c r="E26" s="43">
        <f>Motorcycle!E42</f>
        <v>148565</v>
      </c>
      <c r="F26" s="43">
        <f>Motorcycle!F42</f>
        <v>154673.00000000003</v>
      </c>
      <c r="G26" s="43">
        <f>Motorcycle!G42</f>
        <v>160194</v>
      </c>
      <c r="H26" s="43">
        <f>Motorcycle!H42</f>
        <v>166050</v>
      </c>
      <c r="I26" s="202">
        <f>Motorcycle!I42</f>
        <v>172054</v>
      </c>
      <c r="J26" s="202">
        <f>Motorcycle!J42</f>
        <v>178842</v>
      </c>
      <c r="K26" s="43">
        <f>Motorcycle!K42</f>
        <v>188379.58514710344</v>
      </c>
      <c r="L26" s="43">
        <f>Motorcycle!L42</f>
        <v>192873.16145756986</v>
      </c>
      <c r="M26" s="43">
        <f>Motorcycle!M42</f>
        <v>195499.07091874044</v>
      </c>
      <c r="N26" s="43">
        <f>Motorcycle!N42</f>
        <v>194697.10104179545</v>
      </c>
      <c r="O26" s="43">
        <f>Motorcycle!O42</f>
        <v>192907.37584210592</v>
      </c>
      <c r="P26" s="43">
        <f>Motorcycle!P42</f>
        <v>198040.44791319061</v>
      </c>
      <c r="Q26" s="43">
        <f>Motorcycle!Q42</f>
        <v>202734.38223674739</v>
      </c>
      <c r="R26" s="44">
        <f>Motorcycle!R42</f>
        <v>207165.69293667088</v>
      </c>
    </row>
    <row r="27" spans="3:18" ht="19" thickTop="1" thickBot="1" x14ac:dyDescent="0.25">
      <c r="C27" s="31" t="s">
        <v>45</v>
      </c>
      <c r="D27" s="48">
        <f t="shared" ref="D27:O27" si="12">SUM(D20:D26)</f>
        <v>3496590</v>
      </c>
      <c r="E27" s="48">
        <f t="shared" si="12"/>
        <v>3601757.9999999995</v>
      </c>
      <c r="F27" s="48">
        <f t="shared" si="12"/>
        <v>3740661.0000000005</v>
      </c>
      <c r="G27" s="48">
        <f t="shared" ref="G27:H27" si="13">SUM(G20:G26)</f>
        <v>3894358</v>
      </c>
      <c r="H27" s="48">
        <f t="shared" si="13"/>
        <v>4064334.9999999995</v>
      </c>
      <c r="I27" s="48">
        <f t="shared" si="12"/>
        <v>4186902.7003339874</v>
      </c>
      <c r="J27" s="48">
        <f t="shared" ref="J27" si="14">SUM(J20:J26)</f>
        <v>4314622.259138599</v>
      </c>
      <c r="K27" s="48">
        <f t="shared" si="12"/>
        <v>4616922.935984592</v>
      </c>
      <c r="L27" s="48">
        <f t="shared" si="12"/>
        <v>4838625.9293463565</v>
      </c>
      <c r="M27" s="48">
        <f t="shared" si="12"/>
        <v>4999169.1687369617</v>
      </c>
      <c r="N27" s="48">
        <f t="shared" si="12"/>
        <v>5107713.8336062934</v>
      </c>
      <c r="O27" s="48">
        <f t="shared" si="12"/>
        <v>5211213.8117550127</v>
      </c>
      <c r="P27" s="48">
        <f t="shared" ref="P27:R27" si="15">SUM(P20:P26)</f>
        <v>5258331.1172595229</v>
      </c>
      <c r="Q27" s="48">
        <f t="shared" si="15"/>
        <v>5288692.7559272619</v>
      </c>
      <c r="R27" s="49">
        <f t="shared" si="15"/>
        <v>5302523.0259325923</v>
      </c>
    </row>
    <row r="28" spans="3:18" ht="14" thickTop="1" x14ac:dyDescent="0.15"/>
    <row r="30" spans="3:18" ht="16" x14ac:dyDescent="0.2">
      <c r="C30" s="220" t="s">
        <v>184</v>
      </c>
      <c r="D30" s="132"/>
      <c r="E30" s="132"/>
      <c r="F30" s="132"/>
      <c r="G30" s="132"/>
      <c r="H30" s="132"/>
      <c r="I30" s="132"/>
      <c r="J30" s="132"/>
      <c r="K30" s="132"/>
      <c r="L30" s="132"/>
      <c r="M30" s="132"/>
    </row>
    <row r="31" spans="3:18" ht="14" thickBot="1" x14ac:dyDescent="0.2">
      <c r="D31" s="132"/>
      <c r="E31" s="132"/>
      <c r="F31" s="132"/>
      <c r="G31" s="132"/>
      <c r="H31" s="132"/>
      <c r="I31" s="132"/>
      <c r="J31" s="132"/>
      <c r="K31" s="132"/>
      <c r="L31" s="132"/>
      <c r="M31" s="132"/>
    </row>
    <row r="32" spans="3:18" ht="17" thickTop="1" x14ac:dyDescent="0.2">
      <c r="C32" s="32" t="s">
        <v>47</v>
      </c>
      <c r="D32" s="33"/>
      <c r="E32" s="33"/>
      <c r="F32" s="33"/>
      <c r="G32" s="33"/>
      <c r="H32" s="33"/>
      <c r="I32" s="33"/>
      <c r="J32" s="33"/>
      <c r="K32" s="34"/>
      <c r="L32" s="34"/>
      <c r="M32" s="34"/>
      <c r="N32" s="34"/>
      <c r="O32" s="34"/>
      <c r="P32" s="34"/>
      <c r="Q32" s="34"/>
      <c r="R32" s="35"/>
    </row>
    <row r="33" spans="3:18" ht="14" thickBot="1" x14ac:dyDescent="0.2">
      <c r="C33" s="36"/>
      <c r="D33" s="37" t="s">
        <v>25</v>
      </c>
      <c r="E33" s="37" t="s">
        <v>37</v>
      </c>
      <c r="F33" s="37" t="s">
        <v>38</v>
      </c>
      <c r="G33" s="37" t="s">
        <v>177</v>
      </c>
      <c r="H33" s="37" t="s">
        <v>178</v>
      </c>
      <c r="I33" s="37" t="s">
        <v>26</v>
      </c>
      <c r="J33" s="37" t="s">
        <v>183</v>
      </c>
      <c r="K33" s="37" t="s">
        <v>27</v>
      </c>
      <c r="L33" s="37" t="s">
        <v>28</v>
      </c>
      <c r="M33" s="37" t="s">
        <v>29</v>
      </c>
      <c r="N33" s="37" t="s">
        <v>30</v>
      </c>
      <c r="O33" s="37" t="s">
        <v>31</v>
      </c>
      <c r="P33" s="37" t="s">
        <v>174</v>
      </c>
      <c r="Q33" s="37" t="s">
        <v>175</v>
      </c>
      <c r="R33" s="38" t="s">
        <v>176</v>
      </c>
    </row>
    <row r="34" spans="3:18" ht="15" thickTop="1" thickBot="1" x14ac:dyDescent="0.2">
      <c r="C34" s="70"/>
      <c r="D34" s="65" t="s">
        <v>39</v>
      </c>
      <c r="E34" s="65" t="s">
        <v>39</v>
      </c>
      <c r="F34" s="65" t="s">
        <v>39</v>
      </c>
      <c r="G34" s="65" t="s">
        <v>39</v>
      </c>
      <c r="H34" s="65" t="s">
        <v>39</v>
      </c>
      <c r="I34" s="65" t="s">
        <v>39</v>
      </c>
      <c r="J34" s="65" t="s">
        <v>39</v>
      </c>
      <c r="K34" s="65" t="s">
        <v>32</v>
      </c>
      <c r="L34" s="65" t="s">
        <v>32</v>
      </c>
      <c r="M34" s="65" t="s">
        <v>32</v>
      </c>
      <c r="N34" s="65" t="s">
        <v>32</v>
      </c>
      <c r="O34" s="65" t="s">
        <v>32</v>
      </c>
      <c r="P34" s="65" t="s">
        <v>32</v>
      </c>
      <c r="Q34" s="65" t="s">
        <v>32</v>
      </c>
      <c r="R34" s="66" t="s">
        <v>32</v>
      </c>
    </row>
    <row r="35" spans="3:18" ht="17" thickTop="1" x14ac:dyDescent="0.2">
      <c r="C35" s="27" t="s">
        <v>113</v>
      </c>
      <c r="D35" s="53">
        <f>Summary_Initial!D7</f>
        <v>30613.689355067952</v>
      </c>
      <c r="E35" s="53">
        <f>Summary_Initial!E7</f>
        <v>31098.979572422566</v>
      </c>
      <c r="F35" s="53">
        <f>Summary_Initial!F7</f>
        <v>31876.938732869763</v>
      </c>
      <c r="G35" s="53">
        <f>Summary_Initial!G7</f>
        <v>33051.635057013067</v>
      </c>
      <c r="H35" s="53">
        <f>Summary_Initial!H7</f>
        <v>34121.587861308311</v>
      </c>
      <c r="I35" s="53">
        <f>Summary_Initial!I7</f>
        <v>34739.353769954891</v>
      </c>
      <c r="J35" s="53">
        <f>Summary_Initial!J7</f>
        <v>35098.58829202452</v>
      </c>
      <c r="K35" s="53">
        <f>Summary_Initial!K7</f>
        <v>37650.06057238565</v>
      </c>
      <c r="L35" s="53">
        <f>Summary_Initial!L7</f>
        <v>38223.132664954974</v>
      </c>
      <c r="M35" s="53">
        <f>Summary_Initial!M7</f>
        <v>38442.692707468756</v>
      </c>
      <c r="N35" s="53">
        <f>Summary_Initial!N7</f>
        <v>38259.10835494924</v>
      </c>
      <c r="O35" s="53">
        <f>Summary_Initial!O7</f>
        <v>37948.150675254117</v>
      </c>
      <c r="P35" s="53">
        <f>Summary_Initial!P7</f>
        <v>37560.434326105336</v>
      </c>
      <c r="Q35" s="53">
        <f>Summary_Initial!Q7</f>
        <v>37017.333975346766</v>
      </c>
      <c r="R35" s="54">
        <f>Summary_Initial!R7</f>
        <v>36316.887151734678</v>
      </c>
    </row>
    <row r="36" spans="3:18" ht="16" x14ac:dyDescent="0.2">
      <c r="C36" s="27" t="s">
        <v>114</v>
      </c>
      <c r="D36" s="56">
        <f>Summary_Initial!D8</f>
        <v>6225.763920082044</v>
      </c>
      <c r="E36" s="56">
        <f>Summary_Initial!E8</f>
        <v>6562.575245763288</v>
      </c>
      <c r="F36" s="56">
        <f>Summary_Initial!F8</f>
        <v>6996.3794099640199</v>
      </c>
      <c r="G36" s="56">
        <f>Summary_Initial!G8</f>
        <v>7511.765142262976</v>
      </c>
      <c r="H36" s="56">
        <f>Summary_Initial!H8</f>
        <v>8038.7908779505815</v>
      </c>
      <c r="I36" s="56">
        <f>Summary_Initial!I8</f>
        <v>8663.4125058044647</v>
      </c>
      <c r="J36" s="56">
        <f>Summary_Initial!J8</f>
        <v>9237.5981390832803</v>
      </c>
      <c r="K36" s="56">
        <f>Summary_Initial!K8</f>
        <v>10588.573480615003</v>
      </c>
      <c r="L36" s="56">
        <f>Summary_Initial!L8</f>
        <v>11308.010619470158</v>
      </c>
      <c r="M36" s="56">
        <f>Summary_Initial!M8</f>
        <v>11843.920939752004</v>
      </c>
      <c r="N36" s="56">
        <f>Summary_Initial!N8</f>
        <v>12299.542721687747</v>
      </c>
      <c r="O36" s="56">
        <f>Summary_Initial!O8</f>
        <v>12777.337151008483</v>
      </c>
      <c r="P36" s="56">
        <f>Summary_Initial!P8</f>
        <v>13272.247777652394</v>
      </c>
      <c r="Q36" s="56">
        <f>Summary_Initial!Q8</f>
        <v>13729.531450439939</v>
      </c>
      <c r="R36" s="57">
        <f>Summary_Initial!R8</f>
        <v>14123.287704268952</v>
      </c>
    </row>
    <row r="37" spans="3:18" ht="16" x14ac:dyDescent="0.2">
      <c r="C37" s="27" t="s">
        <v>115</v>
      </c>
      <c r="D37" s="56">
        <f>Summary_Initial!D9</f>
        <v>262.81779245548046</v>
      </c>
      <c r="E37" s="56">
        <f>Summary_Initial!E9</f>
        <v>266.88733686006401</v>
      </c>
      <c r="F37" s="56">
        <f>Summary_Initial!F9</f>
        <v>271.58944823315261</v>
      </c>
      <c r="G37" s="56">
        <f>Summary_Initial!G9</f>
        <v>290.69149218598466</v>
      </c>
      <c r="H37" s="56">
        <f>Summary_Initial!H9</f>
        <v>328.77035123657737</v>
      </c>
      <c r="I37" s="56">
        <f>Summary_Initial!I9</f>
        <v>451.94991590508977</v>
      </c>
      <c r="J37" s="56">
        <f>Summary_Initial!J9</f>
        <v>524.58025185836539</v>
      </c>
      <c r="K37" s="56">
        <f>Summary_Initial!K9</f>
        <v>614.17640834693384</v>
      </c>
      <c r="L37" s="56">
        <f>Summary_Initial!L9</f>
        <v>2309.2958918432519</v>
      </c>
      <c r="M37" s="56">
        <f>Summary_Initial!M9</f>
        <v>4117.8142702534233</v>
      </c>
      <c r="N37" s="56">
        <f>Summary_Initial!N9</f>
        <v>6002.4935206406035</v>
      </c>
      <c r="O37" s="56">
        <f>Summary_Initial!O9</f>
        <v>7963.3593971271002</v>
      </c>
      <c r="P37" s="56">
        <f>Summary_Initial!P9</f>
        <v>9978.2660624523487</v>
      </c>
      <c r="Q37" s="56">
        <f>Summary_Initial!Q9</f>
        <v>12046.956515755641</v>
      </c>
      <c r="R37" s="57">
        <f>Summary_Initial!R9</f>
        <v>14167.332692450718</v>
      </c>
    </row>
    <row r="38" spans="3:18" ht="16" x14ac:dyDescent="0.2">
      <c r="C38" s="27" t="s">
        <v>116</v>
      </c>
      <c r="D38" s="56">
        <f>Summary_Initial!D10</f>
        <v>72.037163507162475</v>
      </c>
      <c r="E38" s="56">
        <f>Summary_Initial!E10</f>
        <v>71.584924474733342</v>
      </c>
      <c r="F38" s="56">
        <f>Summary_Initial!F10</f>
        <v>71.246826967757883</v>
      </c>
      <c r="G38" s="56">
        <f>Summary_Initial!G10</f>
        <v>70.527300522370751</v>
      </c>
      <c r="H38" s="56">
        <f>Summary_Initial!H10</f>
        <v>79.610439330117231</v>
      </c>
      <c r="I38" s="56">
        <f>Summary_Initial!I10</f>
        <v>82.929003905534231</v>
      </c>
      <c r="J38" s="56">
        <f>Summary_Initial!J10</f>
        <v>90.547637102659706</v>
      </c>
      <c r="K38" s="56">
        <f>Summary_Initial!K10</f>
        <v>105.01081351690812</v>
      </c>
      <c r="L38" s="56">
        <f>Summary_Initial!L10</f>
        <v>374.0572440597939</v>
      </c>
      <c r="M38" s="56">
        <f>Summary_Initial!M10</f>
        <v>658.27777714486695</v>
      </c>
      <c r="N38" s="56">
        <f>Summary_Initial!N10</f>
        <v>951.79996562575241</v>
      </c>
      <c r="O38" s="56">
        <f>Summary_Initial!O10</f>
        <v>1254.6611127187289</v>
      </c>
      <c r="P38" s="56">
        <f>Summary_Initial!P10</f>
        <v>1562.9403339491473</v>
      </c>
      <c r="Q38" s="56">
        <f>Summary_Initial!Q10</f>
        <v>1876.798446993603</v>
      </c>
      <c r="R38" s="57">
        <f>Summary_Initial!R10</f>
        <v>2195.9307645632066</v>
      </c>
    </row>
    <row r="39" spans="3:18" ht="16" x14ac:dyDescent="0.2">
      <c r="C39" s="27" t="s">
        <v>43</v>
      </c>
      <c r="D39" s="56">
        <f>Summary_Initial!D11</f>
        <v>2625.5817312218246</v>
      </c>
      <c r="E39" s="56">
        <f>Summary_Initial!E11</f>
        <v>2725.0931923571188</v>
      </c>
      <c r="F39" s="56">
        <f>Summary_Initial!F11</f>
        <v>2811.1511205060533</v>
      </c>
      <c r="G39" s="56">
        <f>Summary_Initial!G11</f>
        <v>2886.4625296213922</v>
      </c>
      <c r="H39" s="56">
        <f>Summary_Initial!H11</f>
        <v>2974.6447783585722</v>
      </c>
      <c r="I39" s="56">
        <f>Summary_Initial!I11</f>
        <v>3017.6676879199986</v>
      </c>
      <c r="J39" s="56">
        <f>Summary_Initial!J11</f>
        <v>3077.2057648425744</v>
      </c>
      <c r="K39" s="56">
        <f>Summary_Initial!K11</f>
        <v>3130.2408819958014</v>
      </c>
      <c r="L39" s="56">
        <f>Summary_Initial!L11</f>
        <v>3229.0160857382652</v>
      </c>
      <c r="M39" s="56">
        <f>Summary_Initial!M11</f>
        <v>3321.0269384109019</v>
      </c>
      <c r="N39" s="56">
        <f>Summary_Initial!N11</f>
        <v>3344.8507252526656</v>
      </c>
      <c r="O39" s="56">
        <f>Summary_Initial!O11</f>
        <v>3365.486436051558</v>
      </c>
      <c r="P39" s="56">
        <f>Summary_Initial!P11</f>
        <v>3421.0881646543467</v>
      </c>
      <c r="Q39" s="56">
        <f>Summary_Initial!Q11</f>
        <v>3471.9095089732086</v>
      </c>
      <c r="R39" s="57">
        <f>Summary_Initial!R11</f>
        <v>3518.1522161182356</v>
      </c>
    </row>
    <row r="40" spans="3:18" ht="16" x14ac:dyDescent="0.2">
      <c r="C40" s="27" t="s">
        <v>44</v>
      </c>
      <c r="D40" s="56">
        <f>Summary_Initial!D12</f>
        <v>245.25345477429616</v>
      </c>
      <c r="E40" s="56">
        <f>Summary_Initial!E12</f>
        <v>255.49508658811862</v>
      </c>
      <c r="F40" s="56">
        <f>Summary_Initial!F12</f>
        <v>263.52125939693201</v>
      </c>
      <c r="G40" s="56">
        <f>Summary_Initial!G12</f>
        <v>272.01059552122399</v>
      </c>
      <c r="H40" s="56">
        <f>Summary_Initial!H12</f>
        <v>285.50486420865337</v>
      </c>
      <c r="I40" s="56">
        <f>Summary_Initial!I12</f>
        <v>299.20374473000015</v>
      </c>
      <c r="J40" s="56">
        <f>Summary_Initial!J12</f>
        <v>320.30879022326218</v>
      </c>
      <c r="K40" s="56">
        <f>Summary_Initial!K12</f>
        <v>364.5645533531287</v>
      </c>
      <c r="L40" s="56">
        <f>Summary_Initial!L12</f>
        <v>424.6920495778935</v>
      </c>
      <c r="M40" s="56">
        <f>Summary_Initial!M12</f>
        <v>473.21379992181716</v>
      </c>
      <c r="N40" s="56">
        <f>Summary_Initial!N12</f>
        <v>528.24397627447786</v>
      </c>
      <c r="O40" s="56">
        <f>Summary_Initial!O12</f>
        <v>589.97169555201685</v>
      </c>
      <c r="P40" s="56">
        <f>Summary_Initial!P12</f>
        <v>661.67081759830614</v>
      </c>
      <c r="Q40" s="56">
        <f>Summary_Initial!Q12</f>
        <v>743.28615565588598</v>
      </c>
      <c r="R40" s="57">
        <f>Summary_Initial!R12</f>
        <v>836.83585169531159</v>
      </c>
    </row>
    <row r="41" spans="3:18" ht="17" thickBot="1" x14ac:dyDescent="0.25">
      <c r="C41" s="27" t="s">
        <v>42</v>
      </c>
      <c r="D41" s="59">
        <f>Summary_Initial!D13</f>
        <v>385.37817629123339</v>
      </c>
      <c r="E41" s="56">
        <f>Summary_Initial!E13</f>
        <v>394.47859881411927</v>
      </c>
      <c r="F41" s="56">
        <f>Summary_Initial!F13</f>
        <v>399.980804562326</v>
      </c>
      <c r="G41" s="56">
        <f>Summary_Initial!G13</f>
        <v>417.59118960297752</v>
      </c>
      <c r="H41" s="56">
        <f>Summary_Initial!H13</f>
        <v>414.46709349717725</v>
      </c>
      <c r="I41" s="56">
        <f>Summary_Initial!I13</f>
        <v>425.13386414999991</v>
      </c>
      <c r="J41" s="56">
        <f>Summary_Initial!J13</f>
        <v>426.71135432533777</v>
      </c>
      <c r="K41" s="56">
        <f>Summary_Initial!K13</f>
        <v>449.43311833919182</v>
      </c>
      <c r="L41" s="56">
        <f>Summary_Initial!L13</f>
        <v>460.14529183978112</v>
      </c>
      <c r="M41" s="56">
        <f>Summary_Initial!M13</f>
        <v>466.38235509787768</v>
      </c>
      <c r="N41" s="56">
        <f>Summary_Initial!N13</f>
        <v>464.43527739442084</v>
      </c>
      <c r="O41" s="56">
        <f>Summary_Initial!O13</f>
        <v>460.13936030832042</v>
      </c>
      <c r="P41" s="56">
        <f>Summary_Initial!P13</f>
        <v>472.35893825226026</v>
      </c>
      <c r="Q41" s="56">
        <f>Summary_Initial!Q13</f>
        <v>483.53295154073817</v>
      </c>
      <c r="R41" s="60">
        <f>Summary_Initial!R13</f>
        <v>494.08261294746728</v>
      </c>
    </row>
    <row r="42" spans="3:18" ht="19" thickTop="1" thickBot="1" x14ac:dyDescent="0.25">
      <c r="C42" s="31" t="s">
        <v>45</v>
      </c>
      <c r="D42" s="221">
        <f>SUM(D35:D41)</f>
        <v>40430.521593400001</v>
      </c>
      <c r="E42" s="62">
        <f t="shared" ref="E42:R42" si="16">SUM(E35:E41)</f>
        <v>41375.093957280005</v>
      </c>
      <c r="F42" s="62">
        <f t="shared" si="16"/>
        <v>42690.807602500005</v>
      </c>
      <c r="G42" s="62">
        <f t="shared" si="16"/>
        <v>44500.683306730003</v>
      </c>
      <c r="H42" s="62">
        <f t="shared" si="16"/>
        <v>46243.376265889994</v>
      </c>
      <c r="I42" s="62">
        <f t="shared" si="16"/>
        <v>47679.650492369983</v>
      </c>
      <c r="J42" s="62">
        <f t="shared" si="16"/>
        <v>48775.540229460006</v>
      </c>
      <c r="K42" s="62">
        <f t="shared" si="16"/>
        <v>52902.059828552614</v>
      </c>
      <c r="L42" s="62">
        <f t="shared" si="16"/>
        <v>56328.349847484118</v>
      </c>
      <c r="M42" s="62">
        <f t="shared" si="16"/>
        <v>59323.32878804965</v>
      </c>
      <c r="N42" s="62">
        <f t="shared" si="16"/>
        <v>61850.474541824908</v>
      </c>
      <c r="O42" s="62">
        <f t="shared" si="16"/>
        <v>64359.105828020329</v>
      </c>
      <c r="P42" s="62">
        <f t="shared" si="16"/>
        <v>66929.00642066414</v>
      </c>
      <c r="Q42" s="62">
        <f t="shared" si="16"/>
        <v>69369.349004705786</v>
      </c>
      <c r="R42" s="63">
        <f t="shared" si="16"/>
        <v>71652.508993778581</v>
      </c>
    </row>
    <row r="43" spans="3:18" ht="14" thickTop="1" x14ac:dyDescent="0.15"/>
    <row r="44" spans="3:18" ht="14" thickBot="1" x14ac:dyDescent="0.2"/>
    <row r="45" spans="3:18" ht="17" thickTop="1" x14ac:dyDescent="0.2">
      <c r="C45" s="32" t="s">
        <v>46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5"/>
    </row>
    <row r="46" spans="3:18" ht="14" thickBot="1" x14ac:dyDescent="0.2">
      <c r="C46" s="18"/>
      <c r="D46" s="65" t="s">
        <v>25</v>
      </c>
      <c r="E46" s="65" t="s">
        <v>37</v>
      </c>
      <c r="F46" s="65" t="s">
        <v>38</v>
      </c>
      <c r="G46" s="37" t="s">
        <v>177</v>
      </c>
      <c r="H46" s="37" t="s">
        <v>178</v>
      </c>
      <c r="I46" s="65" t="s">
        <v>26</v>
      </c>
      <c r="J46" s="37" t="s">
        <v>183</v>
      </c>
      <c r="K46" s="65" t="s">
        <v>27</v>
      </c>
      <c r="L46" s="65" t="s">
        <v>28</v>
      </c>
      <c r="M46" s="65" t="s">
        <v>29</v>
      </c>
      <c r="N46" s="65" t="s">
        <v>30</v>
      </c>
      <c r="O46" s="65" t="s">
        <v>31</v>
      </c>
      <c r="P46" s="37" t="s">
        <v>174</v>
      </c>
      <c r="Q46" s="37" t="s">
        <v>175</v>
      </c>
      <c r="R46" s="38" t="s">
        <v>176</v>
      </c>
    </row>
    <row r="47" spans="3:18" ht="15" thickTop="1" thickBot="1" x14ac:dyDescent="0.2">
      <c r="C47" s="70"/>
      <c r="D47" s="33" t="s">
        <v>39</v>
      </c>
      <c r="E47" s="71" t="s">
        <v>39</v>
      </c>
      <c r="F47" s="71" t="s">
        <v>39</v>
      </c>
      <c r="G47" s="71" t="s">
        <v>39</v>
      </c>
      <c r="H47" s="71" t="s">
        <v>39</v>
      </c>
      <c r="I47" s="71" t="s">
        <v>39</v>
      </c>
      <c r="J47" s="71" t="s">
        <v>39</v>
      </c>
      <c r="K47" s="71" t="s">
        <v>32</v>
      </c>
      <c r="L47" s="71" t="s">
        <v>32</v>
      </c>
      <c r="M47" s="71" t="s">
        <v>32</v>
      </c>
      <c r="N47" s="71" t="s">
        <v>32</v>
      </c>
      <c r="O47" s="71" t="s">
        <v>32</v>
      </c>
      <c r="P47" s="65" t="s">
        <v>32</v>
      </c>
      <c r="Q47" s="65" t="s">
        <v>32</v>
      </c>
      <c r="R47" s="66" t="s">
        <v>32</v>
      </c>
    </row>
    <row r="48" spans="3:18" ht="17" thickTop="1" x14ac:dyDescent="0.2">
      <c r="C48" s="27" t="s">
        <v>113</v>
      </c>
      <c r="D48" s="40">
        <f>Summary_Initial!D20</f>
        <v>2754244</v>
      </c>
      <c r="E48" s="43">
        <f>Summary_Initial!E20</f>
        <v>2825306.9999999995</v>
      </c>
      <c r="F48" s="43">
        <f>Summary_Initial!F20</f>
        <v>2922022.0000000005</v>
      </c>
      <c r="G48" s="43">
        <f>Summary_Initial!G20</f>
        <v>3028799</v>
      </c>
      <c r="H48" s="43">
        <f>Summary_Initial!H20</f>
        <v>3144783.9999999995</v>
      </c>
      <c r="I48" s="43">
        <f>Summary_Initial!I20</f>
        <v>3226155.1873411867</v>
      </c>
      <c r="J48" s="43">
        <f>Summary_Initial!J20</f>
        <v>3298600.5305558695</v>
      </c>
      <c r="K48" s="43">
        <f>Summary_Initial!K20</f>
        <v>3532927.6671348065</v>
      </c>
      <c r="L48" s="43">
        <f>Summary_Initial!L20</f>
        <v>3626992.4296765332</v>
      </c>
      <c r="M48" s="43">
        <f>Summary_Initial!M20</f>
        <v>3670829.4911997928</v>
      </c>
      <c r="N48" s="43">
        <f>Summary_Initial!N20</f>
        <v>3672604.9560348117</v>
      </c>
      <c r="O48" s="43">
        <f>Summary_Initial!O20</f>
        <v>3665656.6518624378</v>
      </c>
      <c r="P48" s="40">
        <f>Summary_Initial!P20</f>
        <v>3596922.474628679</v>
      </c>
      <c r="Q48" s="40">
        <f>Summary_Initial!Q20</f>
        <v>3512132.9864089168</v>
      </c>
      <c r="R48" s="41">
        <f>Summary_Initial!R20</f>
        <v>3412583.326943005</v>
      </c>
    </row>
    <row r="49" spans="3:18" ht="16" x14ac:dyDescent="0.2">
      <c r="C49" s="27" t="s">
        <v>114</v>
      </c>
      <c r="D49" s="43">
        <f>Summary_Initial!D21</f>
        <v>435330</v>
      </c>
      <c r="E49" s="43">
        <f>Summary_Initial!E21</f>
        <v>458186.00000000006</v>
      </c>
      <c r="F49" s="43">
        <f>Summary_Initial!F21</f>
        <v>486009</v>
      </c>
      <c r="G49" s="43">
        <f>Summary_Initial!G21</f>
        <v>519100.00000000012</v>
      </c>
      <c r="H49" s="43">
        <f>Summary_Initial!H21</f>
        <v>559842.99999999988</v>
      </c>
      <c r="I49" s="43">
        <f>Summary_Initial!I21</f>
        <v>611179.05688000412</v>
      </c>
      <c r="J49" s="43">
        <f>Summary_Initial!J21</f>
        <v>652300.81633981492</v>
      </c>
      <c r="K49" s="43">
        <f>Summary_Initial!K21</f>
        <v>702248.80049077712</v>
      </c>
      <c r="L49" s="43">
        <f>Summary_Initial!L21</f>
        <v>747544.73720581399</v>
      </c>
      <c r="M49" s="43">
        <f>Summary_Initial!M21</f>
        <v>779882.15191719017</v>
      </c>
      <c r="N49" s="43">
        <f>Summary_Initial!N21</f>
        <v>805985.29511004081</v>
      </c>
      <c r="O49" s="43">
        <f>Summary_Initial!O21</f>
        <v>833520.3794033305</v>
      </c>
      <c r="P49" s="43">
        <f>Summary_Initial!P21</f>
        <v>854943.11208806233</v>
      </c>
      <c r="Q49" s="43">
        <f>Summary_Initial!Q21</f>
        <v>873796.09977181233</v>
      </c>
      <c r="R49" s="44">
        <f>Summary_Initial!R21</f>
        <v>888834.76267565822</v>
      </c>
    </row>
    <row r="50" spans="3:18" ht="16" x14ac:dyDescent="0.2">
      <c r="C50" s="27" t="s">
        <v>115</v>
      </c>
      <c r="D50" s="43">
        <f>Summary_Initial!D22</f>
        <v>7813</v>
      </c>
      <c r="E50" s="43">
        <f>Summary_Initial!E22</f>
        <v>7938.0000000000009</v>
      </c>
      <c r="F50" s="43">
        <f>Summary_Initial!F22</f>
        <v>8490</v>
      </c>
      <c r="G50" s="43">
        <f>Summary_Initial!G22</f>
        <v>9863</v>
      </c>
      <c r="H50" s="43">
        <f>Summary_Initial!H22</f>
        <v>10350</v>
      </c>
      <c r="I50" s="43">
        <f>Summary_Initial!I22</f>
        <v>16979.548037889039</v>
      </c>
      <c r="J50" s="43">
        <f>Summary_Initial!J22</f>
        <v>18750.757953677781</v>
      </c>
      <c r="K50" s="43">
        <f>Summary_Initial!K22</f>
        <v>21951.143467577454</v>
      </c>
      <c r="L50" s="43">
        <f>Summary_Initial!L22</f>
        <v>82652.863864617335</v>
      </c>
      <c r="M50" s="43">
        <f>Summary_Initial!M22</f>
        <v>147463.51841956153</v>
      </c>
      <c r="N50" s="43">
        <f>Summary_Initial!N22</f>
        <v>215050.07711042592</v>
      </c>
      <c r="O50" s="43">
        <f>Summary_Initial!O22</f>
        <v>285408.58099841559</v>
      </c>
      <c r="P50" s="43">
        <f>Summary_Initial!P22</f>
        <v>357747.45716364594</v>
      </c>
      <c r="Q50" s="43">
        <f>Summary_Initial!Q22</f>
        <v>432055.11848068621</v>
      </c>
      <c r="R50" s="44">
        <f>Summary_Initial!R22</f>
        <v>508255.82781115355</v>
      </c>
    </row>
    <row r="51" spans="3:18" ht="16" x14ac:dyDescent="0.2">
      <c r="C51" s="27" t="s">
        <v>116</v>
      </c>
      <c r="D51" s="43">
        <f>Summary_Initial!D23</f>
        <v>2433</v>
      </c>
      <c r="E51" s="43">
        <f>Summary_Initial!E23</f>
        <v>2426</v>
      </c>
      <c r="F51" s="43">
        <f>Summary_Initial!F23</f>
        <v>2514</v>
      </c>
      <c r="G51" s="43">
        <f>Summary_Initial!G23</f>
        <v>2607</v>
      </c>
      <c r="H51" s="43">
        <f>Summary_Initial!H23</f>
        <v>2927</v>
      </c>
      <c r="I51" s="43">
        <f>Summary_Initial!I23</f>
        <v>3294.9080749072987</v>
      </c>
      <c r="J51" s="43">
        <f>Summary_Initial!J23</f>
        <v>3442.1542892367393</v>
      </c>
      <c r="K51" s="43">
        <f>Summary_Initial!K23</f>
        <v>3991.8188293617391</v>
      </c>
      <c r="L51" s="43">
        <f>Summary_Initial!L23</f>
        <v>14394.382656733334</v>
      </c>
      <c r="M51" s="43">
        <f>Summary_Initial!M23</f>
        <v>25375.089287861705</v>
      </c>
      <c r="N51" s="43">
        <f>Summary_Initial!N23</f>
        <v>36705.078985248576</v>
      </c>
      <c r="O51" s="43">
        <f>Summary_Initial!O23</f>
        <v>48384.10635038223</v>
      </c>
      <c r="P51" s="43">
        <f>Summary_Initial!P23</f>
        <v>60262.613435607906</v>
      </c>
      <c r="Q51" s="43">
        <f>Summary_Initial!Q23</f>
        <v>72344.829486488452</v>
      </c>
      <c r="R51" s="44">
        <f>Summary_Initial!R23</f>
        <v>84618.935394043991</v>
      </c>
    </row>
    <row r="52" spans="3:18" ht="16" x14ac:dyDescent="0.2">
      <c r="C52" s="27" t="s">
        <v>43</v>
      </c>
      <c r="D52" s="43">
        <f>Summary_Initial!D24</f>
        <v>143848</v>
      </c>
      <c r="E52" s="43">
        <f>Summary_Initial!E24</f>
        <v>150083</v>
      </c>
      <c r="F52" s="43">
        <f>Summary_Initial!F24</f>
        <v>157513</v>
      </c>
      <c r="G52" s="43">
        <f>Summary_Initial!G24</f>
        <v>164004</v>
      </c>
      <c r="H52" s="43">
        <f>Summary_Initial!H24</f>
        <v>170042</v>
      </c>
      <c r="I52" s="43">
        <f>Summary_Initial!I24</f>
        <v>146454</v>
      </c>
      <c r="J52" s="43">
        <f>Summary_Initial!J24</f>
        <v>151306</v>
      </c>
      <c r="K52" s="43">
        <f>Summary_Initial!K24</f>
        <v>153901.1437978165</v>
      </c>
      <c r="L52" s="43">
        <f>Summary_Initial!L24</f>
        <v>158342.62904259309</v>
      </c>
      <c r="M52" s="43">
        <f>Summary_Initial!M24</f>
        <v>162471.97561532832</v>
      </c>
      <c r="N52" s="43">
        <f>Summary_Initial!N24</f>
        <v>162971.96460365996</v>
      </c>
      <c r="O52" s="43">
        <f>Summary_Initial!O24</f>
        <v>163348.76865620245</v>
      </c>
      <c r="P52" s="43">
        <f>Summary_Initial!P24</f>
        <v>165790.46804953905</v>
      </c>
      <c r="Q52" s="43">
        <f>Summary_Initial!Q24</f>
        <v>168012.80458191145</v>
      </c>
      <c r="R52" s="44">
        <f>Summary_Initial!R24</f>
        <v>170025.10263006168</v>
      </c>
    </row>
    <row r="53" spans="3:18" ht="16" x14ac:dyDescent="0.2">
      <c r="C53" s="27" t="s">
        <v>44</v>
      </c>
      <c r="D53" s="43">
        <f>Summary_Initial!D25</f>
        <v>8974</v>
      </c>
      <c r="E53" s="43">
        <f>Summary_Initial!E25</f>
        <v>9253</v>
      </c>
      <c r="F53" s="43">
        <f>Summary_Initial!F25</f>
        <v>9440</v>
      </c>
      <c r="G53" s="43">
        <f>Summary_Initial!G25</f>
        <v>9791</v>
      </c>
      <c r="H53" s="43">
        <f>Summary_Initial!H25</f>
        <v>10339</v>
      </c>
      <c r="I53" s="43">
        <f>Summary_Initial!I25</f>
        <v>10786</v>
      </c>
      <c r="J53" s="43">
        <f>Summary_Initial!J25</f>
        <v>11380</v>
      </c>
      <c r="K53" s="43">
        <f>Summary_Initial!K25</f>
        <v>13522.777117149966</v>
      </c>
      <c r="L53" s="43">
        <f>Summary_Initial!L25</f>
        <v>15825.725442495463</v>
      </c>
      <c r="M53" s="43">
        <f>Summary_Initial!M25</f>
        <v>17647.871378487293</v>
      </c>
      <c r="N53" s="43">
        <f>Summary_Initial!N25</f>
        <v>19699.360720310862</v>
      </c>
      <c r="O53" s="43">
        <f>Summary_Initial!O25</f>
        <v>21987.948642138374</v>
      </c>
      <c r="P53" s="43">
        <f>Summary_Initial!P25</f>
        <v>24624.543980797924</v>
      </c>
      <c r="Q53" s="43">
        <f>Summary_Initial!Q25</f>
        <v>27616.534960699839</v>
      </c>
      <c r="R53" s="44">
        <f>Summary_Initial!R25</f>
        <v>31039.377541998467</v>
      </c>
    </row>
    <row r="54" spans="3:18" ht="17" thickBot="1" x14ac:dyDescent="0.25">
      <c r="C54" s="27" t="s">
        <v>42</v>
      </c>
      <c r="D54" s="46">
        <f>Summary_Initial!D26</f>
        <v>143948.00000000003</v>
      </c>
      <c r="E54" s="43">
        <f>Summary_Initial!E26</f>
        <v>148565</v>
      </c>
      <c r="F54" s="43">
        <f>Summary_Initial!F26</f>
        <v>154673.00000000003</v>
      </c>
      <c r="G54" s="43">
        <f>Summary_Initial!G26</f>
        <v>160194</v>
      </c>
      <c r="H54" s="43">
        <f>Summary_Initial!H26</f>
        <v>166050</v>
      </c>
      <c r="I54" s="43">
        <f>Summary_Initial!I26</f>
        <v>172054</v>
      </c>
      <c r="J54" s="43">
        <f>Summary_Initial!J26</f>
        <v>178842</v>
      </c>
      <c r="K54" s="43">
        <f>Summary_Initial!K26</f>
        <v>188379.58514710344</v>
      </c>
      <c r="L54" s="43">
        <f>Summary_Initial!L26</f>
        <v>192873.16145756986</v>
      </c>
      <c r="M54" s="43">
        <f>Summary_Initial!M26</f>
        <v>195499.07091874044</v>
      </c>
      <c r="N54" s="43">
        <f>Summary_Initial!N26</f>
        <v>194697.10104179545</v>
      </c>
      <c r="O54" s="43">
        <f>Summary_Initial!O26</f>
        <v>192907.37584210592</v>
      </c>
      <c r="P54" s="43">
        <f>Summary_Initial!P26</f>
        <v>198040.44791319061</v>
      </c>
      <c r="Q54" s="43">
        <f>Summary_Initial!Q26</f>
        <v>202734.38223674739</v>
      </c>
      <c r="R54" s="47">
        <f>Summary_Initial!R26</f>
        <v>207165.69293667088</v>
      </c>
    </row>
    <row r="55" spans="3:18" ht="19" thickTop="1" thickBot="1" x14ac:dyDescent="0.25">
      <c r="C55" s="31" t="s">
        <v>45</v>
      </c>
      <c r="D55" s="46">
        <f t="shared" ref="D55:F55" si="17">SUM(D48:D54)</f>
        <v>3496590</v>
      </c>
      <c r="E55" s="48">
        <f t="shared" si="17"/>
        <v>3601757.9999999995</v>
      </c>
      <c r="F55" s="48">
        <f t="shared" si="17"/>
        <v>3740661.0000000005</v>
      </c>
      <c r="G55" s="48">
        <f t="shared" ref="G55:H55" si="18">SUM(G48:G54)</f>
        <v>3894358</v>
      </c>
      <c r="H55" s="48">
        <f t="shared" si="18"/>
        <v>4064334.9999999995</v>
      </c>
      <c r="I55" s="48">
        <f t="shared" ref="I55" si="19">SUM(I48:I54)</f>
        <v>4186902.7003339874</v>
      </c>
      <c r="J55" s="48">
        <f t="shared" ref="J55" si="20">SUM(J48:J54)</f>
        <v>4314622.259138599</v>
      </c>
      <c r="K55" s="48">
        <f t="shared" ref="K55:O55" si="21">SUM(K48:K54)</f>
        <v>4616922.935984592</v>
      </c>
      <c r="L55" s="48">
        <f t="shared" si="21"/>
        <v>4838625.9293463565</v>
      </c>
      <c r="M55" s="48">
        <f t="shared" si="21"/>
        <v>4999169.1687369617</v>
      </c>
      <c r="N55" s="48">
        <f t="shared" si="21"/>
        <v>5107713.8336062934</v>
      </c>
      <c r="O55" s="48">
        <f t="shared" si="21"/>
        <v>5211213.8117550127</v>
      </c>
      <c r="P55" s="48">
        <f t="shared" ref="P55:R55" si="22">SUM(P48:P54)</f>
        <v>5258331.1172595229</v>
      </c>
      <c r="Q55" s="48">
        <f t="shared" si="22"/>
        <v>5288692.7559272619</v>
      </c>
      <c r="R55" s="49">
        <f t="shared" si="22"/>
        <v>5302523.0259325923</v>
      </c>
    </row>
    <row r="56" spans="3:18" ht="14" thickTop="1" x14ac:dyDescent="0.15"/>
    <row r="58" spans="3:18" ht="16" x14ac:dyDescent="0.2">
      <c r="C58" s="220" t="s">
        <v>188</v>
      </c>
    </row>
    <row r="59" spans="3:18" ht="16" x14ac:dyDescent="0.2">
      <c r="C59" s="27" t="s">
        <v>114</v>
      </c>
      <c r="D59" s="145">
        <f>D36/D49*10^6</f>
        <v>14301.251740247728</v>
      </c>
      <c r="E59" s="145">
        <f t="shared" ref="E59:R59" si="23">E36/E49*10^6</f>
        <v>14322.950168192147</v>
      </c>
      <c r="F59" s="145">
        <f t="shared" si="23"/>
        <v>14395.57582259592</v>
      </c>
      <c r="G59" s="145">
        <f t="shared" si="23"/>
        <v>14470.747721562271</v>
      </c>
      <c r="H59" s="145">
        <f t="shared" si="23"/>
        <v>14359.009361464881</v>
      </c>
      <c r="I59" s="145">
        <f t="shared" si="23"/>
        <v>14174.917167532127</v>
      </c>
      <c r="J59" s="145">
        <f t="shared" si="23"/>
        <v>14161.561518376162</v>
      </c>
      <c r="K59" s="145">
        <f t="shared" si="23"/>
        <v>15078.094078929034</v>
      </c>
      <c r="L59" s="145">
        <f t="shared" si="23"/>
        <v>15126.868074461257</v>
      </c>
      <c r="M59" s="145">
        <f t="shared" si="23"/>
        <v>15186.808559006004</v>
      </c>
      <c r="N59" s="145">
        <f t="shared" si="23"/>
        <v>15260.256975294438</v>
      </c>
      <c r="O59" s="145">
        <f t="shared" si="23"/>
        <v>15329.363824499465</v>
      </c>
      <c r="P59" s="145">
        <f t="shared" si="23"/>
        <v>15524.129722780086</v>
      </c>
      <c r="Q59" s="145">
        <f t="shared" si="23"/>
        <v>15712.511710712994</v>
      </c>
      <c r="R59" s="145">
        <f t="shared" si="23"/>
        <v>15889.666220697349</v>
      </c>
    </row>
    <row r="60" spans="3:18" ht="16" x14ac:dyDescent="0.2">
      <c r="C60" s="27" t="s">
        <v>116</v>
      </c>
      <c r="D60" s="145">
        <f>D38/D51*10^6</f>
        <v>29608.36971112309</v>
      </c>
      <c r="E60" s="145">
        <f t="shared" ref="E60:R60" si="24">E38/E51*10^6</f>
        <v>29507.388489172856</v>
      </c>
      <c r="F60" s="145">
        <f t="shared" si="24"/>
        <v>28340.02663793074</v>
      </c>
      <c r="G60" s="145">
        <f t="shared" si="24"/>
        <v>27053.04968253577</v>
      </c>
      <c r="H60" s="145">
        <f t="shared" si="24"/>
        <v>27198.646850057132</v>
      </c>
      <c r="I60" s="145">
        <f t="shared" si="24"/>
        <v>25168.836890196824</v>
      </c>
      <c r="J60" s="145">
        <f t="shared" si="24"/>
        <v>26305.513784141753</v>
      </c>
      <c r="K60" s="145">
        <f t="shared" si="24"/>
        <v>26306.507886706502</v>
      </c>
      <c r="L60" s="145">
        <f t="shared" si="24"/>
        <v>25986.334598713704</v>
      </c>
      <c r="M60" s="145">
        <f t="shared" si="24"/>
        <v>25941.890082718142</v>
      </c>
      <c r="N60" s="145">
        <f t="shared" si="24"/>
        <v>25931.015323745029</v>
      </c>
      <c r="O60" s="145">
        <f t="shared" si="24"/>
        <v>25931.265602652125</v>
      </c>
      <c r="P60" s="145">
        <f t="shared" si="24"/>
        <v>25935.488768989213</v>
      </c>
      <c r="Q60" s="145">
        <f t="shared" si="24"/>
        <v>25942.399205517857</v>
      </c>
      <c r="R60" s="145">
        <f t="shared" si="24"/>
        <v>25950.820042079729</v>
      </c>
    </row>
    <row r="61" spans="3:18" ht="16" x14ac:dyDescent="0.2">
      <c r="C61" s="50" t="s">
        <v>186</v>
      </c>
      <c r="D61" s="145">
        <f>(D36+D38)*10^6/(D49+D51)</f>
        <v>14386.325668430651</v>
      </c>
      <c r="E61" s="145">
        <f t="shared" ref="E61:R61" si="25">(E36+E38)*10^6/(E49+E51)</f>
        <v>14402.925173981615</v>
      </c>
      <c r="F61" s="145">
        <f t="shared" si="25"/>
        <v>14467.335697463122</v>
      </c>
      <c r="G61" s="145">
        <f t="shared" si="25"/>
        <v>14533.6222109064</v>
      </c>
      <c r="H61" s="145">
        <f t="shared" si="25"/>
        <v>14425.789074187858</v>
      </c>
      <c r="I61" s="145">
        <f t="shared" si="25"/>
        <v>14233.868330535021</v>
      </c>
      <c r="J61" s="145">
        <f t="shared" si="25"/>
        <v>14225.308076482293</v>
      </c>
      <c r="K61" s="145">
        <f t="shared" si="25"/>
        <v>15141.559408500279</v>
      </c>
      <c r="L61" s="145">
        <f t="shared" si="25"/>
        <v>15332.022676086481</v>
      </c>
      <c r="M61" s="145">
        <f t="shared" si="25"/>
        <v>15525.72032533054</v>
      </c>
      <c r="N61" s="145">
        <f t="shared" si="25"/>
        <v>15725.043378524542</v>
      </c>
      <c r="O61" s="145">
        <f t="shared" si="25"/>
        <v>15911.018132235573</v>
      </c>
      <c r="P61" s="145">
        <f t="shared" si="25"/>
        <v>16209.675811537365</v>
      </c>
      <c r="Q61" s="145">
        <f t="shared" si="25"/>
        <v>16494.720199524254</v>
      </c>
      <c r="R61" s="145">
        <f t="shared" si="25"/>
        <v>16764.24723763662</v>
      </c>
    </row>
    <row r="63" spans="3:18" x14ac:dyDescent="0.15">
      <c r="H63" s="19" t="s">
        <v>185</v>
      </c>
      <c r="J63" s="222">
        <f>AVERAGE(D59:J59)</f>
        <v>14312.287642853034</v>
      </c>
      <c r="K63" s="145" t="s">
        <v>190</v>
      </c>
    </row>
    <row r="64" spans="3:18" x14ac:dyDescent="0.15">
      <c r="J64" s="145">
        <f>AVERAGE(D60:J60)</f>
        <v>27597.404577879737</v>
      </c>
      <c r="K64" s="145"/>
    </row>
    <row r="65" spans="3:18" x14ac:dyDescent="0.15">
      <c r="J65" s="145"/>
    </row>
    <row r="66" spans="3:18" ht="16" x14ac:dyDescent="0.2">
      <c r="C66" s="220" t="s">
        <v>189</v>
      </c>
    </row>
    <row r="67" spans="3:18" ht="16" x14ac:dyDescent="0.2">
      <c r="C67" s="50" t="s">
        <v>186</v>
      </c>
      <c r="D67" s="145">
        <f>(D8+D10)*10^6/(D21+D23)</f>
        <v>14386.325668430651</v>
      </c>
      <c r="E67" s="145">
        <f t="shared" ref="E67:R67" si="26">(E8+E10)*10^6/(E21+E23)</f>
        <v>14402.925173981615</v>
      </c>
      <c r="F67" s="145">
        <f t="shared" si="26"/>
        <v>14467.335697463122</v>
      </c>
      <c r="G67" s="145">
        <f t="shared" si="26"/>
        <v>14533.6222109064</v>
      </c>
      <c r="H67" s="145">
        <f t="shared" si="26"/>
        <v>14425.789074187858</v>
      </c>
      <c r="I67" s="145">
        <f t="shared" si="26"/>
        <v>14233.868330535021</v>
      </c>
      <c r="J67" s="145">
        <f t="shared" si="26"/>
        <v>14225.308076482293</v>
      </c>
      <c r="K67" s="145">
        <f t="shared" si="26"/>
        <v>14380.081469635494</v>
      </c>
      <c r="L67" s="145">
        <f t="shared" si="26"/>
        <v>14532.831114968818</v>
      </c>
      <c r="M67" s="145">
        <f t="shared" si="26"/>
        <v>14678.757120174711</v>
      </c>
      <c r="N67" s="145">
        <f t="shared" si="26"/>
        <v>14818.364762451189</v>
      </c>
      <c r="O67" s="145">
        <f t="shared" si="26"/>
        <v>14949.742009364403</v>
      </c>
      <c r="P67" s="145">
        <f t="shared" si="26"/>
        <v>15077.628655058657</v>
      </c>
      <c r="Q67" s="145">
        <f t="shared" si="26"/>
        <v>15201.561546867946</v>
      </c>
      <c r="R67" s="145">
        <f t="shared" si="26"/>
        <v>15323.984679008456</v>
      </c>
    </row>
    <row r="69" spans="3:18" x14ac:dyDescent="0.15"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</row>
    <row r="71" spans="3:18" x14ac:dyDescent="0.15"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</row>
    <row r="72" spans="3:18" x14ac:dyDescent="0.15"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</row>
    <row r="73" spans="3:18" x14ac:dyDescent="0.15"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</row>
    <row r="74" spans="3:18" x14ac:dyDescent="0.15"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</row>
    <row r="75" spans="3:18" x14ac:dyDescent="0.15"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</row>
    <row r="76" spans="3:18" x14ac:dyDescent="0.15"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</row>
    <row r="77" spans="3:18" x14ac:dyDescent="0.15"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</row>
    <row r="80" spans="3:18" x14ac:dyDescent="0.15"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</row>
    <row r="81" spans="4:18" x14ac:dyDescent="0.15"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</row>
    <row r="82" spans="4:18" x14ac:dyDescent="0.15"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</row>
    <row r="83" spans="4:18" x14ac:dyDescent="0.15"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</row>
    <row r="84" spans="4:18" x14ac:dyDescent="0.15"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</row>
    <row r="85" spans="4:18" x14ac:dyDescent="0.15"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</row>
    <row r="86" spans="4:18" x14ac:dyDescent="0.15"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7"/>
  <dimension ref="B4:K30"/>
  <sheetViews>
    <sheetView workbookViewId="0">
      <selection activeCell="K17" sqref="K17"/>
    </sheetView>
  </sheetViews>
  <sheetFormatPr baseColWidth="10" defaultColWidth="8.83203125" defaultRowHeight="13" x14ac:dyDescent="0.15"/>
  <cols>
    <col min="2" max="2" width="21.5" customWidth="1"/>
    <col min="3" max="11" width="17.6640625" customWidth="1"/>
  </cols>
  <sheetData>
    <row r="4" spans="2:11" ht="14" thickBot="1" x14ac:dyDescent="0.2">
      <c r="B4" s="19" t="s">
        <v>14</v>
      </c>
    </row>
    <row r="5" spans="2:11" ht="48.75" customHeight="1" thickTop="1" thickBot="1" x14ac:dyDescent="0.2">
      <c r="B5" s="12"/>
      <c r="C5" s="22" t="s">
        <v>74</v>
      </c>
      <c r="D5" s="22" t="s">
        <v>73</v>
      </c>
      <c r="E5" s="22" t="s">
        <v>93</v>
      </c>
      <c r="F5" s="22" t="s">
        <v>94</v>
      </c>
      <c r="G5" s="22" t="s">
        <v>95</v>
      </c>
      <c r="H5" s="22" t="s">
        <v>21</v>
      </c>
      <c r="I5" s="3" t="s">
        <v>22</v>
      </c>
      <c r="J5" s="3" t="s">
        <v>16</v>
      </c>
      <c r="K5" s="3" t="s">
        <v>17</v>
      </c>
    </row>
    <row r="6" spans="2:11" ht="17" thickTop="1" x14ac:dyDescent="0.2">
      <c r="B6" s="23" t="s">
        <v>0</v>
      </c>
      <c r="C6" s="11">
        <f>'Original 2015-16 Data'!C6*C$22*$J6</f>
        <v>1288.7107796555235</v>
      </c>
      <c r="D6" s="11">
        <f>'Original 2015-16 Data'!D6*D$22*$J6</f>
        <v>380.50854846858238</v>
      </c>
      <c r="E6" s="11">
        <f>'Original 2015-16 Data'!E6*E$22*$J6</f>
        <v>145.12569054563383</v>
      </c>
      <c r="F6" s="11">
        <f>'Original 2015-16 Data'!F6*F$22*$J6</f>
        <v>11.652795408584044</v>
      </c>
      <c r="G6" s="11">
        <f>'Original 2015-16 Data'!G6*G$22*$J6</f>
        <v>14.484052275603073</v>
      </c>
      <c r="H6" s="11">
        <f>'Original 2015-16 Data'!H6*'Original 2015-16 Data'!$I$20/'Original 2015-16 Data'!$H$21</f>
        <v>1840.481866353927</v>
      </c>
      <c r="I6" s="11">
        <f>SUM(C6:G6)</f>
        <v>1840.481866353927</v>
      </c>
      <c r="J6" s="12">
        <v>1.1227544643933003</v>
      </c>
      <c r="K6" s="12">
        <f>J6*H6/I6</f>
        <v>1.1227544643933003</v>
      </c>
    </row>
    <row r="7" spans="2:11" ht="16" x14ac:dyDescent="0.2">
      <c r="B7" s="24" t="s">
        <v>1</v>
      </c>
      <c r="C7" s="13">
        <f>'Original 2015-16 Data'!C7*C$22*$J7</f>
        <v>10567.714879712083</v>
      </c>
      <c r="D7" s="13">
        <f>'Original 2015-16 Data'!D7*D$22*$J7</f>
        <v>1649.9989438473494</v>
      </c>
      <c r="E7" s="13">
        <f>'Original 2015-16 Data'!E7*E$22*$J7</f>
        <v>635.71847683363285</v>
      </c>
      <c r="F7" s="13">
        <f>'Original 2015-16 Data'!F7*F$22*$J7</f>
        <v>91.803050625011281</v>
      </c>
      <c r="G7" s="13">
        <f>'Original 2015-16 Data'!G7*G$22*$J7</f>
        <v>103.92799966050693</v>
      </c>
      <c r="H7" s="13">
        <f>'Original 2015-16 Data'!H7*'Original 2015-16 Data'!$I$20/'Original 2015-16 Data'!$H$21</f>
        <v>13049.163350678584</v>
      </c>
      <c r="I7" s="13">
        <f t="shared" ref="I7:I20" si="0">SUM(C7:G7)</f>
        <v>13049.163350678584</v>
      </c>
      <c r="J7" s="14">
        <v>0.91611265570178946</v>
      </c>
      <c r="K7" s="14">
        <f t="shared" ref="K7:K19" si="1">J7*H7/I7</f>
        <v>0.91611265570178946</v>
      </c>
    </row>
    <row r="8" spans="2:11" ht="16" x14ac:dyDescent="0.2">
      <c r="B8" s="24" t="s">
        <v>2</v>
      </c>
      <c r="C8" s="13">
        <f>'Original 2015-16 Data'!C8*C$22*$J8</f>
        <v>4127.7311806454254</v>
      </c>
      <c r="D8" s="13">
        <f>'Original 2015-16 Data'!D8*D$22*$J8</f>
        <v>1036.514407274625</v>
      </c>
      <c r="E8" s="13">
        <f>'Original 2015-16 Data'!E8*E$22*$J8</f>
        <v>417.32085698264092</v>
      </c>
      <c r="F8" s="13">
        <f>'Original 2015-16 Data'!F8*F$22*$J8</f>
        <v>22.413106218844494</v>
      </c>
      <c r="G8" s="13">
        <f>'Original 2015-16 Data'!G8*G$22*$J8</f>
        <v>49.388635650559948</v>
      </c>
      <c r="H8" s="13">
        <f>'Original 2015-16 Data'!H8*'Original 2015-16 Data'!$I$20/'Original 2015-16 Data'!$H$21</f>
        <v>5653.3681867720952</v>
      </c>
      <c r="I8" s="13">
        <f t="shared" si="0"/>
        <v>5653.3681867720961</v>
      </c>
      <c r="J8" s="14">
        <v>1.2163760558604098</v>
      </c>
      <c r="K8" s="14">
        <f t="shared" si="1"/>
        <v>1.2163760558604095</v>
      </c>
    </row>
    <row r="9" spans="2:11" ht="16" x14ac:dyDescent="0.2">
      <c r="B9" s="24" t="s">
        <v>3</v>
      </c>
      <c r="C9" s="13">
        <f>'Original 2015-16 Data'!C9*C$22*$J9</f>
        <v>2027.1505458435281</v>
      </c>
      <c r="D9" s="13">
        <f>'Original 2015-16 Data'!D9*D$22*$J9</f>
        <v>551.43456595711041</v>
      </c>
      <c r="E9" s="13">
        <f>'Original 2015-16 Data'!E9*E$22*$J9</f>
        <v>229.06209102137444</v>
      </c>
      <c r="F9" s="13">
        <f>'Original 2015-16 Data'!F9*F$22*$J9</f>
        <v>15.451537176180921</v>
      </c>
      <c r="G9" s="13">
        <f>'Original 2015-16 Data'!G9*G$22*$J9</f>
        <v>27.791948080932613</v>
      </c>
      <c r="H9" s="13">
        <f>'Original 2015-16 Data'!H9*'Original 2015-16 Data'!$I$20/'Original 2015-16 Data'!$H$21</f>
        <v>2850.8906880791264</v>
      </c>
      <c r="I9" s="13">
        <f t="shared" si="0"/>
        <v>2850.8906880791264</v>
      </c>
      <c r="J9" s="14">
        <v>0.83619849186265249</v>
      </c>
      <c r="K9" s="14">
        <f t="shared" si="1"/>
        <v>0.83619849186265249</v>
      </c>
    </row>
    <row r="10" spans="2:11" ht="16" x14ac:dyDescent="0.2">
      <c r="B10" s="24" t="s">
        <v>4</v>
      </c>
      <c r="C10" s="13">
        <f>'Original 2015-16 Data'!C10*C$22*$J10</f>
        <v>258.17168142557739</v>
      </c>
      <c r="D10" s="13">
        <f>'Original 2015-16 Data'!D10*D$22*$J10</f>
        <v>115.53558337347094</v>
      </c>
      <c r="E10" s="13">
        <f>'Original 2015-16 Data'!E10*E$22*$J10</f>
        <v>34.474453336572367</v>
      </c>
      <c r="F10" s="13">
        <f>'Original 2015-16 Data'!F10*F$22*$J10</f>
        <v>2.1004346546201038</v>
      </c>
      <c r="G10" s="13">
        <f>'Original 2015-16 Data'!G10*G$22*$J10</f>
        <v>3.0386461481188856</v>
      </c>
      <c r="H10" s="13">
        <f>'Original 2015-16 Data'!H10*'Original 2015-16 Data'!$I$20/'Original 2015-16 Data'!$H$21</f>
        <v>413.3207989383597</v>
      </c>
      <c r="I10" s="13">
        <f t="shared" si="0"/>
        <v>413.3207989383597</v>
      </c>
      <c r="J10" s="14">
        <v>1.0940682183915931</v>
      </c>
      <c r="K10" s="14">
        <f t="shared" si="1"/>
        <v>1.0940682183915931</v>
      </c>
    </row>
    <row r="11" spans="2:11" ht="16" x14ac:dyDescent="0.2">
      <c r="B11" s="24" t="s">
        <v>5</v>
      </c>
      <c r="C11" s="13">
        <f>'Original 2015-16 Data'!C11*C$22*$J11</f>
        <v>1122.8069078706169</v>
      </c>
      <c r="D11" s="13">
        <f>'Original 2015-16 Data'!D11*D$22*$J11</f>
        <v>313.03992346196588</v>
      </c>
      <c r="E11" s="13">
        <f>'Original 2015-16 Data'!E11*E$22*$J11</f>
        <v>111.58416614165577</v>
      </c>
      <c r="F11" s="13">
        <f>'Original 2015-16 Data'!F11*F$22*$J11</f>
        <v>5.461851902141678</v>
      </c>
      <c r="G11" s="13">
        <f>'Original 2015-16 Data'!G11*G$22*$J11</f>
        <v>13.926317234083857</v>
      </c>
      <c r="H11" s="13">
        <f>'Original 2015-16 Data'!H11*'Original 2015-16 Data'!$I$20/'Original 2015-16 Data'!$H$21</f>
        <v>1566.819166610464</v>
      </c>
      <c r="I11" s="13">
        <f t="shared" si="0"/>
        <v>1566.819166610464</v>
      </c>
      <c r="J11" s="14">
        <v>1.0496485046563371</v>
      </c>
      <c r="K11" s="14">
        <f t="shared" si="1"/>
        <v>1.0496485046563371</v>
      </c>
    </row>
    <row r="12" spans="2:11" ht="16" x14ac:dyDescent="0.2">
      <c r="B12" s="24" t="s">
        <v>6</v>
      </c>
      <c r="C12" s="13">
        <f>'Original 2015-16 Data'!C12*C$22*$J12</f>
        <v>793.64735901412735</v>
      </c>
      <c r="D12" s="13">
        <f>'Original 2015-16 Data'!D12*D$22*$J12</f>
        <v>211.16977947617161</v>
      </c>
      <c r="E12" s="13">
        <f>'Original 2015-16 Data'!E12*E$22*$J12</f>
        <v>97.182869967109781</v>
      </c>
      <c r="F12" s="13">
        <f>'Original 2015-16 Data'!F12*F$22*$J12</f>
        <v>3.4933687028547404</v>
      </c>
      <c r="G12" s="13">
        <f>'Original 2015-16 Data'!G12*G$22*$J12</f>
        <v>13.49188249984538</v>
      </c>
      <c r="H12" s="13">
        <f>'Original 2015-16 Data'!H12*'Original 2015-16 Data'!$I$20/'Original 2015-16 Data'!$H$21</f>
        <v>1118.9852596601086</v>
      </c>
      <c r="I12" s="13">
        <f t="shared" si="0"/>
        <v>1118.9852596601088</v>
      </c>
      <c r="J12" s="14">
        <v>1.0079757843397852</v>
      </c>
      <c r="K12" s="14">
        <f t="shared" si="1"/>
        <v>1.007975784339785</v>
      </c>
    </row>
    <row r="13" spans="2:11" ht="16" x14ac:dyDescent="0.2">
      <c r="B13" s="24" t="s">
        <v>7</v>
      </c>
      <c r="C13" s="13">
        <f>'Original 2015-16 Data'!C13*C$22*$J13</f>
        <v>1795.3310209191334</v>
      </c>
      <c r="D13" s="13">
        <f>'Original 2015-16 Data'!D13*D$22*$J13</f>
        <v>501.55163492894809</v>
      </c>
      <c r="E13" s="13">
        <f>'Original 2015-16 Data'!E13*E$22*$J13</f>
        <v>208.5474490765514</v>
      </c>
      <c r="F13" s="13">
        <f>'Original 2015-16 Data'!F13*F$22*$J13</f>
        <v>9.2252425092049108</v>
      </c>
      <c r="G13" s="13">
        <f>'Original 2015-16 Data'!G13*G$22*$J13</f>
        <v>29.131111746868683</v>
      </c>
      <c r="H13" s="13">
        <f>'Original 2015-16 Data'!H13*'Original 2015-16 Data'!$I$20/'Original 2015-16 Data'!$H$21</f>
        <v>2543.7864591807065</v>
      </c>
      <c r="I13" s="13">
        <f t="shared" si="0"/>
        <v>2543.7864591807061</v>
      </c>
      <c r="J13" s="14">
        <v>1.126878400544125</v>
      </c>
      <c r="K13" s="14">
        <f t="shared" si="1"/>
        <v>1.1268784005441252</v>
      </c>
    </row>
    <row r="14" spans="2:11" ht="16" x14ac:dyDescent="0.2">
      <c r="B14" s="24" t="s">
        <v>8</v>
      </c>
      <c r="C14" s="13">
        <f>'Original 2015-16 Data'!C14*C$22*$J14</f>
        <v>2933.8412085633213</v>
      </c>
      <c r="D14" s="13">
        <f>'Original 2015-16 Data'!D14*D$22*$J14</f>
        <v>500.00202321921444</v>
      </c>
      <c r="E14" s="13">
        <f>'Original 2015-16 Data'!E14*E$22*$J14</f>
        <v>144.43275007217164</v>
      </c>
      <c r="F14" s="13">
        <f>'Original 2015-16 Data'!F14*F$22*$J14</f>
        <v>20.645371917390143</v>
      </c>
      <c r="G14" s="13">
        <f>'Original 2015-16 Data'!G14*G$22*$J14</f>
        <v>46.039760747989206</v>
      </c>
      <c r="H14" s="13">
        <f>'Original 2015-16 Data'!H14*'Original 2015-16 Data'!$I$20/'Original 2015-16 Data'!$H$21</f>
        <v>3644.9611145200865</v>
      </c>
      <c r="I14" s="13">
        <f t="shared" si="0"/>
        <v>3644.9611145200865</v>
      </c>
      <c r="J14" s="14">
        <v>0.93528345350594422</v>
      </c>
      <c r="K14" s="14">
        <f t="shared" si="1"/>
        <v>0.93528345350594433</v>
      </c>
    </row>
    <row r="15" spans="2:11" ht="16" x14ac:dyDescent="0.2">
      <c r="B15" s="24" t="s">
        <v>9</v>
      </c>
      <c r="C15" s="13">
        <f>'Original 2015-16 Data'!C15*C$22*$J15</f>
        <v>1010.4984897971797</v>
      </c>
      <c r="D15" s="13">
        <f>'Original 2015-16 Data'!D15*D$22*$J15</f>
        <v>301.67960789763004</v>
      </c>
      <c r="E15" s="13">
        <f>'Original 2015-16 Data'!E15*E$22*$J15</f>
        <v>102.53476450188491</v>
      </c>
      <c r="F15" s="13">
        <f>'Original 2015-16 Data'!F15*F$22*$J15</f>
        <v>6.9079231858956813</v>
      </c>
      <c r="G15" s="13">
        <f>'Original 2015-16 Data'!G15*G$22*$J15</f>
        <v>19.550282180920426</v>
      </c>
      <c r="H15" s="13">
        <f>'Original 2015-16 Data'!H15*'Original 2015-16 Data'!$I$20/'Original 2015-16 Data'!$H$21</f>
        <v>1441.1710675635106</v>
      </c>
      <c r="I15" s="13">
        <f t="shared" si="0"/>
        <v>1441.1710675635109</v>
      </c>
      <c r="J15" s="14">
        <v>0.94910686851076165</v>
      </c>
      <c r="K15" s="14">
        <f t="shared" si="1"/>
        <v>0.94910686851076143</v>
      </c>
    </row>
    <row r="16" spans="2:11" ht="16" x14ac:dyDescent="0.2">
      <c r="B16" s="24" t="s">
        <v>10</v>
      </c>
      <c r="C16" s="13">
        <f>'Original 2015-16 Data'!C16*C$22*$J16</f>
        <v>356.54683401886132</v>
      </c>
      <c r="D16" s="13">
        <f>'Original 2015-16 Data'!D16*D$22*$J16</f>
        <v>132.71199349622168</v>
      </c>
      <c r="E16" s="13">
        <f>'Original 2015-16 Data'!E16*E$22*$J16</f>
        <v>53.773933142395627</v>
      </c>
      <c r="F16" s="13">
        <f>'Original 2015-16 Data'!F16*F$22*$J16</f>
        <v>3.2933402565423875</v>
      </c>
      <c r="G16" s="13">
        <f>'Original 2015-16 Data'!G16*G$22*$J16</f>
        <v>6.6052521510774138</v>
      </c>
      <c r="H16" s="13">
        <f>'Original 2015-16 Data'!H16*'Original 2015-16 Data'!$I$20/'Original 2015-16 Data'!$H$21</f>
        <v>552.93135306509839</v>
      </c>
      <c r="I16" s="13">
        <f t="shared" si="0"/>
        <v>552.93135306509839</v>
      </c>
      <c r="J16" s="14">
        <v>1.6563438042138947</v>
      </c>
      <c r="K16" s="14">
        <f t="shared" si="1"/>
        <v>1.6563438042138947</v>
      </c>
    </row>
    <row r="17" spans="2:11" ht="16" x14ac:dyDescent="0.2">
      <c r="B17" s="24" t="s">
        <v>11</v>
      </c>
      <c r="C17" s="13">
        <f>'Original 2015-16 Data'!C17*C$22*$J17</f>
        <v>4520.1290565498166</v>
      </c>
      <c r="D17" s="13">
        <f>'Original 2015-16 Data'!D17*D$22*$J17</f>
        <v>1135.7050512415083</v>
      </c>
      <c r="E17" s="13">
        <f>'Original 2015-16 Data'!E17*E$22*$J17</f>
        <v>444.15135276672709</v>
      </c>
      <c r="F17" s="13">
        <f>'Original 2015-16 Data'!F17*F$22*$J17</f>
        <v>51.014889636037587</v>
      </c>
      <c r="G17" s="13">
        <f>'Original 2015-16 Data'!G17*G$22*$J17</f>
        <v>60.045683744487782</v>
      </c>
      <c r="H17" s="13">
        <f>'Original 2015-16 Data'!H17*'Original 2015-16 Data'!$I$20/'Original 2015-16 Data'!$H$21</f>
        <v>6211.0460339385754</v>
      </c>
      <c r="I17" s="13">
        <f t="shared" si="0"/>
        <v>6211.0460339385772</v>
      </c>
      <c r="J17" s="14">
        <v>0.95065795321730617</v>
      </c>
      <c r="K17" s="14">
        <f t="shared" si="1"/>
        <v>0.95065795321730595</v>
      </c>
    </row>
    <row r="18" spans="2:11" ht="16" x14ac:dyDescent="0.2">
      <c r="B18" s="24" t="s">
        <v>12</v>
      </c>
      <c r="C18" s="13">
        <f>'Original 2015-16 Data'!C18*C$22*$J18</f>
        <v>1730.9344738287209</v>
      </c>
      <c r="D18" s="13">
        <f>'Original 2015-16 Data'!D18*D$22*$J18</f>
        <v>461.03719711760732</v>
      </c>
      <c r="E18" s="13">
        <f>'Original 2015-16 Data'!E18*E$22*$J18</f>
        <v>149.29002963131651</v>
      </c>
      <c r="F18" s="13">
        <f>'Original 2015-16 Data'!F18*F$22*$J18</f>
        <v>19.622089713548924</v>
      </c>
      <c r="G18" s="13">
        <f>'Original 2015-16 Data'!G18*G$22*$J18</f>
        <v>21.306066673350525</v>
      </c>
      <c r="H18" s="13">
        <f>'Original 2015-16 Data'!H18*'Original 2015-16 Data'!$I$20/'Original 2015-16 Data'!$H$21</f>
        <v>2382.1898569645446</v>
      </c>
      <c r="I18" s="13">
        <f t="shared" si="0"/>
        <v>2382.1898569645441</v>
      </c>
      <c r="J18" s="14">
        <v>1.2268001810945155</v>
      </c>
      <c r="K18" s="14">
        <f t="shared" si="1"/>
        <v>1.2268001810945157</v>
      </c>
    </row>
    <row r="19" spans="2:11" ht="17" thickBot="1" x14ac:dyDescent="0.25">
      <c r="B19" s="25" t="s">
        <v>13</v>
      </c>
      <c r="C19" s="15">
        <f>'Original 2015-16 Data'!C19*C$22*$J19</f>
        <v>809.11213135513538</v>
      </c>
      <c r="D19" s="15">
        <f>'Original 2015-16 Data'!D19*D$22*$J19</f>
        <v>291.40318302494006</v>
      </c>
      <c r="E19" s="15">
        <f>'Original 2015-16 Data'!E19*E$22*$J19</f>
        <v>113.26364560172489</v>
      </c>
      <c r="F19" s="15">
        <f>'Original 2015-16 Data'!F19*F$22*$J19</f>
        <v>8.9255936143670827</v>
      </c>
      <c r="G19" s="15">
        <f>'Original 2015-16 Data'!G19*G$22*$J19</f>
        <v>8.8635508086328034</v>
      </c>
      <c r="H19" s="15">
        <f>'Original 2015-16 Data'!H19*'Original 2015-16 Data'!$I$20/'Original 2015-16 Data'!$H$21</f>
        <v>1231.5681044047999</v>
      </c>
      <c r="I19" s="15">
        <f t="shared" si="0"/>
        <v>1231.5681044048001</v>
      </c>
      <c r="J19" s="16">
        <v>1.119071272960058</v>
      </c>
      <c r="K19" s="16">
        <f t="shared" si="1"/>
        <v>1.1190712729600578</v>
      </c>
    </row>
    <row r="20" spans="2:11" ht="32.25" customHeight="1" thickTop="1" thickBot="1" x14ac:dyDescent="0.25">
      <c r="B20" s="20" t="s">
        <v>20</v>
      </c>
      <c r="C20" s="4">
        <f>'Original 2015-16 Data'!C20</f>
        <v>33342.354963440004</v>
      </c>
      <c r="D20" s="4">
        <f>'Original 2015-16 Data'!D20</f>
        <v>7582.2723646699997</v>
      </c>
      <c r="E20" s="4">
        <f>'Original 2015-16 Data'!E20</f>
        <v>2886.4540566200003</v>
      </c>
      <c r="F20" s="4">
        <f>'Original 2015-16 Data'!F20</f>
        <v>272.01090876999996</v>
      </c>
      <c r="G20" s="4">
        <f>'Original 2015-16 Data'!G20</f>
        <v>417.5910132300001</v>
      </c>
      <c r="H20" s="5"/>
      <c r="I20" s="9">
        <f t="shared" si="0"/>
        <v>44500.683306729996</v>
      </c>
    </row>
    <row r="21" spans="2:11" ht="36" thickTop="1" thickBot="1" x14ac:dyDescent="0.25">
      <c r="B21" s="31" t="s">
        <v>23</v>
      </c>
      <c r="C21" s="9">
        <f t="shared" ref="C21:H21" si="2">SUM(C6:C19)</f>
        <v>33342.326549199053</v>
      </c>
      <c r="D21" s="9">
        <f t="shared" si="2"/>
        <v>7582.2924427853468</v>
      </c>
      <c r="E21" s="9">
        <f t="shared" si="2"/>
        <v>2886.4625296213922</v>
      </c>
      <c r="F21" s="9">
        <f t="shared" si="2"/>
        <v>272.01059552122399</v>
      </c>
      <c r="G21" s="9">
        <f t="shared" si="2"/>
        <v>417.59118960297752</v>
      </c>
      <c r="H21" s="9">
        <f t="shared" si="2"/>
        <v>44500.683306729981</v>
      </c>
      <c r="I21" s="6"/>
    </row>
    <row r="22" spans="2:11" ht="18" thickTop="1" thickBot="1" x14ac:dyDescent="0.25">
      <c r="B22" s="8" t="s">
        <v>16</v>
      </c>
      <c r="C22" s="10">
        <v>1.0045289779312769</v>
      </c>
      <c r="D22" s="10">
        <v>0.98572774312052036</v>
      </c>
      <c r="E22" s="10">
        <v>1.00456835046756</v>
      </c>
      <c r="F22" s="10">
        <v>1.032130692296388</v>
      </c>
      <c r="G22" s="10">
        <v>1.0289629325539038</v>
      </c>
      <c r="H22" s="17"/>
    </row>
    <row r="23" spans="2:11" ht="18" thickTop="1" thickBot="1" x14ac:dyDescent="0.25">
      <c r="B23" s="8" t="s">
        <v>17</v>
      </c>
      <c r="C23" s="10">
        <f>C22*C20/C21</f>
        <v>1.0045298339881683</v>
      </c>
      <c r="D23" s="10">
        <f>D22*D20/D21</f>
        <v>0.98572513288681118</v>
      </c>
      <c r="E23" s="10">
        <f>E22*E20/E21</f>
        <v>1.0045654016300316</v>
      </c>
      <c r="F23" s="10">
        <f>F22*F20/F21</f>
        <v>1.0321318809033075</v>
      </c>
      <c r="G23" s="10">
        <f>G22*G20/G21</f>
        <v>1.0289624979631831</v>
      </c>
      <c r="H23" s="18"/>
    </row>
    <row r="24" spans="2:11" ht="18" thickTop="1" thickBot="1" x14ac:dyDescent="0.25">
      <c r="B24" s="8" t="s">
        <v>15</v>
      </c>
      <c r="C24" s="10" t="str">
        <f>IF(ABS(C20-C21)&lt;Convergence_Criteria, "YES","NO")</f>
        <v>YES</v>
      </c>
      <c r="D24" s="10" t="str">
        <f>IF(ABS(D20-D21)&lt;Convergence_Criteria, "YES","NO")</f>
        <v>YES</v>
      </c>
      <c r="E24" s="10" t="str">
        <f>IF(ABS(E20-E21)&lt;Convergence_Criteria, "YES","NO")</f>
        <v>YES</v>
      </c>
      <c r="F24" s="10" t="str">
        <f>IF(ABS(F20-F21)&lt;Convergence_Criteria, "YES","NO")</f>
        <v>YES</v>
      </c>
      <c r="G24" s="10" t="str">
        <f>IF(ABS(G20-G21)&lt;Convergence_Criteria, "YES","NO")</f>
        <v>YES</v>
      </c>
      <c r="H24" s="18"/>
    </row>
    <row r="25" spans="2:11" ht="14" thickTop="1" x14ac:dyDescent="0.15"/>
    <row r="28" spans="2:11" x14ac:dyDescent="0.15">
      <c r="B28" t="s">
        <v>19</v>
      </c>
    </row>
    <row r="29" spans="2:11" x14ac:dyDescent="0.15">
      <c r="B29" s="7" t="s">
        <v>181</v>
      </c>
    </row>
    <row r="30" spans="2:11" x14ac:dyDescent="0.15">
      <c r="B30" s="7" t="s">
        <v>18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6">
    <pageSetUpPr fitToPage="1"/>
  </sheetPr>
  <dimension ref="B4:I24"/>
  <sheetViews>
    <sheetView topLeftCell="L1" workbookViewId="0">
      <selection activeCell="H6" sqref="H6:H19"/>
    </sheetView>
  </sheetViews>
  <sheetFormatPr baseColWidth="10" defaultColWidth="8.83203125" defaultRowHeight="13" x14ac:dyDescent="0.15"/>
  <cols>
    <col min="2" max="2" width="21.5" customWidth="1"/>
    <col min="3" max="9" width="17.6640625" customWidth="1"/>
  </cols>
  <sheetData>
    <row r="4" spans="2:9" ht="14" thickBot="1" x14ac:dyDescent="0.2">
      <c r="B4" s="19" t="s">
        <v>14</v>
      </c>
    </row>
    <row r="5" spans="2:9" ht="48.75" customHeight="1" thickTop="1" thickBot="1" x14ac:dyDescent="0.2">
      <c r="B5" s="1"/>
      <c r="C5" s="2" t="s">
        <v>74</v>
      </c>
      <c r="D5" s="2" t="s">
        <v>73</v>
      </c>
      <c r="E5" s="2" t="s">
        <v>75</v>
      </c>
      <c r="F5" s="2" t="s">
        <v>76</v>
      </c>
      <c r="G5" s="2" t="s">
        <v>77</v>
      </c>
      <c r="H5" s="3" t="s">
        <v>21</v>
      </c>
      <c r="I5" s="30" t="s">
        <v>22</v>
      </c>
    </row>
    <row r="6" spans="2:9" ht="17" thickTop="1" x14ac:dyDescent="0.2">
      <c r="B6" s="26" t="s">
        <v>0</v>
      </c>
      <c r="C6" s="11">
        <f>('[5]16_17 fleet_v2'!$D259+'[5]16_17 fleet_v2'!$D274+'[5]16_17 fleet_v2'!$D289+'[5]16_17 fleet_v2'!$D304)/1000000</f>
        <v>1191.56463721</v>
      </c>
      <c r="D6" s="11">
        <f>('[5]16_17 fleet_v2'!$D379+'[5]16_17 fleet_v2'!$D394+'[5]16_17 fleet_v2'!$D409+'[5]16_17 fleet_v2'!$D424)/1000000</f>
        <v>368.42819378999997</v>
      </c>
      <c r="E6" s="11">
        <f>('[5]16_17 fleet_v2'!$D$349+'[5]16_17 fleet_v2'!$D$364)/1000000</f>
        <v>132.02446418</v>
      </c>
      <c r="F6" s="11">
        <f>('[5]16_17 fleet_v2'!$D229+'[5]16_17 fleet_v2'!$D244)/1000000</f>
        <v>9.90454553</v>
      </c>
      <c r="G6" s="11">
        <f>('[5]16_17 fleet_v2'!$D319+'[5]16_17 fleet_v2'!$D334)/1000000</f>
        <v>12.222152810000001</v>
      </c>
      <c r="H6" s="28">
        <f>VLOOKUP(B6,[9]RegionTotal!B$2:E$15,2,0)/1000000</f>
        <v>1819.024283</v>
      </c>
      <c r="I6" s="13">
        <f>SUM(C6:G6)</f>
        <v>1714.1439935199999</v>
      </c>
    </row>
    <row r="7" spans="2:9" ht="16" x14ac:dyDescent="0.2">
      <c r="B7" s="27" t="s">
        <v>1</v>
      </c>
      <c r="C7" s="13">
        <f>('[5]16_17 fleet_v2'!$D260+'[5]16_17 fleet_v2'!$D275+'[5]16_17 fleet_v2'!$D290+'[5]16_17 fleet_v2'!$D305)/1000000</f>
        <v>11863.218491670001</v>
      </c>
      <c r="D7" s="13">
        <f>('[5]16_17 fleet_v2'!$D380+'[5]16_17 fleet_v2'!$D395+'[5]16_17 fleet_v2'!$D410+'[5]16_17 fleet_v2'!$D425)/1000000</f>
        <v>2028.5993609999998</v>
      </c>
      <c r="E7" s="13">
        <f>('[5]16_17 fleet_v2'!$D$350+'[5]16_17 fleet_v2'!$D$365)/1000000</f>
        <v>720.84013551999999</v>
      </c>
      <c r="F7" s="13">
        <f>('[5]16_17 fleet_v2'!$D230+'[5]16_17 fleet_v2'!$D245)/1000000</f>
        <v>107.48181304000001</v>
      </c>
      <c r="G7" s="13">
        <f>('[5]16_17 fleet_v2'!$D320+'[5]16_17 fleet_v2'!$D335)/1000000</f>
        <v>109.48087558000002</v>
      </c>
      <c r="H7" s="29">
        <f>VLOOKUP(B7,[9]RegionTotal!B$2:E$15,2,0)/1000000</f>
        <v>13323.239887</v>
      </c>
      <c r="I7" s="13">
        <f t="shared" ref="I7:I20" si="0">SUM(C7:G7)</f>
        <v>14829.620676810002</v>
      </c>
    </row>
    <row r="8" spans="2:9" ht="16" x14ac:dyDescent="0.2">
      <c r="B8" s="27" t="s">
        <v>2</v>
      </c>
      <c r="C8" s="13">
        <f>('[5]16_17 fleet_v2'!$D261+'[5]16_17 fleet_v2'!$D276+'[5]16_17 fleet_v2'!$D291+'[5]16_17 fleet_v2'!$D306)/1000000</f>
        <v>3477.01474702</v>
      </c>
      <c r="D8" s="13">
        <f>('[5]16_17 fleet_v2'!$D381+'[5]16_17 fleet_v2'!$D396+'[5]16_17 fleet_v2'!$D411+'[5]16_17 fleet_v2'!$D426)/1000000</f>
        <v>935.09439070000008</v>
      </c>
      <c r="E8" s="13">
        <f>('[5]16_17 fleet_v2'!$D$351+'[5]16_17 fleet_v2'!$D$366)/1000000</f>
        <v>350.03215545</v>
      </c>
      <c r="F8" s="13">
        <f>('[5]16_17 fleet_v2'!$D231+'[5]16_17 fleet_v2'!$D246)/1000000</f>
        <v>17.924282309999999</v>
      </c>
      <c r="G8" s="13">
        <f>('[5]16_17 fleet_v2'!$D321+'[5]16_17 fleet_v2'!$D336)/1000000</f>
        <v>39.189120580000001</v>
      </c>
      <c r="H8" s="29">
        <f>VLOOKUP(B8,[9]RegionTotal!B$2:E$15,2,0)/1000000</f>
        <v>5796.2626419999997</v>
      </c>
      <c r="I8" s="13">
        <f t="shared" si="0"/>
        <v>4819.2546960600002</v>
      </c>
    </row>
    <row r="9" spans="2:9" ht="16" x14ac:dyDescent="0.2">
      <c r="B9" s="27" t="s">
        <v>3</v>
      </c>
      <c r="C9" s="13">
        <f>('[5]16_17 fleet_v2'!$D262+'[5]16_17 fleet_v2'!$D277+'[5]16_17 fleet_v2'!$D292+'[5]16_17 fleet_v2'!$D307)/1000000</f>
        <v>2507.0639403</v>
      </c>
      <c r="D9" s="13">
        <f>('[5]16_17 fleet_v2'!$D382+'[5]16_17 fleet_v2'!$D397+'[5]16_17 fleet_v2'!$D412+'[5]16_17 fleet_v2'!$D427)/1000000</f>
        <v>728.55935421000004</v>
      </c>
      <c r="E9" s="13">
        <f>('[5]16_17 fleet_v2'!$D$352+'[5]16_17 fleet_v2'!$D$367)/1000000</f>
        <v>286.64119432999996</v>
      </c>
      <c r="F9" s="13">
        <f>('[5]16_17 fleet_v2'!$D232+'[5]16_17 fleet_v2'!$D247)/1000000</f>
        <v>16.747542929999998</v>
      </c>
      <c r="G9" s="13">
        <f>('[5]16_17 fleet_v2'!$D322+'[5]16_17 fleet_v2'!$D337)/1000000</f>
        <v>31.71709229</v>
      </c>
      <c r="H9" s="29">
        <f>VLOOKUP(B9,[9]RegionTotal!B$2:E$15,2,0)/1000000</f>
        <v>3057.6450840000002</v>
      </c>
      <c r="I9" s="13">
        <f t="shared" si="0"/>
        <v>3570.7291240599998</v>
      </c>
    </row>
    <row r="10" spans="2:9" ht="16" x14ac:dyDescent="0.2">
      <c r="B10" s="27" t="s">
        <v>4</v>
      </c>
      <c r="C10" s="13">
        <f>('[5]16_17 fleet_v2'!$D263+'[5]16_17 fleet_v2'!$D278+'[5]16_17 fleet_v2'!$D293+'[5]16_17 fleet_v2'!$D308)/1000000</f>
        <v>238.24200841999999</v>
      </c>
      <c r="D10" s="13">
        <f>('[5]16_17 fleet_v2'!$D383+'[5]16_17 fleet_v2'!$D398+'[5]16_17 fleet_v2'!$D413+'[5]16_17 fleet_v2'!$D428)/1000000</f>
        <v>111.08737947</v>
      </c>
      <c r="E10" s="13">
        <f>('[5]16_17 fleet_v2'!$D$353+'[5]16_17 fleet_v2'!$D$368)/1000000</f>
        <v>36.082047209999999</v>
      </c>
      <c r="F10" s="13">
        <f>('[5]16_17 fleet_v2'!$D233+'[5]16_17 fleet_v2'!$D248)/1000000</f>
        <v>1.6979958400000001</v>
      </c>
      <c r="G10" s="13">
        <f>('[5]16_17 fleet_v2'!$D323+'[5]16_17 fleet_v2'!$D338)/1000000</f>
        <v>2.9200498800000005</v>
      </c>
      <c r="H10" s="29">
        <f>VLOOKUP(B10,[9]RegionTotal!B$2:E$15,2,0)/1000000</f>
        <v>400.11022000000003</v>
      </c>
      <c r="I10" s="13">
        <f t="shared" si="0"/>
        <v>390.02948082</v>
      </c>
    </row>
    <row r="11" spans="2:9" ht="16" x14ac:dyDescent="0.2">
      <c r="B11" s="27" t="s">
        <v>5</v>
      </c>
      <c r="C11" s="13">
        <f>('[5]16_17 fleet_v2'!$D264+'[5]16_17 fleet_v2'!$D279+'[5]16_17 fleet_v2'!$D294+'[5]16_17 fleet_v2'!$D309)/1000000</f>
        <v>1103.0114848600001</v>
      </c>
      <c r="D11" s="13">
        <f>('[5]16_17 fleet_v2'!$D384+'[5]16_17 fleet_v2'!$D399+'[5]16_17 fleet_v2'!$D414+'[5]16_17 fleet_v2'!$D429)/1000000</f>
        <v>320.64613795000002</v>
      </c>
      <c r="E11" s="13">
        <f>('[5]16_17 fleet_v2'!$D$354+'[5]16_17 fleet_v2'!$D$369)/1000000</f>
        <v>112.94270937</v>
      </c>
      <c r="F11" s="13">
        <f>('[5]16_17 fleet_v2'!$D234+'[5]16_17 fleet_v2'!$D249)/1000000</f>
        <v>4.9900272499999998</v>
      </c>
      <c r="G11" s="13">
        <f>('[5]16_17 fleet_v2'!$D324+'[5]16_17 fleet_v2'!$D339)/1000000</f>
        <v>12.533481829999999</v>
      </c>
      <c r="H11" s="29">
        <f>VLOOKUP(B11,[9]RegionTotal!B$2:E$15,2,0)/1000000</f>
        <v>1589.88292</v>
      </c>
      <c r="I11" s="13">
        <f t="shared" si="0"/>
        <v>1554.1238412600003</v>
      </c>
    </row>
    <row r="12" spans="2:9" ht="16" x14ac:dyDescent="0.2">
      <c r="B12" s="27" t="s">
        <v>6</v>
      </c>
      <c r="C12" s="13">
        <f>('[5]16_17 fleet_v2'!$D265+'[5]16_17 fleet_v2'!$D280+'[5]16_17 fleet_v2'!$D295+'[5]16_17 fleet_v2'!$D310)/1000000</f>
        <v>792.67082671000003</v>
      </c>
      <c r="D12" s="13">
        <f>('[5]16_17 fleet_v2'!$D385+'[5]16_17 fleet_v2'!$D400+'[5]16_17 fleet_v2'!$D415+'[5]16_17 fleet_v2'!$D430)/1000000</f>
        <v>214.96651269999998</v>
      </c>
      <c r="E12" s="13">
        <f>('[5]16_17 fleet_v2'!$D$355+'[5]16_17 fleet_v2'!$D$370)/1000000</f>
        <v>93.275840439999996</v>
      </c>
      <c r="F12" s="13">
        <f>('[5]16_17 fleet_v2'!$D235+'[5]16_17 fleet_v2'!$D250)/1000000</f>
        <v>3.3678661700000001</v>
      </c>
      <c r="G12" s="13">
        <f>('[5]16_17 fleet_v2'!$D325+'[5]16_17 fleet_v2'!$D340)/1000000</f>
        <v>12.17156276</v>
      </c>
      <c r="H12" s="29">
        <f>VLOOKUP(B12,[9]RegionTotal!B$2:E$15,2,0)/1000000</f>
        <v>1121.3228019999999</v>
      </c>
      <c r="I12" s="13">
        <f t="shared" si="0"/>
        <v>1116.45260878</v>
      </c>
    </row>
    <row r="13" spans="2:9" ht="16" x14ac:dyDescent="0.2">
      <c r="B13" s="27" t="s">
        <v>7</v>
      </c>
      <c r="C13" s="13">
        <f>('[5]16_17 fleet_v2'!$D266+'[5]16_17 fleet_v2'!$D281+'[5]16_17 fleet_v2'!$D296+'[5]16_17 fleet_v2'!$D311)/1000000</f>
        <v>1623.94138438</v>
      </c>
      <c r="D13" s="13">
        <f>('[5]16_17 fleet_v2'!$D386+'[5]16_17 fleet_v2'!$D401+'[5]16_17 fleet_v2'!$D416+'[5]16_17 fleet_v2'!$D431)/1000000</f>
        <v>472.80598526</v>
      </c>
      <c r="E13" s="13">
        <f>('[5]16_17 fleet_v2'!$D$356+'[5]16_17 fleet_v2'!$D$371)/1000000</f>
        <v>186.13968073000001</v>
      </c>
      <c r="F13" s="13">
        <f>('[5]16_17 fleet_v2'!$D236+'[5]16_17 fleet_v2'!$D251)/1000000</f>
        <v>8.3119656600000003</v>
      </c>
      <c r="G13" s="13">
        <f>('[5]16_17 fleet_v2'!$D326+'[5]16_17 fleet_v2'!$D341)/1000000</f>
        <v>23.512269939999996</v>
      </c>
      <c r="H13" s="29">
        <f>VLOOKUP(B13,[9]RegionTotal!B$2:E$15,2,0)/1000000</f>
        <v>2522.7216509999998</v>
      </c>
      <c r="I13" s="13">
        <f t="shared" si="0"/>
        <v>2314.7112859700001</v>
      </c>
    </row>
    <row r="14" spans="2:9" ht="16" x14ac:dyDescent="0.2">
      <c r="B14" s="27" t="s">
        <v>8</v>
      </c>
      <c r="C14" s="13">
        <f>('[5]16_17 fleet_v2'!$D267+'[5]16_17 fleet_v2'!$D282+'[5]16_17 fleet_v2'!$D297+'[5]16_17 fleet_v2'!$D312)/1000000</f>
        <v>3191.1967650900001</v>
      </c>
      <c r="D14" s="13">
        <f>('[5]16_17 fleet_v2'!$D387+'[5]16_17 fleet_v2'!$D402+'[5]16_17 fleet_v2'!$D417+'[5]16_17 fleet_v2'!$D432)/1000000</f>
        <v>573.75025787000004</v>
      </c>
      <c r="E14" s="13">
        <f>('[5]16_17 fleet_v2'!$D$357+'[5]16_17 fleet_v2'!$D$372)/1000000</f>
        <v>160.38721551999998</v>
      </c>
      <c r="F14" s="13">
        <f>('[5]16_17 fleet_v2'!$D237+'[5]16_17 fleet_v2'!$D252)/1000000</f>
        <v>21.283790750000001</v>
      </c>
      <c r="G14" s="13">
        <f>('[5]16_17 fleet_v2'!$D327+'[5]16_17 fleet_v2'!$D342)/1000000</f>
        <v>46.856417799999996</v>
      </c>
      <c r="H14" s="29">
        <f>VLOOKUP(B14,[9]RegionTotal!B$2:E$15,2,0)/1000000</f>
        <v>3560.5798890000001</v>
      </c>
      <c r="I14" s="13">
        <f t="shared" si="0"/>
        <v>3993.4744470300006</v>
      </c>
    </row>
    <row r="15" spans="2:9" ht="16" x14ac:dyDescent="0.2">
      <c r="B15" s="27" t="s">
        <v>9</v>
      </c>
      <c r="C15" s="13">
        <f>('[5]16_17 fleet_v2'!$D268+'[5]16_17 fleet_v2'!$D283+'[5]16_17 fleet_v2'!$D298+'[5]16_17 fleet_v2'!$D313)/1000000</f>
        <v>1102.6958416800001</v>
      </c>
      <c r="D15" s="13">
        <f>('[5]16_17 fleet_v2'!$D388+'[5]16_17 fleet_v2'!$D403+'[5]16_17 fleet_v2'!$D418+'[5]16_17 fleet_v2'!$D433)/1000000</f>
        <v>338.53830254000002</v>
      </c>
      <c r="E15" s="13">
        <f>('[5]16_17 fleet_v2'!$D$358+'[5]16_17 fleet_v2'!$D$373)/1000000</f>
        <v>113.51184173999999</v>
      </c>
      <c r="F15" s="13">
        <f>('[5]16_17 fleet_v2'!$D238+'[5]16_17 fleet_v2'!$D253)/1000000</f>
        <v>6.9002962999999999</v>
      </c>
      <c r="G15" s="13">
        <f>('[5]16_17 fleet_v2'!$D328+'[5]16_17 fleet_v2'!$D343)/1000000</f>
        <v>19.783930609999999</v>
      </c>
      <c r="H15" s="29">
        <f>VLOOKUP(B15,[9]RegionTotal!B$2:E$15,2,0)/1000000</f>
        <v>1468.714477</v>
      </c>
      <c r="I15" s="13">
        <f t="shared" si="0"/>
        <v>1581.4302128699999</v>
      </c>
    </row>
    <row r="16" spans="2:9" ht="16" x14ac:dyDescent="0.2">
      <c r="B16" s="27" t="s">
        <v>10</v>
      </c>
      <c r="C16" s="13">
        <f>('[5]16_17 fleet_v2'!$D269+'[5]16_17 fleet_v2'!$D284+'[5]16_17 fleet_v2'!$D299+'[5]16_17 fleet_v2'!$D314)/1000000</f>
        <v>210.58156269</v>
      </c>
      <c r="D16" s="13">
        <f>('[5]16_17 fleet_v2'!$D389+'[5]16_17 fleet_v2'!$D404+'[5]16_17 fleet_v2'!$D419+'[5]16_17 fleet_v2'!$D434)/1000000</f>
        <v>81.549709800000016</v>
      </c>
      <c r="E16" s="13">
        <f>('[5]16_17 fleet_v2'!$D$359+'[5]16_17 fleet_v2'!$D$374)/1000000</f>
        <v>31.939469840000001</v>
      </c>
      <c r="F16" s="13">
        <f>('[5]16_17 fleet_v2'!$D239+'[5]16_17 fleet_v2'!$D254)/1000000</f>
        <v>1.64774446</v>
      </c>
      <c r="G16" s="13">
        <f>('[5]16_17 fleet_v2'!$D329+'[5]16_17 fleet_v2'!$D344)/1000000</f>
        <v>3.9718415</v>
      </c>
      <c r="H16" s="29">
        <f>VLOOKUP(B16,[9]RegionTotal!B$2:E$15,2,0)/1000000</f>
        <v>558.74049200000002</v>
      </c>
      <c r="I16" s="13">
        <f t="shared" si="0"/>
        <v>329.69032829000002</v>
      </c>
    </row>
    <row r="17" spans="2:9" ht="16" x14ac:dyDescent="0.2">
      <c r="B17" s="27" t="s">
        <v>11</v>
      </c>
      <c r="C17" s="13">
        <f>('[5]16_17 fleet_v2'!$D270+'[5]16_17 fleet_v2'!$D285+'[5]16_17 fleet_v2'!$D300+'[5]16_17 fleet_v2'!$D315)/1000000</f>
        <v>4874.6953279700001</v>
      </c>
      <c r="D17" s="13">
        <f>('[5]16_17 fleet_v2'!$D390+'[5]16_17 fleet_v2'!$D405+'[5]16_17 fleet_v2'!$D420+'[5]16_17 fleet_v2'!$D435)/1000000</f>
        <v>1250.49252925</v>
      </c>
      <c r="E17" s="13">
        <f>('[5]16_17 fleet_v2'!$D$360+'[5]16_17 fleet_v2'!$D$375)/1000000</f>
        <v>469.32524835999999</v>
      </c>
      <c r="F17" s="13">
        <f>('[5]16_17 fleet_v2'!$D240+'[5]16_17 fleet_v2'!$D255)/1000000</f>
        <v>55.829142120000007</v>
      </c>
      <c r="G17" s="13">
        <f>('[5]16_17 fleet_v2'!$D330+'[5]16_17 fleet_v2'!$D345)/1000000</f>
        <v>59.590634030000004</v>
      </c>
      <c r="H17" s="29">
        <f>VLOOKUP(B17,[9]RegionTotal!B$2:E$15,2,0)/1000000</f>
        <v>6135.4707250000001</v>
      </c>
      <c r="I17" s="13">
        <f t="shared" si="0"/>
        <v>6709.9328817300002</v>
      </c>
    </row>
    <row r="18" spans="2:9" ht="16" x14ac:dyDescent="0.2">
      <c r="B18" s="27" t="s">
        <v>12</v>
      </c>
      <c r="C18" s="13">
        <f>('[5]16_17 fleet_v2'!$D271+'[5]16_17 fleet_v2'!$D286+'[5]16_17 fleet_v2'!$D301+'[5]16_17 fleet_v2'!$D316)/1000000</f>
        <v>1537.9126281199999</v>
      </c>
      <c r="D18" s="13">
        <f>('[5]16_17 fleet_v2'!$D391+'[5]16_17 fleet_v2'!$D406+'[5]16_17 fleet_v2'!$D421+'[5]16_17 fleet_v2'!$D436)/1000000</f>
        <v>415.65977637000003</v>
      </c>
      <c r="E18" s="13">
        <f>('[5]16_17 fleet_v2'!$D$361+'[5]16_17 fleet_v2'!$D$376)/1000000</f>
        <v>127.8752863</v>
      </c>
      <c r="F18" s="13">
        <f>('[5]16_17 fleet_v2'!$D241+'[5]16_17 fleet_v2'!$D256)/1000000</f>
        <v>17.327112320000001</v>
      </c>
      <c r="G18" s="13">
        <f>('[5]16_17 fleet_v2'!$D331+'[5]16_17 fleet_v2'!$D346)/1000000</f>
        <v>16.255796740000001</v>
      </c>
      <c r="H18" s="29">
        <f>VLOOKUP(B18,[9]RegionTotal!B$2:E$15,2,0)/1000000</f>
        <v>2434.780107</v>
      </c>
      <c r="I18" s="13">
        <f t="shared" si="0"/>
        <v>2115.0305998499998</v>
      </c>
    </row>
    <row r="19" spans="2:9" ht="17" thickBot="1" x14ac:dyDescent="0.25">
      <c r="B19" s="27" t="s">
        <v>13</v>
      </c>
      <c r="C19" s="15">
        <f>('[5]16_17 fleet_v2'!$D272+'[5]16_17 fleet_v2'!$D287+'[5]16_17 fleet_v2'!$D302+'[5]16_17 fleet_v2'!$D317)/1000000</f>
        <v>736.27462289999994</v>
      </c>
      <c r="D19" s="15">
        <f>('[5]16_17 fleet_v2'!$D392+'[5]16_17 fleet_v2'!$D407+'[5]16_17 fleet_v2'!$D422+'[5]16_17 fleet_v2'!$D437)/1000000</f>
        <v>278.05697914000001</v>
      </c>
      <c r="E19" s="15">
        <f>('[5]16_17 fleet_v2'!$D$362+'[5]16_17 fleet_v2'!$D$377)/1000000</f>
        <v>102.60639589</v>
      </c>
      <c r="F19" s="15">
        <f>('[5]16_17 fleet_v2'!$D242+'[5]16_17 fleet_v2'!$D257)/1000000</f>
        <v>7.3196208100000009</v>
      </c>
      <c r="G19" s="15">
        <f>('[5]16_17 fleet_v2'!$D332+'[5]16_17 fleet_v2'!$D347)/1000000</f>
        <v>7.8777429699999999</v>
      </c>
      <c r="H19" s="29">
        <f>VLOOKUP(B19,[9]RegionTotal!B$2:E$15,2,0)/1000000</f>
        <v>1229.7380230000001</v>
      </c>
      <c r="I19" s="13">
        <f t="shared" si="0"/>
        <v>1132.1353617100001</v>
      </c>
    </row>
    <row r="20" spans="2:9" ht="34.5" customHeight="1" thickTop="1" thickBot="1" x14ac:dyDescent="0.25">
      <c r="B20" s="20" t="s">
        <v>20</v>
      </c>
      <c r="C20" s="4">
        <f>(SUM('[5]16_17 fleet_v2'!$D$258:$D$272)+SUM('[5]16_17 fleet_v2'!$D$273:$D$287)+SUM('[5]16_17 fleet_v2'!$D$288:$D$302)+SUM('[5]16_17 fleet_v2'!$D$303:$D$317))/1000000</f>
        <v>34450.384512429999</v>
      </c>
      <c r="D20" s="4">
        <f>(SUM('[5]16_17 fleet_v2'!$D$378:$D$392)+SUM('[5]16_17 fleet_v2'!$D$393:$D$407)+SUM('[5]16_17 fleet_v2'!$D$408:$D$422)+SUM('[5]16_17 fleet_v2'!$D$423:$D$437))/1000000</f>
        <v>8118.3827808700007</v>
      </c>
      <c r="E20" s="4">
        <f>SUM('[5]16_17 fleet_v2'!$D$348:$D$377)/1000000</f>
        <v>2974.6366864499996</v>
      </c>
      <c r="F20" s="4">
        <f>(SUM('[5]16_17 fleet_v2'!$D$228:$D$242)+SUM('[5]16_17 fleet_v2'!$D$243:$D$257))/1000000</f>
        <v>285.50534501000004</v>
      </c>
      <c r="G20" s="4">
        <f>(SUM('[5]16_17 fleet_v2'!$D$318:$D$347))/1000000</f>
        <v>414.46694112999995</v>
      </c>
      <c r="H20" s="21"/>
      <c r="I20" s="9">
        <f t="shared" si="0"/>
        <v>46243.376265890001</v>
      </c>
    </row>
    <row r="21" spans="2:9" ht="36" thickTop="1" thickBot="1" x14ac:dyDescent="0.25">
      <c r="B21" s="31" t="s">
        <v>23</v>
      </c>
      <c r="C21" s="9">
        <f t="shared" ref="C21:H21" si="1">SUM(C6:C19)</f>
        <v>34450.084269019993</v>
      </c>
      <c r="D21" s="9">
        <f t="shared" si="1"/>
        <v>8118.2348700499988</v>
      </c>
      <c r="E21" s="9">
        <f t="shared" si="1"/>
        <v>2923.6236848799999</v>
      </c>
      <c r="F21" s="9">
        <f t="shared" si="1"/>
        <v>280.7337454900001</v>
      </c>
      <c r="G21" s="9">
        <f t="shared" si="1"/>
        <v>398.08296931999996</v>
      </c>
      <c r="H21" s="9">
        <f t="shared" si="1"/>
        <v>45018.233201999989</v>
      </c>
      <c r="I21" s="10"/>
    </row>
    <row r="22" spans="2:9" ht="18" thickTop="1" thickBot="1" x14ac:dyDescent="0.25">
      <c r="B22" s="8" t="s">
        <v>97</v>
      </c>
      <c r="C22" s="9">
        <f>('[5]16_17 fleet_v2'!$D$258+'[5]16_17 fleet_v2'!$D$273+'[5]16_17 fleet_v2'!$D$288+'[5]16_17 fleet_v2'!$D$303)/1000000</f>
        <v>0.30024340999999999</v>
      </c>
      <c r="D22" s="9">
        <f>('[5]16_17 fleet_v2'!$D$378+'[5]16_17 fleet_v2'!$D$393+'[5]16_17 fleet_v2'!$D$408+'[5]16_17 fleet_v2'!$D$423)/1000000</f>
        <v>0.14791082</v>
      </c>
      <c r="E22" s="9">
        <f>('[5]16_17 fleet_v2'!$D$348+'[5]16_17 fleet_v2'!$D$363)/1000000</f>
        <v>51.01300157</v>
      </c>
      <c r="F22" s="9">
        <f>('[5]16_17 fleet_v2'!$D$228+'[5]16_17 fleet_v2'!$D$243)/1000000</f>
        <v>4.7715995200000005</v>
      </c>
      <c r="G22" s="9">
        <f>('[5]16_17 fleet_v2'!$D$318+'[5]16_17 fleet_v2'!$D$333)/1000000</f>
        <v>16.383971810000002</v>
      </c>
      <c r="H22" s="10"/>
      <c r="I22" s="10"/>
    </row>
    <row r="23" spans="2:9" ht="36" thickTop="1" thickBot="1" x14ac:dyDescent="0.25">
      <c r="B23" s="31" t="s">
        <v>99</v>
      </c>
      <c r="C23" s="9">
        <f>C21+C22</f>
        <v>34450.384512429991</v>
      </c>
      <c r="D23" s="9">
        <f>D21+D22</f>
        <v>8118.3827808699989</v>
      </c>
      <c r="E23" s="9">
        <f>E22+E21</f>
        <v>2974.6366864500001</v>
      </c>
      <c r="F23" s="9">
        <f>F21+F22</f>
        <v>285.5053450100001</v>
      </c>
      <c r="G23" s="9">
        <f>G21+G22</f>
        <v>414.46694112999995</v>
      </c>
      <c r="H23" s="10"/>
      <c r="I23" s="10"/>
    </row>
    <row r="24" spans="2:9" ht="14" thickTop="1" x14ac:dyDescent="0.15"/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8"/>
  <dimension ref="B4:K30"/>
  <sheetViews>
    <sheetView workbookViewId="0">
      <selection activeCell="J23" sqref="J23"/>
    </sheetView>
  </sheetViews>
  <sheetFormatPr baseColWidth="10" defaultColWidth="8.83203125" defaultRowHeight="13" x14ac:dyDescent="0.15"/>
  <cols>
    <col min="2" max="2" width="21.5" customWidth="1"/>
    <col min="3" max="11" width="17.6640625" customWidth="1"/>
  </cols>
  <sheetData>
    <row r="4" spans="2:11" ht="14" thickBot="1" x14ac:dyDescent="0.2">
      <c r="B4" s="19" t="s">
        <v>14</v>
      </c>
    </row>
    <row r="5" spans="2:11" ht="48.75" customHeight="1" thickTop="1" thickBot="1" x14ac:dyDescent="0.2">
      <c r="B5" s="12"/>
      <c r="C5" s="22" t="s">
        <v>74</v>
      </c>
      <c r="D5" s="22" t="s">
        <v>73</v>
      </c>
      <c r="E5" s="22" t="s">
        <v>93</v>
      </c>
      <c r="F5" s="22" t="s">
        <v>94</v>
      </c>
      <c r="G5" s="22" t="s">
        <v>95</v>
      </c>
      <c r="H5" s="22" t="s">
        <v>21</v>
      </c>
      <c r="I5" s="3" t="s">
        <v>22</v>
      </c>
      <c r="J5" s="3" t="s">
        <v>16</v>
      </c>
      <c r="K5" s="3" t="s">
        <v>17</v>
      </c>
    </row>
    <row r="6" spans="2:11" ht="17" thickTop="1" x14ac:dyDescent="0.2">
      <c r="B6" s="23" t="s">
        <v>0</v>
      </c>
      <c r="C6" s="11">
        <f>'Original 2016-17 Data'!C6*C$22*$J6</f>
        <v>1310.4594569082421</v>
      </c>
      <c r="D6" s="11">
        <f>'Original 2016-17 Data'!D6*D$22*$J6</f>
        <v>397.56138070693328</v>
      </c>
      <c r="E6" s="11">
        <f>'Original 2016-17 Data'!E6*E$22*$J6</f>
        <v>144.68127590537878</v>
      </c>
      <c r="F6" s="11">
        <f>'Original 2016-17 Data'!F6*F$22*$J6</f>
        <v>11.219540743730134</v>
      </c>
      <c r="G6" s="11">
        <f>'Original 2016-17 Data'!G6*G$22*$J6</f>
        <v>13.936503563654707</v>
      </c>
      <c r="H6" s="11">
        <f>'Original 2016-17 Data'!H6*'Original 2016-17 Data'!$I$20/'Original 2016-17 Data'!$H$21</f>
        <v>1868.5278913127747</v>
      </c>
      <c r="I6" s="11">
        <f>SUM(C6:G6)</f>
        <v>1877.8581578279388</v>
      </c>
      <c r="J6" s="12">
        <v>1.094642866656802</v>
      </c>
      <c r="K6" s="12">
        <f>J6*H6/I6</f>
        <v>1.0892040588095444</v>
      </c>
    </row>
    <row r="7" spans="2:11" ht="16" x14ac:dyDescent="0.2">
      <c r="B7" s="24" t="s">
        <v>1</v>
      </c>
      <c r="C7" s="13">
        <f>'Original 2016-17 Data'!C7*C$22*$J7</f>
        <v>10918.950544000898</v>
      </c>
      <c r="D7" s="13">
        <f>'Original 2016-17 Data'!D7*D$22*$J7</f>
        <v>1831.9769456754079</v>
      </c>
      <c r="E7" s="13">
        <f>'Original 2016-17 Data'!E7*E$22*$J7</f>
        <v>661.10320489409708</v>
      </c>
      <c r="F7" s="13">
        <f>'Original 2016-17 Data'!F7*F$22*$J7</f>
        <v>101.89383247207647</v>
      </c>
      <c r="G7" s="13">
        <f>'Original 2016-17 Data'!G7*G$22*$J7</f>
        <v>104.47605597583795</v>
      </c>
      <c r="H7" s="13">
        <f>'Original 2016-17 Data'!H7*'Original 2016-17 Data'!$I$20/'Original 2016-17 Data'!$H$21</f>
        <v>13685.823528673785</v>
      </c>
      <c r="I7" s="13">
        <f t="shared" ref="I7:I20" si="0">SUM(C7:G7)</f>
        <v>13618.400583018318</v>
      </c>
      <c r="J7" s="14">
        <v>0.9161041230190009</v>
      </c>
      <c r="K7" s="14">
        <f t="shared" ref="K7:K19" si="1">J7*H7/I7</f>
        <v>0.9206396364314996</v>
      </c>
    </row>
    <row r="8" spans="2:11" ht="16" x14ac:dyDescent="0.2">
      <c r="B8" s="24" t="s">
        <v>2</v>
      </c>
      <c r="C8" s="13">
        <f>'Original 2016-17 Data'!C8*C$22*$J8</f>
        <v>4325.8637029715546</v>
      </c>
      <c r="D8" s="13">
        <f>'Original 2016-17 Data'!D8*D$22*$J8</f>
        <v>1141.4768309784886</v>
      </c>
      <c r="E8" s="13">
        <f>'Original 2016-17 Data'!E8*E$22*$J8</f>
        <v>433.93649280746615</v>
      </c>
      <c r="F8" s="13">
        <f>'Original 2016-17 Data'!F8*F$22*$J8</f>
        <v>22.969028075780507</v>
      </c>
      <c r="G8" s="13">
        <f>'Original 2016-17 Data'!G8*G$22*$J8</f>
        <v>50.55125646295086</v>
      </c>
      <c r="H8" s="13">
        <f>'Original 2016-17 Data'!H8*'Original 2016-17 Data'!$I$20/'Original 2016-17 Data'!$H$21</f>
        <v>5954.0043050383356</v>
      </c>
      <c r="I8" s="13">
        <f t="shared" si="0"/>
        <v>5974.7973112962409</v>
      </c>
      <c r="J8" s="14">
        <v>1.2383196574187587</v>
      </c>
      <c r="K8" s="14">
        <f t="shared" si="1"/>
        <v>1.2340101575237055</v>
      </c>
    </row>
    <row r="9" spans="2:11" ht="16" x14ac:dyDescent="0.2">
      <c r="B9" s="24" t="s">
        <v>3</v>
      </c>
      <c r="C9" s="13">
        <f>'Original 2016-17 Data'!C9*C$22*$J9</f>
        <v>2282.4128309615326</v>
      </c>
      <c r="D9" s="13">
        <f>'Original 2016-17 Data'!D9*D$22*$J9</f>
        <v>650.78731361289783</v>
      </c>
      <c r="E9" s="13">
        <f>'Original 2016-17 Data'!E9*E$22*$J9</f>
        <v>260.02752815483871</v>
      </c>
      <c r="F9" s="13">
        <f>'Original 2016-17 Data'!F9*F$22*$J9</f>
        <v>15.704149949548299</v>
      </c>
      <c r="G9" s="13">
        <f>'Original 2016-17 Data'!G9*G$22*$J9</f>
        <v>29.937966164015663</v>
      </c>
      <c r="H9" s="13">
        <f>'Original 2016-17 Data'!H9*'Original 2016-17 Data'!$I$20/'Original 2016-17 Data'!$H$21</f>
        <v>3140.8569828253317</v>
      </c>
      <c r="I9" s="13">
        <f t="shared" si="0"/>
        <v>3238.8697888428328</v>
      </c>
      <c r="J9" s="14">
        <v>0.90613990751195883</v>
      </c>
      <c r="K9" s="14">
        <f t="shared" si="1"/>
        <v>0.87871882523022349</v>
      </c>
    </row>
    <row r="10" spans="2:11" ht="16" x14ac:dyDescent="0.2">
      <c r="B10" s="24" t="s">
        <v>4</v>
      </c>
      <c r="C10" s="13">
        <f>'Original 2016-17 Data'!C10*C$22*$J10</f>
        <v>251.16506051511524</v>
      </c>
      <c r="D10" s="13">
        <f>'Original 2016-17 Data'!D10*D$22*$J10</f>
        <v>114.90818236685307</v>
      </c>
      <c r="E10" s="13">
        <f>'Original 2016-17 Data'!E10*E$22*$J10</f>
        <v>37.903907769942656</v>
      </c>
      <c r="F10" s="13">
        <f>'Original 2016-17 Data'!F10*F$22*$J10</f>
        <v>1.8437925209266235</v>
      </c>
      <c r="G10" s="13">
        <f>'Original 2016-17 Data'!G10*G$22*$J10</f>
        <v>3.1917678125708666</v>
      </c>
      <c r="H10" s="13">
        <f>'Original 2016-17 Data'!H10*'Original 2016-17 Data'!$I$20/'Original 2016-17 Data'!$H$21</f>
        <v>410.99896942348317</v>
      </c>
      <c r="I10" s="13">
        <f t="shared" si="0"/>
        <v>409.01271098540843</v>
      </c>
      <c r="J10" s="14">
        <v>1.0493185514670542</v>
      </c>
      <c r="K10" s="14">
        <f t="shared" si="1"/>
        <v>1.0544142802087317</v>
      </c>
    </row>
    <row r="11" spans="2:11" ht="16" x14ac:dyDescent="0.2">
      <c r="B11" s="24" t="s">
        <v>5</v>
      </c>
      <c r="C11" s="13">
        <f>'Original 2016-17 Data'!C11*C$22*$J11</f>
        <v>1161.2288929729091</v>
      </c>
      <c r="D11" s="13">
        <f>'Original 2016-17 Data'!D11*D$22*$J11</f>
        <v>331.21436331063632</v>
      </c>
      <c r="E11" s="13">
        <f>'Original 2016-17 Data'!E11*E$22*$J11</f>
        <v>118.48078788976672</v>
      </c>
      <c r="F11" s="13">
        <f>'Original 2016-17 Data'!F11*F$22*$J11</f>
        <v>5.410971667425196</v>
      </c>
      <c r="G11" s="13">
        <f>'Original 2016-17 Data'!G11*G$22*$J11</f>
        <v>13.680742605734771</v>
      </c>
      <c r="H11" s="13">
        <f>'Original 2016-17 Data'!H11*'Original 2016-17 Data'!$I$20/'Original 2016-17 Data'!$H$21</f>
        <v>1633.1505894150819</v>
      </c>
      <c r="I11" s="13">
        <f t="shared" si="0"/>
        <v>1630.0157584464723</v>
      </c>
      <c r="J11" s="14">
        <v>1.0478624231413032</v>
      </c>
      <c r="K11" s="14">
        <f t="shared" si="1"/>
        <v>1.049877662293369</v>
      </c>
    </row>
    <row r="12" spans="2:11" ht="16" x14ac:dyDescent="0.2">
      <c r="B12" s="24" t="s">
        <v>6</v>
      </c>
      <c r="C12" s="13">
        <f>'Original 2016-17 Data'!C12*C$22*$J12</f>
        <v>816.64413779227027</v>
      </c>
      <c r="D12" s="13">
        <f>'Original 2016-17 Data'!D12*D$22*$J12</f>
        <v>217.29820314360182</v>
      </c>
      <c r="E12" s="13">
        <f>'Original 2016-17 Data'!E12*E$22*$J12</f>
        <v>95.754915641963777</v>
      </c>
      <c r="F12" s="13">
        <f>'Original 2016-17 Data'!F12*F$22*$J12</f>
        <v>3.5737925857278485</v>
      </c>
      <c r="G12" s="13">
        <f>'Original 2016-17 Data'!G12*G$22*$J12</f>
        <v>13.001290265147537</v>
      </c>
      <c r="H12" s="13">
        <f>'Original 2016-17 Data'!H12*'Original 2016-17 Data'!$I$20/'Original 2016-17 Data'!$H$21</f>
        <v>1151.8389008235092</v>
      </c>
      <c r="I12" s="13">
        <f t="shared" si="0"/>
        <v>1146.2723394287116</v>
      </c>
      <c r="J12" s="14">
        <v>1.0254309987362333</v>
      </c>
      <c r="K12" s="14">
        <f t="shared" si="1"/>
        <v>1.0304107268638776</v>
      </c>
    </row>
    <row r="13" spans="2:11" ht="16" x14ac:dyDescent="0.2">
      <c r="B13" s="24" t="s">
        <v>7</v>
      </c>
      <c r="C13" s="13">
        <f>'Original 2016-17 Data'!C13*C$22*$J13</f>
        <v>1839.4830985948263</v>
      </c>
      <c r="D13" s="13">
        <f>'Original 2016-17 Data'!D13*D$22*$J13</f>
        <v>525.47706786232436</v>
      </c>
      <c r="E13" s="13">
        <f>'Original 2016-17 Data'!E13*E$22*$J13</f>
        <v>210.09530635285617</v>
      </c>
      <c r="F13" s="13">
        <f>'Original 2016-17 Data'!F13*F$22*$J13</f>
        <v>9.6975881647231397</v>
      </c>
      <c r="G13" s="13">
        <f>'Original 2016-17 Data'!G13*G$22*$J13</f>
        <v>27.613416852924839</v>
      </c>
      <c r="H13" s="13">
        <f>'Original 2016-17 Data'!H13*'Original 2016-17 Data'!$I$20/'Original 2016-17 Data'!$H$21</f>
        <v>2591.3759431171434</v>
      </c>
      <c r="I13" s="13">
        <f t="shared" si="0"/>
        <v>2612.3664778276548</v>
      </c>
      <c r="J13" s="14">
        <v>1.1274360576318792</v>
      </c>
      <c r="K13" s="14">
        <f t="shared" si="1"/>
        <v>1.1183770355143992</v>
      </c>
    </row>
    <row r="14" spans="2:11" ht="16" x14ac:dyDescent="0.2">
      <c r="B14" s="24" t="s">
        <v>8</v>
      </c>
      <c r="C14" s="13">
        <f>'Original 2016-17 Data'!C14*C$22*$J14</f>
        <v>2915.2258368759049</v>
      </c>
      <c r="D14" s="13">
        <f>'Original 2016-17 Data'!D14*D$22*$J14</f>
        <v>514.26487795925254</v>
      </c>
      <c r="E14" s="13">
        <f>'Original 2016-17 Data'!E14*E$22*$J14</f>
        <v>145.99577978492675</v>
      </c>
      <c r="F14" s="13">
        <f>'Original 2016-17 Data'!F14*F$22*$J14</f>
        <v>20.026365851035507</v>
      </c>
      <c r="G14" s="13">
        <f>'Original 2016-17 Data'!G14*G$22*$J14</f>
        <v>44.380055634303879</v>
      </c>
      <c r="H14" s="13">
        <f>'Original 2016-17 Data'!H14*'Original 2016-17 Data'!$I$20/'Original 2016-17 Data'!$H$21</f>
        <v>3657.4788440269785</v>
      </c>
      <c r="I14" s="13">
        <f t="shared" si="0"/>
        <v>3639.8929161054239</v>
      </c>
      <c r="J14" s="14">
        <v>0.90925372562529627</v>
      </c>
      <c r="K14" s="14">
        <f t="shared" si="1"/>
        <v>0.91364673136744334</v>
      </c>
    </row>
    <row r="15" spans="2:11" ht="16" x14ac:dyDescent="0.2">
      <c r="B15" s="24" t="s">
        <v>9</v>
      </c>
      <c r="C15" s="13">
        <f>'Original 2016-17 Data'!C15*C$22*$J15</f>
        <v>1050.7576353443119</v>
      </c>
      <c r="D15" s="13">
        <f>'Original 2016-17 Data'!D15*D$22*$J15</f>
        <v>316.51914203250629</v>
      </c>
      <c r="E15" s="13">
        <f>'Original 2016-17 Data'!E15*E$22*$J15</f>
        <v>107.78043224530198</v>
      </c>
      <c r="F15" s="13">
        <f>'Original 2016-17 Data'!F15*F$22*$J15</f>
        <v>6.7725013683992685</v>
      </c>
      <c r="G15" s="13">
        <f>'Original 2016-17 Data'!G15*G$22*$J15</f>
        <v>19.546073851503056</v>
      </c>
      <c r="H15" s="13">
        <f>'Original 2016-17 Data'!H15*'Original 2016-17 Data'!$I$20/'Original 2016-17 Data'!$H$21</f>
        <v>1508.6846230130038</v>
      </c>
      <c r="I15" s="13">
        <f t="shared" si="0"/>
        <v>1501.3757848420223</v>
      </c>
      <c r="J15" s="14">
        <v>0.94844747704284738</v>
      </c>
      <c r="K15" s="14">
        <f t="shared" si="1"/>
        <v>0.95306460833893469</v>
      </c>
    </row>
    <row r="16" spans="2:11" ht="16" x14ac:dyDescent="0.2">
      <c r="B16" s="24" t="s">
        <v>10</v>
      </c>
      <c r="C16" s="13">
        <f>'Original 2016-17 Data'!C16*C$22*$J16</f>
        <v>366.43774871601812</v>
      </c>
      <c r="D16" s="13">
        <f>'Original 2016-17 Data'!D16*D$22*$J16</f>
        <v>139.23474761311437</v>
      </c>
      <c r="E16" s="13">
        <f>'Original 2016-17 Data'!E16*E$22*$J16</f>
        <v>55.38083484363041</v>
      </c>
      <c r="F16" s="13">
        <f>'Original 2016-17 Data'!F16*F$22*$J16</f>
        <v>2.9532775649776024</v>
      </c>
      <c r="G16" s="13">
        <f>'Original 2016-17 Data'!G16*G$22*$J16</f>
        <v>7.1659192329701016</v>
      </c>
      <c r="H16" s="13">
        <f>'Original 2016-17 Data'!H16*'Original 2016-17 Data'!$I$20/'Original 2016-17 Data'!$H$21</f>
        <v>573.94626507458349</v>
      </c>
      <c r="I16" s="13">
        <f t="shared" si="0"/>
        <v>571.17252797071058</v>
      </c>
      <c r="J16" s="14">
        <v>1.7319937880870762</v>
      </c>
      <c r="K16" s="14">
        <f t="shared" si="1"/>
        <v>1.740404723834919</v>
      </c>
    </row>
    <row r="17" spans="2:11" ht="16" x14ac:dyDescent="0.2">
      <c r="B17" s="24" t="s">
        <v>11</v>
      </c>
      <c r="C17" s="13">
        <f>'Original 2016-17 Data'!C17*C$22*$J17</f>
        <v>4571.0726138429181</v>
      </c>
      <c r="D17" s="13">
        <f>'Original 2016-17 Data'!D17*D$22*$J17</f>
        <v>1150.5277407941246</v>
      </c>
      <c r="E17" s="13">
        <f>'Original 2016-17 Data'!E17*E$22*$J17</f>
        <v>438.52715852727829</v>
      </c>
      <c r="F17" s="13">
        <f>'Original 2016-17 Data'!F17*F$22*$J17</f>
        <v>53.922018565639881</v>
      </c>
      <c r="G17" s="13">
        <f>'Original 2016-17 Data'!G17*G$22*$J17</f>
        <v>57.936037287034118</v>
      </c>
      <c r="H17" s="13">
        <f>'Original 2016-17 Data'!H17*'Original 2016-17 Data'!$I$20/'Original 2016-17 Data'!$H$21</f>
        <v>6302.4437238892597</v>
      </c>
      <c r="I17" s="13">
        <f t="shared" si="0"/>
        <v>6271.9855690169952</v>
      </c>
      <c r="J17" s="14">
        <v>0.93333405219450705</v>
      </c>
      <c r="K17" s="14">
        <f t="shared" si="1"/>
        <v>0.93786652963669503</v>
      </c>
    </row>
    <row r="18" spans="2:11" ht="16" x14ac:dyDescent="0.2">
      <c r="B18" s="24" t="s">
        <v>12</v>
      </c>
      <c r="C18" s="13">
        <f>'Original 2016-17 Data'!C18*C$22*$J18</f>
        <v>1815.9593180970548</v>
      </c>
      <c r="D18" s="13">
        <f>'Original 2016-17 Data'!D18*D$22*$J18</f>
        <v>481.56820071250354</v>
      </c>
      <c r="E18" s="13">
        <f>'Original 2016-17 Data'!E18*E$22*$J18</f>
        <v>150.45720998322528</v>
      </c>
      <c r="F18" s="13">
        <f>'Original 2016-17 Data'!F18*F$22*$J18</f>
        <v>21.073427945817279</v>
      </c>
      <c r="G18" s="13">
        <f>'Original 2016-17 Data'!G18*G$22*$J18</f>
        <v>19.901364309339975</v>
      </c>
      <c r="H18" s="13">
        <f>'Original 2016-17 Data'!H18*'Original 2016-17 Data'!$I$20/'Original 2016-17 Data'!$H$21</f>
        <v>2501.0411249925032</v>
      </c>
      <c r="I18" s="13">
        <f t="shared" si="0"/>
        <v>2488.9595210479411</v>
      </c>
      <c r="J18" s="14">
        <v>1.1752788477730838</v>
      </c>
      <c r="K18" s="14">
        <f t="shared" si="1"/>
        <v>1.1809837431091226</v>
      </c>
    </row>
    <row r="19" spans="2:11" ht="17" thickBot="1" x14ac:dyDescent="0.25">
      <c r="B19" s="25" t="s">
        <v>13</v>
      </c>
      <c r="C19" s="15">
        <f>'Original 2016-17 Data'!C19*C$22*$J19</f>
        <v>824.69733495133607</v>
      </c>
      <c r="D19" s="15">
        <f>'Original 2016-17 Data'!D19*D$22*$J19</f>
        <v>305.58632051205348</v>
      </c>
      <c r="E19" s="15">
        <f>'Original 2016-17 Data'!E19*E$22*$J19</f>
        <v>114.5199435578987</v>
      </c>
      <c r="F19" s="15">
        <f>'Original 2016-17 Data'!F19*F$22*$J19</f>
        <v>8.4445767328455812</v>
      </c>
      <c r="G19" s="15">
        <f>'Original 2016-17 Data'!G19*G$22*$J19</f>
        <v>9.1486434791888858</v>
      </c>
      <c r="H19" s="15">
        <f>'Original 2016-17 Data'!H19*'Original 2016-17 Data'!$I$20/'Original 2016-17 Data'!$H$21</f>
        <v>1263.2045742642406</v>
      </c>
      <c r="I19" s="15">
        <f t="shared" si="0"/>
        <v>1262.3968192333227</v>
      </c>
      <c r="J19" s="16">
        <v>1.1148622934176697</v>
      </c>
      <c r="K19" s="16">
        <f t="shared" si="1"/>
        <v>1.1155756472637572</v>
      </c>
    </row>
    <row r="20" spans="2:11" ht="32.25" customHeight="1" thickTop="1" thickBot="1" x14ac:dyDescent="0.25">
      <c r="B20" s="20" t="s">
        <v>20</v>
      </c>
      <c r="C20" s="4">
        <f>'Original 2016-17 Data'!C20</f>
        <v>34450.384512429999</v>
      </c>
      <c r="D20" s="4">
        <f>'Original 2016-17 Data'!D20</f>
        <v>8118.3827808700007</v>
      </c>
      <c r="E20" s="4">
        <f>'Original 2016-17 Data'!E20</f>
        <v>2974.6366864499996</v>
      </c>
      <c r="F20" s="4">
        <f>'Original 2016-17 Data'!F20</f>
        <v>285.50534501000004</v>
      </c>
      <c r="G20" s="4">
        <f>'Original 2016-17 Data'!G20</f>
        <v>414.46694112999995</v>
      </c>
      <c r="H20" s="5"/>
      <c r="I20" s="9">
        <f t="shared" si="0"/>
        <v>46243.376265890001</v>
      </c>
    </row>
    <row r="21" spans="2:11" ht="36" thickTop="1" thickBot="1" x14ac:dyDescent="0.25">
      <c r="B21" s="31" t="s">
        <v>23</v>
      </c>
      <c r="C21" s="9">
        <f t="shared" ref="C21:H21" si="2">SUM(C6:C19)</f>
        <v>34450.358212544888</v>
      </c>
      <c r="D21" s="9">
        <f t="shared" si="2"/>
        <v>8118.401317280699</v>
      </c>
      <c r="E21" s="9">
        <f t="shared" si="2"/>
        <v>2974.6447783585722</v>
      </c>
      <c r="F21" s="9">
        <f t="shared" si="2"/>
        <v>285.50486420865337</v>
      </c>
      <c r="G21" s="9">
        <f t="shared" si="2"/>
        <v>414.46709349717725</v>
      </c>
      <c r="H21" s="9">
        <f t="shared" si="2"/>
        <v>46243.376265890016</v>
      </c>
      <c r="I21" s="6"/>
    </row>
    <row r="22" spans="2:11" ht="18" thickTop="1" thickBot="1" x14ac:dyDescent="0.25">
      <c r="B22" s="8" t="s">
        <v>16</v>
      </c>
      <c r="C22" s="10">
        <v>1.0046933600736137</v>
      </c>
      <c r="D22" s="10">
        <v>0.98577745602828348</v>
      </c>
      <c r="E22" s="10">
        <v>1.00111844984433</v>
      </c>
      <c r="F22" s="10">
        <v>1.0348277732528652</v>
      </c>
      <c r="G22" s="10">
        <v>1.041678425896573</v>
      </c>
      <c r="H22" s="17"/>
    </row>
    <row r="23" spans="2:11" ht="18" thickTop="1" thickBot="1" x14ac:dyDescent="0.25">
      <c r="B23" s="8" t="s">
        <v>17</v>
      </c>
      <c r="C23" s="10">
        <f>C22*C20/C21</f>
        <v>1.0046941270705714</v>
      </c>
      <c r="D23" s="10">
        <f>D22*D20/D21</f>
        <v>0.98577520524329909</v>
      </c>
      <c r="E23" s="10">
        <f>E22*E20/E21</f>
        <v>1.0011157265077402</v>
      </c>
      <c r="F23" s="10">
        <f>F22*F20/F21</f>
        <v>1.0348295159432683</v>
      </c>
      <c r="G23" s="10">
        <f>G22*G20/G21</f>
        <v>1.0416780429527788</v>
      </c>
      <c r="H23" s="18"/>
    </row>
    <row r="24" spans="2:11" ht="18" thickTop="1" thickBot="1" x14ac:dyDescent="0.25">
      <c r="B24" s="8" t="s">
        <v>15</v>
      </c>
      <c r="C24" s="10" t="str">
        <f>IF(ABS(C20-C21)&lt;Convergence_Criteria, "YES","NO")</f>
        <v>YES</v>
      </c>
      <c r="D24" s="10" t="str">
        <f>IF(ABS(D20-D21)&lt;Convergence_Criteria, "YES","NO")</f>
        <v>YES</v>
      </c>
      <c r="E24" s="10" t="str">
        <f>IF(ABS(E20-E21)&lt;Convergence_Criteria, "YES","NO")</f>
        <v>YES</v>
      </c>
      <c r="F24" s="10" t="str">
        <f>IF(ABS(F20-F21)&lt;Convergence_Criteria, "YES","NO")</f>
        <v>YES</v>
      </c>
      <c r="G24" s="10" t="str">
        <f>IF(ABS(G20-G21)&lt;Convergence_Criteria, "YES","NO")</f>
        <v>YES</v>
      </c>
      <c r="H24" s="18"/>
    </row>
    <row r="25" spans="2:11" ht="14" thickTop="1" x14ac:dyDescent="0.15"/>
    <row r="28" spans="2:11" x14ac:dyDescent="0.15">
      <c r="B28" t="s">
        <v>19</v>
      </c>
    </row>
    <row r="29" spans="2:11" x14ac:dyDescent="0.15">
      <c r="B29" s="7" t="s">
        <v>181</v>
      </c>
    </row>
    <row r="30" spans="2:11" x14ac:dyDescent="0.15">
      <c r="B30" s="7" t="s">
        <v>18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B4:I27"/>
  <sheetViews>
    <sheetView workbookViewId="0">
      <selection activeCell="C13" sqref="C13"/>
    </sheetView>
  </sheetViews>
  <sheetFormatPr baseColWidth="10" defaultColWidth="8.83203125" defaultRowHeight="13" x14ac:dyDescent="0.15"/>
  <cols>
    <col min="2" max="2" width="21.5" customWidth="1"/>
    <col min="3" max="9" width="17.6640625" customWidth="1"/>
  </cols>
  <sheetData>
    <row r="4" spans="2:9" ht="14" thickBot="1" x14ac:dyDescent="0.2">
      <c r="B4" s="19" t="s">
        <v>14</v>
      </c>
    </row>
    <row r="5" spans="2:9" ht="48.75" customHeight="1" thickTop="1" thickBot="1" x14ac:dyDescent="0.2">
      <c r="B5" s="1"/>
      <c r="C5" s="2" t="s">
        <v>74</v>
      </c>
      <c r="D5" s="2" t="s">
        <v>73</v>
      </c>
      <c r="E5" s="2" t="s">
        <v>75</v>
      </c>
      <c r="F5" s="2" t="s">
        <v>76</v>
      </c>
      <c r="G5" s="2" t="s">
        <v>77</v>
      </c>
      <c r="H5" s="3" t="s">
        <v>179</v>
      </c>
      <c r="I5" s="30" t="s">
        <v>22</v>
      </c>
    </row>
    <row r="6" spans="2:9" ht="17" thickTop="1" x14ac:dyDescent="0.2">
      <c r="B6" s="26" t="s">
        <v>0</v>
      </c>
      <c r="C6" s="11">
        <f>('[6]17_18 fleet_v3'!$D309+'[6]17_18 fleet_v3'!$D324+'[6]17_18 fleet_v3'!$D339+'[6]17_18 fleet_v3'!$D354)/1000000</f>
        <v>1182.8668006800001</v>
      </c>
      <c r="D6" s="11">
        <f>('[6]17_18 fleet_v3'!$D429+'[6]17_18 fleet_v3'!$D444+'[6]17_18 fleet_v3'!$D459+'[6]17_18 fleet_v3'!$D474)/1000000</f>
        <v>384.93925265999997</v>
      </c>
      <c r="E6" s="11">
        <f>('[6]17_18 fleet_v3'!$D399+'[6]17_18 fleet_v3'!$D414)/1000000</f>
        <v>134.99908668</v>
      </c>
      <c r="F6" s="11">
        <f>('[6]17_18 fleet_v3'!$D279+'[6]17_18 fleet_v3'!$D294)/1000000</f>
        <v>10.145414870000002</v>
      </c>
      <c r="G6" s="11">
        <f>('[6]17_18 fleet_v3'!$D369+'[6]17_18 fleet_v3'!$D384)/1000000</f>
        <v>12.333528509999999</v>
      </c>
      <c r="H6" s="28">
        <f>VLOOKUP(B6,[9]RegionTotal!B$2:E$15,3,0)/1000000</f>
        <v>1987.2554029999999</v>
      </c>
      <c r="I6" s="13">
        <f>SUM(C6:G6)</f>
        <v>1725.2840834000001</v>
      </c>
    </row>
    <row r="7" spans="2:9" ht="16" x14ac:dyDescent="0.2">
      <c r="B7" s="27" t="s">
        <v>1</v>
      </c>
      <c r="C7" s="13">
        <f>('[6]17_18 fleet_v3'!$D310+'[6]17_18 fleet_v3'!$D325+'[6]17_18 fleet_v3'!$D340+'[6]17_18 fleet_v3'!$D355)/1000000</f>
        <v>12124.573362589999</v>
      </c>
      <c r="D7" s="13">
        <f>('[6]17_18 fleet_v3'!$D430+'[6]17_18 fleet_v3'!$D445+'[6]17_18 fleet_v3'!$D460+'[6]17_18 fleet_v3'!$D475)/1000000</f>
        <v>2191.21262316</v>
      </c>
      <c r="E7" s="13">
        <f>('[6]17_18 fleet_v3'!$D400+'[6]17_18 fleet_v3'!$D415)/1000000</f>
        <v>741.83794320999993</v>
      </c>
      <c r="F7" s="13">
        <f>('[6]17_18 fleet_v3'!$D280+'[6]17_18 fleet_v3'!$D295)/1000000</f>
        <v>115.55418908</v>
      </c>
      <c r="G7" s="13">
        <f>('[6]17_18 fleet_v3'!$D370+'[6]17_18 fleet_v3'!$D385)/1000000</f>
        <v>112.37751241000001</v>
      </c>
      <c r="H7" s="29">
        <f>VLOOKUP(B7,[9]RegionTotal!B$2:E$15,3,0)/1000000</f>
        <v>13020.416205</v>
      </c>
      <c r="I7" s="13">
        <f t="shared" ref="I7:I20" si="0">SUM(C7:G7)</f>
        <v>15285.555630449997</v>
      </c>
    </row>
    <row r="8" spans="2:9" ht="16" x14ac:dyDescent="0.2">
      <c r="B8" s="27" t="s">
        <v>2</v>
      </c>
      <c r="C8" s="13">
        <f>('[6]17_18 fleet_v3'!$D311+'[6]17_18 fleet_v3'!$D326+'[6]17_18 fleet_v3'!$D341+'[6]17_18 fleet_v3'!$D356)/1000000</f>
        <v>3550.9716360299999</v>
      </c>
      <c r="D8" s="13">
        <f>('[6]17_18 fleet_v3'!$D431+'[6]17_18 fleet_v3'!$D446+'[6]17_18 fleet_v3'!$D461+'[6]17_18 fleet_v3'!$D476)/1000000</f>
        <v>1022.31920364</v>
      </c>
      <c r="E8" s="13">
        <f>('[6]17_18 fleet_v3'!$D401+'[6]17_18 fleet_v3'!$D416)/1000000</f>
        <v>355.90002012000002</v>
      </c>
      <c r="F8" s="13">
        <f>('[6]17_18 fleet_v3'!$D281+'[6]17_18 fleet_v3'!$D296)/1000000</f>
        <v>16.389418720000002</v>
      </c>
      <c r="G8" s="13">
        <f>('[6]17_18 fleet_v3'!$D371+'[6]17_18 fleet_v3'!$D386)/1000000</f>
        <v>39.866356059999994</v>
      </c>
      <c r="H8" s="29">
        <f>VLOOKUP(B8,[9]RegionTotal!B$2:E$15,3,0)/1000000</f>
        <v>6197.5648520000004</v>
      </c>
      <c r="I8" s="13">
        <f t="shared" si="0"/>
        <v>4985.4466345699993</v>
      </c>
    </row>
    <row r="9" spans="2:9" ht="16" x14ac:dyDescent="0.2">
      <c r="B9" s="27" t="s">
        <v>3</v>
      </c>
      <c r="C9" s="13">
        <f>('[6]17_18 fleet_v3'!$D312+'[6]17_18 fleet_v3'!$D327+'[6]17_18 fleet_v3'!$D342+'[6]17_18 fleet_v3'!$D357)/1000000</f>
        <v>2560.5953667400004</v>
      </c>
      <c r="D9" s="13">
        <f>('[6]17_18 fleet_v3'!$D432+'[6]17_18 fleet_v3'!$D447+'[6]17_18 fleet_v3'!$D462+'[6]17_18 fleet_v3'!$D477)/1000000</f>
        <v>803.77888521</v>
      </c>
      <c r="E9" s="13">
        <f>('[6]17_18 fleet_v3'!$D402+'[6]17_18 fleet_v3'!$D417)/1000000</f>
        <v>295.81645753000004</v>
      </c>
      <c r="F9" s="13">
        <f>('[6]17_18 fleet_v3'!$D282+'[6]17_18 fleet_v3'!$D297)/1000000</f>
        <v>17.063911260000001</v>
      </c>
      <c r="G9" s="13">
        <f>('[6]17_18 fleet_v3'!$D372+'[6]17_18 fleet_v3'!$D387)/1000000</f>
        <v>33.042920209999998</v>
      </c>
      <c r="H9" s="29">
        <f>VLOOKUP(B9,[9]RegionTotal!B$2:E$15,3,0)/1000000</f>
        <v>3090.815638</v>
      </c>
      <c r="I9" s="13">
        <f t="shared" si="0"/>
        <v>3710.2975409500004</v>
      </c>
    </row>
    <row r="10" spans="2:9" ht="16" x14ac:dyDescent="0.2">
      <c r="B10" s="27" t="s">
        <v>4</v>
      </c>
      <c r="C10" s="13">
        <f>('[6]17_18 fleet_v3'!$D313+'[6]17_18 fleet_v3'!$D328+'[6]17_18 fleet_v3'!$D343+'[6]17_18 fleet_v3'!$D358)/1000000</f>
        <v>276.88607718999998</v>
      </c>
      <c r="D10" s="13">
        <f>('[6]17_18 fleet_v3'!$D433+'[6]17_18 fleet_v3'!$D448+'[6]17_18 fleet_v3'!$D463+'[6]17_18 fleet_v3'!$D478)/1000000</f>
        <v>126.63716673</v>
      </c>
      <c r="E10" s="13">
        <f>('[6]17_18 fleet_v3'!$D403+'[6]17_18 fleet_v3'!$D418)/1000000</f>
        <v>40.924533400000001</v>
      </c>
      <c r="F10" s="13">
        <f>('[6]17_18 fleet_v3'!$D283+'[6]17_18 fleet_v3'!$D298)/1000000</f>
        <v>1.6587507999999997</v>
      </c>
      <c r="G10" s="13">
        <f>('[6]17_18 fleet_v3'!$D373+'[6]17_18 fleet_v3'!$D388)/1000000</f>
        <v>3.1224106300000001</v>
      </c>
      <c r="H10" s="29">
        <f>VLOOKUP(B10,[9]RegionTotal!B$2:E$15,3,0)/1000000</f>
        <v>404.502635</v>
      </c>
      <c r="I10" s="13">
        <f t="shared" si="0"/>
        <v>449.22893875</v>
      </c>
    </row>
    <row r="11" spans="2:9" ht="16" x14ac:dyDescent="0.2">
      <c r="B11" s="27" t="s">
        <v>5</v>
      </c>
      <c r="C11" s="13">
        <f>('[6]17_18 fleet_v3'!$D314+'[6]17_18 fleet_v3'!$D329+'[6]17_18 fleet_v3'!$D344+'[6]17_18 fleet_v3'!$D359)/1000000</f>
        <v>1131.4357056199999</v>
      </c>
      <c r="D11" s="13">
        <f>('[6]17_18 fleet_v3'!$D434+'[6]17_18 fleet_v3'!$D449+'[6]17_18 fleet_v3'!$D464+'[6]17_18 fleet_v3'!$D479)/1000000</f>
        <v>349.99997917000002</v>
      </c>
      <c r="E11" s="13">
        <f>('[6]17_18 fleet_v3'!$D404+'[6]17_18 fleet_v3'!$D419)/1000000</f>
        <v>120.84119417999999</v>
      </c>
      <c r="F11" s="13">
        <f>('[6]17_18 fleet_v3'!$D284+'[6]17_18 fleet_v3'!$D299)/1000000</f>
        <v>5.0511927000000005</v>
      </c>
      <c r="G11" s="13">
        <f>('[6]17_18 fleet_v3'!$D374+'[6]17_18 fleet_v3'!$D389)/1000000</f>
        <v>12.87558303</v>
      </c>
      <c r="H11" s="29">
        <f>VLOOKUP(B11,[9]RegionTotal!B$2:E$15,3,0)/1000000</f>
        <v>1614.9305360000001</v>
      </c>
      <c r="I11" s="13">
        <f t="shared" si="0"/>
        <v>1620.2036546999998</v>
      </c>
    </row>
    <row r="12" spans="2:9" ht="16" x14ac:dyDescent="0.2">
      <c r="B12" s="27" t="s">
        <v>6</v>
      </c>
      <c r="C12" s="13">
        <f>('[6]17_18 fleet_v3'!$D315+'[6]17_18 fleet_v3'!$D330+'[6]17_18 fleet_v3'!$D345+'[6]17_18 fleet_v3'!$D360)/1000000</f>
        <v>840.51862917999995</v>
      </c>
      <c r="D12" s="13">
        <f>('[6]17_18 fleet_v3'!$D435+'[6]17_18 fleet_v3'!$D450+'[6]17_18 fleet_v3'!$D465+'[6]17_18 fleet_v3'!$D480)/1000000</f>
        <v>243.87210739</v>
      </c>
      <c r="E12" s="13">
        <f>('[6]17_18 fleet_v3'!$D405+'[6]17_18 fleet_v3'!$D420)/1000000</f>
        <v>95.11838994</v>
      </c>
      <c r="F12" s="13">
        <f>('[6]17_18 fleet_v3'!$D285+'[6]17_18 fleet_v3'!$D300)/1000000</f>
        <v>3.1327922300000002</v>
      </c>
      <c r="G12" s="13">
        <f>('[6]17_18 fleet_v3'!$D375+'[6]17_18 fleet_v3'!$D390)/1000000</f>
        <v>12.103688030000001</v>
      </c>
      <c r="H12" s="29">
        <f>VLOOKUP(B12,[9]RegionTotal!B$2:E$15,3,0)/1000000</f>
        <v>1149.6267459999999</v>
      </c>
      <c r="I12" s="13">
        <f t="shared" si="0"/>
        <v>1194.74560677</v>
      </c>
    </row>
    <row r="13" spans="2:9" ht="16" x14ac:dyDescent="0.2">
      <c r="B13" s="27" t="s">
        <v>7</v>
      </c>
      <c r="C13" s="13">
        <f>('[6]17_18 fleet_v3'!$D316+'[6]17_18 fleet_v3'!$D331+'[6]17_18 fleet_v3'!$D346+'[6]17_18 fleet_v3'!$D361)/1000000</f>
        <v>1648.9145913299999</v>
      </c>
      <c r="D13" s="13">
        <f>('[6]17_18 fleet_v3'!$D436+'[6]17_18 fleet_v3'!$D451+'[6]17_18 fleet_v3'!$D466+'[6]17_18 fleet_v3'!$D481)/1000000</f>
        <v>505.72136537</v>
      </c>
      <c r="E13" s="13">
        <f>('[6]17_18 fleet_v3'!$D406+'[6]17_18 fleet_v3'!$D421)/1000000</f>
        <v>195.64728575000001</v>
      </c>
      <c r="F13" s="13">
        <f>('[6]17_18 fleet_v3'!$D286+'[6]17_18 fleet_v3'!$D301)/1000000</f>
        <v>8.68640626</v>
      </c>
      <c r="G13" s="13">
        <f>('[6]17_18 fleet_v3'!$D376+'[6]17_18 fleet_v3'!$D391)/1000000</f>
        <v>23.444742390000002</v>
      </c>
      <c r="H13" s="29">
        <f>VLOOKUP(B13,[9]RegionTotal!B$2:E$15,3,0)/1000000</f>
        <v>2531.2712329999999</v>
      </c>
      <c r="I13" s="13">
        <f t="shared" si="0"/>
        <v>2382.4143910999996</v>
      </c>
    </row>
    <row r="14" spans="2:9" ht="16" x14ac:dyDescent="0.2">
      <c r="B14" s="27" t="s">
        <v>8</v>
      </c>
      <c r="C14" s="13">
        <f>('[6]17_18 fleet_v3'!$D317+'[6]17_18 fleet_v3'!$D332+'[6]17_18 fleet_v3'!$D347+'[6]17_18 fleet_v3'!$D362)/1000000</f>
        <v>3261.5559718500003</v>
      </c>
      <c r="D14" s="13">
        <f>('[6]17_18 fleet_v3'!$D437+'[6]17_18 fleet_v3'!$D452+'[6]17_18 fleet_v3'!$D467+'[6]17_18 fleet_v3'!$D482)/1000000</f>
        <v>625.18085959000007</v>
      </c>
      <c r="E14" s="13">
        <f>('[6]17_18 fleet_v3'!$D407+'[6]17_18 fleet_v3'!$D422)/1000000</f>
        <v>165.31351748</v>
      </c>
      <c r="F14" s="13">
        <f>('[6]17_18 fleet_v3'!$D287+'[6]17_18 fleet_v3'!$D302)/1000000</f>
        <v>22.571718189999999</v>
      </c>
      <c r="G14" s="13">
        <f>('[6]17_18 fleet_v3'!$D377+'[6]17_18 fleet_v3'!$D392)/1000000</f>
        <v>48.614881950000004</v>
      </c>
      <c r="H14" s="29">
        <f>VLOOKUP(B14,[9]RegionTotal!B$2:E$15,3,0)/1000000</f>
        <v>3706.4290799999999</v>
      </c>
      <c r="I14" s="13">
        <f t="shared" si="0"/>
        <v>4123.2369490600004</v>
      </c>
    </row>
    <row r="15" spans="2:9" ht="16" x14ac:dyDescent="0.2">
      <c r="B15" s="27" t="s">
        <v>9</v>
      </c>
      <c r="C15" s="13">
        <f>('[6]17_18 fleet_v3'!$D318+'[6]17_18 fleet_v3'!$D333+'[6]17_18 fleet_v3'!$D348+'[6]17_18 fleet_v3'!$D363)/1000000</f>
        <v>1123.3658344200001</v>
      </c>
      <c r="D15" s="13">
        <f>('[6]17_18 fleet_v3'!$D438+'[6]17_18 fleet_v3'!$D453+'[6]17_18 fleet_v3'!$D468+'[6]17_18 fleet_v3'!$D483)/1000000</f>
        <v>361.49876330000001</v>
      </c>
      <c r="E15" s="13">
        <f>('[6]17_18 fleet_v3'!$D408+'[6]17_18 fleet_v3'!$D423)/1000000</f>
        <v>118.53414140000001</v>
      </c>
      <c r="F15" s="13">
        <f>('[6]17_18 fleet_v3'!$D288+'[6]17_18 fleet_v3'!$D303)/1000000</f>
        <v>7.2950439000000005</v>
      </c>
      <c r="G15" s="13">
        <f>('[6]17_18 fleet_v3'!$D378+'[6]17_18 fleet_v3'!$D393)/1000000</f>
        <v>19.860877149999997</v>
      </c>
      <c r="H15" s="29">
        <f>VLOOKUP(B15,[9]RegionTotal!B$2:E$15,3,0)/1000000</f>
        <v>1552.4204099999999</v>
      </c>
      <c r="I15" s="13">
        <f t="shared" si="0"/>
        <v>1630.5546601700003</v>
      </c>
    </row>
    <row r="16" spans="2:9" ht="16" x14ac:dyDescent="0.2">
      <c r="B16" s="27" t="s">
        <v>10</v>
      </c>
      <c r="C16" s="13">
        <f>('[6]17_18 fleet_v3'!$D319+'[6]17_18 fleet_v3'!$D334+'[6]17_18 fleet_v3'!$D349+'[6]17_18 fleet_v3'!$D364)/1000000</f>
        <v>218.39565432000001</v>
      </c>
      <c r="D16" s="13">
        <f>('[6]17_18 fleet_v3'!$D439+'[6]17_18 fleet_v3'!$D454+'[6]17_18 fleet_v3'!$D469+'[6]17_18 fleet_v3'!$D484)/1000000</f>
        <v>84.750732370000009</v>
      </c>
      <c r="E16" s="13">
        <f>('[6]17_18 fleet_v3'!$D409+'[6]17_18 fleet_v3'!$D424)/1000000</f>
        <v>30.99792489</v>
      </c>
      <c r="F16" s="13">
        <f>('[6]17_18 fleet_v3'!$D289+'[6]17_18 fleet_v3'!$D304)/1000000</f>
        <v>1.5889013000000001</v>
      </c>
      <c r="G16" s="13">
        <f>('[6]17_18 fleet_v3'!$D379+'[6]17_18 fleet_v3'!$D394)/1000000</f>
        <v>3.9063138999999998</v>
      </c>
      <c r="H16" s="29">
        <f>VLOOKUP(B16,[9]RegionTotal!B$2:E$15,3,0)/1000000</f>
        <v>601.96733900000004</v>
      </c>
      <c r="I16" s="13">
        <f t="shared" si="0"/>
        <v>339.63952677999993</v>
      </c>
    </row>
    <row r="17" spans="2:9" ht="16" x14ac:dyDescent="0.2">
      <c r="B17" s="27" t="s">
        <v>11</v>
      </c>
      <c r="C17" s="13">
        <f>('[6]17_18 fleet_v3'!$D320+'[6]17_18 fleet_v3'!$D335+'[6]17_18 fleet_v3'!$D350+'[6]17_18 fleet_v3'!$D365)/1000000</f>
        <v>4984.0386568399999</v>
      </c>
      <c r="D17" s="13">
        <f>('[6]17_18 fleet_v3'!$D440+'[6]17_18 fleet_v3'!$D455+'[6]17_18 fleet_v3'!$D470+'[6]17_18 fleet_v3'!$D485)/1000000</f>
        <v>1310.5236610300001</v>
      </c>
      <c r="E17" s="13">
        <f>('[6]17_18 fleet_v3'!$D410+'[6]17_18 fleet_v3'!$D425)/1000000</f>
        <v>487.90242102000002</v>
      </c>
      <c r="F17" s="13">
        <f>('[6]17_18 fleet_v3'!$D290+'[6]17_18 fleet_v3'!$D305)/1000000</f>
        <v>58.208185619999995</v>
      </c>
      <c r="G17" s="13">
        <f>('[6]17_18 fleet_v3'!$D380+'[6]17_18 fleet_v3'!$D395)/1000000</f>
        <v>59.70987186</v>
      </c>
      <c r="H17" s="29">
        <f>VLOOKUP(B17,[9]RegionTotal!B$2:E$15,3,0)/1000000</f>
        <v>6423.5017129999997</v>
      </c>
      <c r="I17" s="13">
        <f t="shared" si="0"/>
        <v>6900.3827963699996</v>
      </c>
    </row>
    <row r="18" spans="2:9" ht="16" x14ac:dyDescent="0.2">
      <c r="B18" s="27" t="s">
        <v>12</v>
      </c>
      <c r="C18" s="13">
        <f>('[6]17_18 fleet_v3'!$D321+'[6]17_18 fleet_v3'!$D336+'[6]17_18 fleet_v3'!$D351+'[6]17_18 fleet_v3'!$D366)/1000000</f>
        <v>1545.7953605999999</v>
      </c>
      <c r="D18" s="13">
        <f>('[6]17_18 fleet_v3'!$D441+'[6]17_18 fleet_v3'!$D456+'[6]17_18 fleet_v3'!$D471+'[6]17_18 fleet_v3'!$D486)/1000000</f>
        <v>440.11435008000007</v>
      </c>
      <c r="E18" s="13">
        <f>('[6]17_18 fleet_v3'!$D411+'[6]17_18 fleet_v3'!$D426)/1000000</f>
        <v>125.78980171000001</v>
      </c>
      <c r="F18" s="13">
        <f>('[6]17_18 fleet_v3'!$D291+'[6]17_18 fleet_v3'!$D306)/1000000</f>
        <v>19.922034</v>
      </c>
      <c r="G18" s="13">
        <f>('[6]17_18 fleet_v3'!$D381+'[6]17_18 fleet_v3'!$D396)/1000000</f>
        <v>16.454593630000002</v>
      </c>
      <c r="H18" s="29">
        <f>VLOOKUP(B18,[9]RegionTotal!B$2:E$15,3,0)/1000000</f>
        <v>2634.4907079999998</v>
      </c>
      <c r="I18" s="13">
        <f t="shared" si="0"/>
        <v>2148.0761400200004</v>
      </c>
    </row>
    <row r="19" spans="2:9" ht="17" thickBot="1" x14ac:dyDescent="0.25">
      <c r="B19" s="27" t="s">
        <v>13</v>
      </c>
      <c r="C19" s="15">
        <f>('[6]17_18 fleet_v3'!$D322+'[6]17_18 fleet_v3'!$D337+'[6]17_18 fleet_v3'!$D352+'[6]17_18 fleet_v3'!$D367)/1000000</f>
        <v>741.05597570999987</v>
      </c>
      <c r="D19" s="15">
        <f>('[6]17_18 fleet_v3'!$D442+'[6]17_18 fleet_v3'!$D457+'[6]17_18 fleet_v3'!$D472+'[6]17_18 fleet_v3'!$D487)/1000000</f>
        <v>295.63526231000003</v>
      </c>
      <c r="E19" s="15">
        <f>('[6]17_18 fleet_v3'!$D412+'[6]17_18 fleet_v3'!$D427)/1000000</f>
        <v>105.06834848999999</v>
      </c>
      <c r="F19" s="15">
        <f>('[6]17_18 fleet_v3'!$D292+'[6]17_18 fleet_v3'!$D307)/1000000</f>
        <v>7.4839205</v>
      </c>
      <c r="G19" s="15">
        <f>('[6]17_18 fleet_v3'!$D382+'[6]17_18 fleet_v3'!$D397)/1000000</f>
        <v>7.6639929100000002</v>
      </c>
      <c r="H19" s="29">
        <f>VLOOKUP(B19,[9]RegionTotal!B$2:E$15,3,0)/1000000</f>
        <v>1260.8188970000001</v>
      </c>
      <c r="I19" s="13">
        <f t="shared" si="0"/>
        <v>1156.90749992</v>
      </c>
    </row>
    <row r="20" spans="2:9" ht="34.5" customHeight="1" thickTop="1" thickBot="1" x14ac:dyDescent="0.25">
      <c r="B20" s="20" t="s">
        <v>20</v>
      </c>
      <c r="C20" s="4">
        <f>(SUM('[6]17_18 fleet_v3'!$D$308:$D$367)/1000000)</f>
        <v>35191.303685859995</v>
      </c>
      <c r="D20" s="4">
        <f>(SUM('[6]17_18 fleet_v3'!$D$428:$D$487)/1000000)</f>
        <v>8746.3415097099987</v>
      </c>
      <c r="E20" s="4">
        <f>SUM('[6]17_18 fleet_v3'!$D$398:$D$427)/1000000</f>
        <v>3017.6676879199995</v>
      </c>
      <c r="F20" s="4">
        <f>(SUM('[6]17_18 fleet_v3'!$D$278:$D$307)/1000000)</f>
        <v>299.20374473000004</v>
      </c>
      <c r="G20" s="4">
        <f>(SUM('[6]17_18 fleet_v3'!$D$368:$D$397))/1000000</f>
        <v>425.13386414999997</v>
      </c>
      <c r="H20" s="21"/>
      <c r="I20" s="9">
        <f t="shared" si="0"/>
        <v>47679.650492369998</v>
      </c>
    </row>
    <row r="21" spans="2:9" ht="36" thickTop="1" thickBot="1" x14ac:dyDescent="0.25">
      <c r="B21" s="31" t="s">
        <v>23</v>
      </c>
      <c r="C21" s="9">
        <f t="shared" ref="C21:H21" si="1">SUM(C6:C19)</f>
        <v>35190.969623099998</v>
      </c>
      <c r="D21" s="9">
        <f t="shared" si="1"/>
        <v>8746.1842120099991</v>
      </c>
      <c r="E21" s="9">
        <f t="shared" si="1"/>
        <v>3014.6910658000002</v>
      </c>
      <c r="F21" s="9">
        <f t="shared" si="1"/>
        <v>294.75187943000003</v>
      </c>
      <c r="G21" s="9">
        <f t="shared" si="1"/>
        <v>405.37727266999997</v>
      </c>
      <c r="H21" s="9">
        <f t="shared" si="1"/>
        <v>46176.011394999994</v>
      </c>
      <c r="I21" s="10"/>
    </row>
    <row r="22" spans="2:9" ht="18" thickTop="1" thickBot="1" x14ac:dyDescent="0.25">
      <c r="B22" s="8" t="s">
        <v>97</v>
      </c>
      <c r="C22" s="9">
        <f>('[6]17_18 fleet_v3'!$D$308+'[6]17_18 fleet_v3'!$D$323+'[6]17_18 fleet_v3'!$D$338+'[6]17_18 fleet_v3'!$D$353)/1000000</f>
        <v>0.33406276000000001</v>
      </c>
      <c r="D22" s="9">
        <f>('[6]17_18 fleet_v3'!$D$428+'[6]17_18 fleet_v3'!$D$443+'[6]17_18 fleet_v3'!$D$458+'[6]17_18 fleet_v3'!$D$473)/1000000</f>
        <v>0.15729770000000001</v>
      </c>
      <c r="E22" s="9">
        <f>('[6]17_18 fleet_v3'!$D$398+'[6]17_18 fleet_v3'!$D$413)/1000000</f>
        <v>2.97662212</v>
      </c>
      <c r="F22" s="9">
        <f>('[6]17_18 fleet_v3'!$D$278+'[6]17_18 fleet_v3'!$D$293)/1000000</f>
        <v>4.4518653000000006</v>
      </c>
      <c r="G22" s="9">
        <f>('[6]17_18 fleet_v3'!$D$368+'[6]17_18 fleet_v3'!$D$383)/1000000</f>
        <v>19.756591480000001</v>
      </c>
      <c r="H22" s="10"/>
      <c r="I22" s="10"/>
    </row>
    <row r="23" spans="2:9" ht="36" thickTop="1" thickBot="1" x14ac:dyDescent="0.25">
      <c r="B23" s="31" t="s">
        <v>99</v>
      </c>
      <c r="C23" s="9">
        <f>C21+C22</f>
        <v>35191.303685859995</v>
      </c>
      <c r="D23" s="9">
        <f>D21+D22</f>
        <v>8746.3415097099987</v>
      </c>
      <c r="E23" s="9">
        <f>E22+E21</f>
        <v>3017.6676879199999</v>
      </c>
      <c r="F23" s="9">
        <f>F21+F22</f>
        <v>299.20374473000004</v>
      </c>
      <c r="G23" s="9">
        <f>G21+G22</f>
        <v>425.13386414999997</v>
      </c>
      <c r="H23" s="10"/>
      <c r="I23" s="10"/>
    </row>
    <row r="24" spans="2:9" ht="14" thickTop="1" x14ac:dyDescent="0.15"/>
    <row r="27" spans="2:9" x14ac:dyDescent="0.15">
      <c r="B27" t="s">
        <v>180</v>
      </c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4:K30"/>
  <sheetViews>
    <sheetView workbookViewId="0">
      <selection activeCell="D24" sqref="D24"/>
    </sheetView>
  </sheetViews>
  <sheetFormatPr baseColWidth="10" defaultColWidth="8.83203125" defaultRowHeight="13" x14ac:dyDescent="0.15"/>
  <cols>
    <col min="2" max="2" width="21.5" customWidth="1"/>
    <col min="3" max="11" width="17.6640625" customWidth="1"/>
  </cols>
  <sheetData>
    <row r="4" spans="2:11" ht="14" thickBot="1" x14ac:dyDescent="0.2">
      <c r="B4" s="19" t="s">
        <v>14</v>
      </c>
    </row>
    <row r="5" spans="2:11" ht="48.75" customHeight="1" thickTop="1" thickBot="1" x14ac:dyDescent="0.2">
      <c r="B5" s="12"/>
      <c r="C5" s="22" t="s">
        <v>74</v>
      </c>
      <c r="D5" s="22" t="s">
        <v>73</v>
      </c>
      <c r="E5" s="22" t="s">
        <v>93</v>
      </c>
      <c r="F5" s="22" t="s">
        <v>94</v>
      </c>
      <c r="G5" s="22" t="s">
        <v>95</v>
      </c>
      <c r="H5" s="22" t="s">
        <v>21</v>
      </c>
      <c r="I5" s="3" t="s">
        <v>22</v>
      </c>
      <c r="J5" s="3" t="s">
        <v>16</v>
      </c>
      <c r="K5" s="3" t="s">
        <v>17</v>
      </c>
    </row>
    <row r="6" spans="2:11" ht="17" thickTop="1" x14ac:dyDescent="0.2">
      <c r="B6" s="23" t="s">
        <v>0</v>
      </c>
      <c r="C6" s="11">
        <f>'Original 2017-18 Data'!C6*C$22*$J6</f>
        <v>1415.881751742656</v>
      </c>
      <c r="D6" s="11">
        <f>'Original 2017-18 Data'!D6*D$22*$J6</f>
        <v>450.15266424773461</v>
      </c>
      <c r="E6" s="11">
        <f>'Original 2017-18 Data'!E6*E$22*$J6</f>
        <v>158.0202591150495</v>
      </c>
      <c r="F6" s="11">
        <f>'Original 2017-18 Data'!F6*F$22*$J6</f>
        <v>12.491270326757105</v>
      </c>
      <c r="G6" s="11">
        <f>'Original 2017-18 Data'!G6*G$22*$J6</f>
        <v>15.391409847296568</v>
      </c>
      <c r="H6" s="11">
        <f>'Original 2017-18 Data'!H6*'Original 2017-18 Data'!$I$20/'Original 2017-18 Data'!$H$21</f>
        <v>2051.9668154875267</v>
      </c>
      <c r="I6" s="11">
        <f>SUM(C6:G6)</f>
        <v>2051.9373552794941</v>
      </c>
      <c r="J6" s="12">
        <v>1.1900884078602449</v>
      </c>
      <c r="K6" s="12">
        <f>J6*H6/I6</f>
        <v>1.1901054942746925</v>
      </c>
    </row>
    <row r="7" spans="2:11" ht="16" x14ac:dyDescent="0.2">
      <c r="B7" s="24" t="s">
        <v>1</v>
      </c>
      <c r="C7" s="13">
        <f>'Original 2017-18 Data'!C7*C$22*$J7</f>
        <v>10705.529179042114</v>
      </c>
      <c r="D7" s="13">
        <f>'Original 2017-18 Data'!D7*D$22*$J7</f>
        <v>1890.1778921379525</v>
      </c>
      <c r="E7" s="13">
        <f>'Original 2017-18 Data'!E7*E$22*$J7</f>
        <v>640.5330068847943</v>
      </c>
      <c r="F7" s="13">
        <f>'Original 2017-18 Data'!F7*F$22*$J7</f>
        <v>104.94772347926632</v>
      </c>
      <c r="G7" s="13">
        <f>'Original 2017-18 Data'!G7*G$22*$J7</f>
        <v>103.44774000465038</v>
      </c>
      <c r="H7" s="13">
        <f>'Original 2017-18 Data'!H7*'Original 2017-18 Data'!$I$20/'Original 2017-18 Data'!$H$21</f>
        <v>13444.402735633692</v>
      </c>
      <c r="I7" s="13">
        <f t="shared" ref="I7:I20" si="0">SUM(C7:G7)</f>
        <v>13444.635541548778</v>
      </c>
      <c r="J7" s="14">
        <v>0.87786908865941182</v>
      </c>
      <c r="K7" s="14">
        <f t="shared" ref="K7:K19" si="1">J7*H7/I7</f>
        <v>0.87785388756929084</v>
      </c>
    </row>
    <row r="8" spans="2:11" ht="16" x14ac:dyDescent="0.2">
      <c r="B8" s="24" t="s">
        <v>2</v>
      </c>
      <c r="C8" s="13">
        <f>'Original 2017-18 Data'!C8*C$22*$J8</f>
        <v>4584.941514222849</v>
      </c>
      <c r="D8" s="13">
        <f>'Original 2017-18 Data'!D8*D$22*$J8</f>
        <v>1289.5838924290081</v>
      </c>
      <c r="E8" s="13">
        <f>'Original 2017-18 Data'!E8*E$22*$J8</f>
        <v>449.3713775830206</v>
      </c>
      <c r="F8" s="13">
        <f>'Original 2017-18 Data'!F8*F$22*$J8</f>
        <v>21.76686089997424</v>
      </c>
      <c r="G8" s="13">
        <f>'Original 2017-18 Data'!G8*G$22*$J8</f>
        <v>53.665237674137792</v>
      </c>
      <c r="H8" s="13">
        <f>'Original 2017-18 Data'!H8*'Original 2017-18 Data'!$I$20/'Original 2017-18 Data'!$H$21</f>
        <v>6399.3774498928187</v>
      </c>
      <c r="I8" s="13">
        <f t="shared" si="0"/>
        <v>6399.328882808989</v>
      </c>
      <c r="J8" s="14">
        <v>1.2837329247407467</v>
      </c>
      <c r="K8" s="14">
        <f t="shared" si="1"/>
        <v>1.2837426675068573</v>
      </c>
    </row>
    <row r="9" spans="2:11" ht="16" x14ac:dyDescent="0.2">
      <c r="B9" s="24" t="s">
        <v>3</v>
      </c>
      <c r="C9" s="13">
        <f>'Original 2017-18 Data'!C9*C$22*$J9</f>
        <v>2216.3390150176547</v>
      </c>
      <c r="D9" s="13">
        <f>'Original 2017-18 Data'!D9*D$22*$J9</f>
        <v>679.68598330508132</v>
      </c>
      <c r="E9" s="13">
        <f>'Original 2017-18 Data'!E9*E$22*$J9</f>
        <v>250.38503342657634</v>
      </c>
      <c r="F9" s="13">
        <f>'Original 2017-18 Data'!F9*F$22*$J9</f>
        <v>15.192158209388204</v>
      </c>
      <c r="G9" s="13">
        <f>'Original 2017-18 Data'!G9*G$22*$J9</f>
        <v>29.817661276087755</v>
      </c>
      <c r="H9" s="13">
        <f>'Original 2017-18 Data'!H9*'Original 2017-18 Data'!$I$20/'Original 2017-18 Data'!$H$21</f>
        <v>3191.4625127658583</v>
      </c>
      <c r="I9" s="13">
        <f t="shared" si="0"/>
        <v>3191.419851234788</v>
      </c>
      <c r="J9" s="14">
        <v>0.86056428754721548</v>
      </c>
      <c r="K9" s="14">
        <f t="shared" si="1"/>
        <v>0.86057579120132632</v>
      </c>
    </row>
    <row r="10" spans="2:11" ht="16" x14ac:dyDescent="0.2">
      <c r="B10" s="24" t="s">
        <v>4</v>
      </c>
      <c r="C10" s="13">
        <f>'Original 2017-18 Data'!C10*C$22*$J10</f>
        <v>259.53247509981031</v>
      </c>
      <c r="D10" s="13">
        <f>'Original 2017-18 Data'!D10*D$22*$J10</f>
        <v>115.96535445831617</v>
      </c>
      <c r="E10" s="13">
        <f>'Original 2017-18 Data'!E10*E$22*$J10</f>
        <v>37.511559866784808</v>
      </c>
      <c r="F10" s="13">
        <f>'Original 2017-18 Data'!F10*F$22*$J10</f>
        <v>1.599253794013906</v>
      </c>
      <c r="G10" s="13">
        <f>'Original 2017-18 Data'!G10*G$22*$J10</f>
        <v>3.0512692047295351</v>
      </c>
      <c r="H10" s="13">
        <f>'Original 2017-18 Data'!H10*'Original 2017-18 Data'!$I$20/'Original 2017-18 Data'!$H$21</f>
        <v>417.67453873530286</v>
      </c>
      <c r="I10" s="13">
        <f t="shared" si="0"/>
        <v>417.6599124236547</v>
      </c>
      <c r="J10" s="14">
        <v>0.93192008791822101</v>
      </c>
      <c r="K10" s="14">
        <f t="shared" si="1"/>
        <v>0.93195272345070002</v>
      </c>
    </row>
    <row r="11" spans="2:11" ht="16" x14ac:dyDescent="0.2">
      <c r="B11" s="24" t="s">
        <v>5</v>
      </c>
      <c r="C11" s="13">
        <f>'Original 2017-18 Data'!C11*C$22*$J11</f>
        <v>1171.7263927987001</v>
      </c>
      <c r="D11" s="13">
        <f>'Original 2017-18 Data'!D11*D$22*$J11</f>
        <v>354.11215570609227</v>
      </c>
      <c r="E11" s="13">
        <f>'Original 2017-18 Data'!E11*E$22*$J11</f>
        <v>122.3776581796696</v>
      </c>
      <c r="F11" s="13">
        <f>'Original 2017-18 Data'!F11*F$22*$J11</f>
        <v>5.3806646264228695</v>
      </c>
      <c r="G11" s="13">
        <f>'Original 2017-18 Data'!G11*G$22*$J11</f>
        <v>13.901547731508426</v>
      </c>
      <c r="H11" s="13">
        <f>'Original 2017-18 Data'!H11*'Original 2017-18 Data'!$I$20/'Original 2017-18 Data'!$H$21</f>
        <v>1667.5178561280707</v>
      </c>
      <c r="I11" s="13">
        <f t="shared" si="0"/>
        <v>1667.4984190423934</v>
      </c>
      <c r="J11" s="14">
        <v>1.0296376519492914</v>
      </c>
      <c r="K11" s="14">
        <f t="shared" si="1"/>
        <v>1.0296496538528788</v>
      </c>
    </row>
    <row r="12" spans="2:11" ht="16" x14ac:dyDescent="0.2">
      <c r="B12" s="24" t="s">
        <v>6</v>
      </c>
      <c r="C12" s="13">
        <f>'Original 2017-18 Data'!C12*C$22*$J12</f>
        <v>840.10935012898153</v>
      </c>
      <c r="D12" s="13">
        <f>'Original 2017-18 Data'!D12*D$22*$J12</f>
        <v>238.13711625650453</v>
      </c>
      <c r="E12" s="13">
        <f>'Original 2017-18 Data'!E12*E$22*$J12</f>
        <v>92.970199440918265</v>
      </c>
      <c r="F12" s="13">
        <f>'Original 2017-18 Data'!F12*F$22*$J12</f>
        <v>3.2208145687528273</v>
      </c>
      <c r="G12" s="13">
        <f>'Original 2017-18 Data'!G12*G$22*$J12</f>
        <v>12.612643343408967</v>
      </c>
      <c r="H12" s="13">
        <f>'Original 2017-18 Data'!H12*'Original 2017-18 Data'!$I$20/'Original 2017-18 Data'!$H$21</f>
        <v>1187.0622816914829</v>
      </c>
      <c r="I12" s="13">
        <f t="shared" si="0"/>
        <v>1187.0501237385661</v>
      </c>
      <c r="J12" s="14">
        <v>0.99374866419032903</v>
      </c>
      <c r="K12" s="14">
        <f t="shared" si="1"/>
        <v>0.99375884231948197</v>
      </c>
    </row>
    <row r="13" spans="2:11" ht="16" x14ac:dyDescent="0.2">
      <c r="B13" s="24" t="s">
        <v>7</v>
      </c>
      <c r="C13" s="13">
        <f>'Original 2017-18 Data'!C13*C$22*$J13</f>
        <v>1820.2214773361388</v>
      </c>
      <c r="D13" s="13">
        <f>'Original 2017-18 Data'!D13*D$22*$J13</f>
        <v>545.39839978636144</v>
      </c>
      <c r="E13" s="13">
        <f>'Original 2017-18 Data'!E13*E$22*$J13</f>
        <v>211.19843611896437</v>
      </c>
      <c r="F13" s="13">
        <f>'Original 2017-18 Data'!F13*F$22*$J13</f>
        <v>9.8630643106969487</v>
      </c>
      <c r="G13" s="13">
        <f>'Original 2017-18 Data'!G13*G$22*$J13</f>
        <v>26.981833462786341</v>
      </c>
      <c r="H13" s="13">
        <f>'Original 2017-18 Data'!H13*'Original 2017-18 Data'!$I$20/'Original 2017-18 Data'!$H$21</f>
        <v>2613.6975465121909</v>
      </c>
      <c r="I13" s="13">
        <f t="shared" si="0"/>
        <v>2613.663211014948</v>
      </c>
      <c r="J13" s="14">
        <v>1.0975243299090534</v>
      </c>
      <c r="K13" s="14">
        <f t="shared" si="1"/>
        <v>1.09753874800372</v>
      </c>
    </row>
    <row r="14" spans="2:11" ht="16" x14ac:dyDescent="0.2">
      <c r="B14" s="24" t="s">
        <v>8</v>
      </c>
      <c r="C14" s="13">
        <f>'Original 2017-18 Data'!C14*C$22*$J14</f>
        <v>3038.6841624933204</v>
      </c>
      <c r="D14" s="13">
        <f>'Original 2017-18 Data'!D14*D$22*$J14</f>
        <v>569.04011569507588</v>
      </c>
      <c r="E14" s="13">
        <f>'Original 2017-18 Data'!E14*E$22*$J14</f>
        <v>150.61210925022857</v>
      </c>
      <c r="F14" s="13">
        <f>'Original 2017-18 Data'!F14*F$22*$J14</f>
        <v>21.630721222586416</v>
      </c>
      <c r="G14" s="13">
        <f>'Original 2017-18 Data'!G14*G$22*$J14</f>
        <v>47.220423847016008</v>
      </c>
      <c r="H14" s="13">
        <f>'Original 2017-18 Data'!H14*'Original 2017-18 Data'!$I$20/'Original 2017-18 Data'!$H$21</f>
        <v>3827.1223037746413</v>
      </c>
      <c r="I14" s="13">
        <f t="shared" si="0"/>
        <v>3827.1875325082269</v>
      </c>
      <c r="J14" s="14">
        <v>0.92629391177679588</v>
      </c>
      <c r="K14" s="14">
        <f t="shared" si="1"/>
        <v>0.92627812447129276</v>
      </c>
    </row>
    <row r="15" spans="2:11" ht="16" x14ac:dyDescent="0.2">
      <c r="B15" s="24" t="s">
        <v>9</v>
      </c>
      <c r="C15" s="13">
        <f>'Original 2017-18 Data'!C15*C$22*$J15</f>
        <v>1111.0920647038374</v>
      </c>
      <c r="D15" s="13">
        <f>'Original 2017-18 Data'!D15*D$22*$J15</f>
        <v>349.31089766167952</v>
      </c>
      <c r="E15" s="13">
        <f>'Original 2017-18 Data'!E15*E$22*$J15</f>
        <v>114.64710438824891</v>
      </c>
      <c r="F15" s="13">
        <f>'Original 2017-18 Data'!F15*F$22*$J15</f>
        <v>7.4216829677867322</v>
      </c>
      <c r="G15" s="13">
        <f>'Original 2017-18 Data'!G15*G$22*$J15</f>
        <v>20.479869206384855</v>
      </c>
      <c r="H15" s="13">
        <f>'Original 2017-18 Data'!H15*'Original 2017-18 Data'!$I$20/'Original 2017-18 Data'!$H$21</f>
        <v>1602.9721998473995</v>
      </c>
      <c r="I15" s="13">
        <f t="shared" si="0"/>
        <v>1602.9516189279373</v>
      </c>
      <c r="J15" s="14">
        <v>0.98336991573944099</v>
      </c>
      <c r="K15" s="14">
        <f t="shared" si="1"/>
        <v>0.98338254160836824</v>
      </c>
    </row>
    <row r="16" spans="2:11" ht="16" x14ac:dyDescent="0.2">
      <c r="B16" s="24" t="s">
        <v>10</v>
      </c>
      <c r="C16" s="13">
        <f>'Original 2017-18 Data'!C16*C$22*$J16</f>
        <v>402.54789309292505</v>
      </c>
      <c r="D16" s="13">
        <f>'Original 2017-18 Data'!D16*D$22*$J16</f>
        <v>152.61369576997231</v>
      </c>
      <c r="E16" s="13">
        <f>'Original 2017-18 Data'!E16*E$22*$J16</f>
        <v>55.872355957955477</v>
      </c>
      <c r="F16" s="13">
        <f>'Original 2017-18 Data'!F16*F$22*$J16</f>
        <v>3.0124242854749301</v>
      </c>
      <c r="G16" s="13">
        <f>'Original 2017-18 Data'!G16*G$22*$J16</f>
        <v>7.5065541787015979</v>
      </c>
      <c r="H16" s="13">
        <f>'Original 2017-18 Data'!H16*'Original 2017-18 Data'!$I$20/'Original 2017-18 Data'!$H$21</f>
        <v>621.56932710844444</v>
      </c>
      <c r="I16" s="13">
        <f t="shared" si="0"/>
        <v>621.55292328502935</v>
      </c>
      <c r="J16" s="14">
        <v>1.8325745400502191</v>
      </c>
      <c r="K16" s="14">
        <f t="shared" si="1"/>
        <v>1.8326229047638642</v>
      </c>
    </row>
    <row r="17" spans="2:11" ht="16" x14ac:dyDescent="0.2">
      <c r="B17" s="24" t="s">
        <v>11</v>
      </c>
      <c r="C17" s="13">
        <f>'Original 2017-18 Data'!C17*C$22*$J17</f>
        <v>4816.3317136836249</v>
      </c>
      <c r="D17" s="13">
        <f>'Original 2017-18 Data'!D17*D$22*$J17</f>
        <v>1237.2467989059894</v>
      </c>
      <c r="E17" s="13">
        <f>'Original 2017-18 Data'!E17*E$22*$J17</f>
        <v>461.06139376698286</v>
      </c>
      <c r="F17" s="13">
        <f>'Original 2017-18 Data'!F17*F$22*$J17</f>
        <v>57.858171543513961</v>
      </c>
      <c r="G17" s="13">
        <f>'Original 2017-18 Data'!G17*G$22*$J17</f>
        <v>60.156290286646147</v>
      </c>
      <c r="H17" s="13">
        <f>'Original 2017-18 Data'!H17*'Original 2017-18 Data'!$I$20/'Original 2017-18 Data'!$H$21</f>
        <v>6632.6715400573412</v>
      </c>
      <c r="I17" s="13">
        <f t="shared" si="0"/>
        <v>6632.6543681867579</v>
      </c>
      <c r="J17" s="14">
        <v>0.96077804724284233</v>
      </c>
      <c r="K17" s="14">
        <f t="shared" si="1"/>
        <v>0.96078053468683844</v>
      </c>
    </row>
    <row r="18" spans="2:11" ht="16" x14ac:dyDescent="0.2">
      <c r="B18" s="24" t="s">
        <v>12</v>
      </c>
      <c r="C18" s="13">
        <f>'Original 2017-18 Data'!C18*C$22*$J18</f>
        <v>1968.2334015677295</v>
      </c>
      <c r="D18" s="13">
        <f>'Original 2017-18 Data'!D18*D$22*$J18</f>
        <v>547.47792368305659</v>
      </c>
      <c r="E18" s="13">
        <f>'Original 2017-18 Data'!E18*E$22*$J18</f>
        <v>156.62490771933028</v>
      </c>
      <c r="F18" s="13">
        <f>'Original 2017-18 Data'!F18*F$22*$J18</f>
        <v>26.091793300184566</v>
      </c>
      <c r="G18" s="13">
        <f>'Original 2017-18 Data'!G18*G$22*$J18</f>
        <v>21.842969450894522</v>
      </c>
      <c r="H18" s="13">
        <f>'Original 2017-18 Data'!H18*'Original 2017-18 Data'!$I$20/'Original 2017-18 Data'!$H$21</f>
        <v>2720.2781788216071</v>
      </c>
      <c r="I18" s="13">
        <f t="shared" si="0"/>
        <v>2720.2709957211955</v>
      </c>
      <c r="J18" s="14">
        <v>1.2659387138297133</v>
      </c>
      <c r="K18" s="14">
        <f t="shared" si="1"/>
        <v>1.2659420566455248</v>
      </c>
    </row>
    <row r="19" spans="2:11" ht="17" thickBot="1" x14ac:dyDescent="0.25">
      <c r="B19" s="25" t="s">
        <v>13</v>
      </c>
      <c r="C19" s="15">
        <f>'Original 2017-18 Data'!C19*C$22*$J19</f>
        <v>840.13329492964942</v>
      </c>
      <c r="D19" s="15">
        <f>'Original 2017-18 Data'!D19*D$22*$J19</f>
        <v>327.43861966717424</v>
      </c>
      <c r="E19" s="15">
        <f>'Original 2017-18 Data'!E19*E$22*$J19</f>
        <v>116.48228622147489</v>
      </c>
      <c r="F19" s="15">
        <f>'Original 2017-18 Data'!F19*F$22*$J19</f>
        <v>8.7271411951811011</v>
      </c>
      <c r="G19" s="15">
        <f>'Original 2017-18 Data'!G19*G$22*$J19</f>
        <v>9.0584146357509674</v>
      </c>
      <c r="H19" s="15">
        <f>'Original 2017-18 Data'!H19*'Original 2017-18 Data'!$I$20/'Original 2017-18 Data'!$H$21</f>
        <v>1301.8752059136239</v>
      </c>
      <c r="I19" s="15">
        <f t="shared" si="0"/>
        <v>1301.8397566492306</v>
      </c>
      <c r="J19" s="16">
        <v>1.1271592147684344</v>
      </c>
      <c r="K19" s="16">
        <f t="shared" si="1"/>
        <v>1.1271899074591543</v>
      </c>
    </row>
    <row r="20" spans="2:11" ht="32.25" customHeight="1" thickTop="1" thickBot="1" x14ac:dyDescent="0.25">
      <c r="B20" s="20" t="s">
        <v>20</v>
      </c>
      <c r="C20" s="4">
        <f>'Original 2017-18 Data'!C20</f>
        <v>35191.303685859995</v>
      </c>
      <c r="D20" s="4">
        <f>'Original 2017-18 Data'!D20</f>
        <v>8746.3415097099987</v>
      </c>
      <c r="E20" s="4">
        <f>'Original 2017-18 Data'!E20</f>
        <v>3017.6676879199995</v>
      </c>
      <c r="F20" s="4">
        <f>'Original 2017-18 Data'!F20</f>
        <v>299.20374473000004</v>
      </c>
      <c r="G20" s="4">
        <f>'Original 2017-18 Data'!G20</f>
        <v>425.13386414999997</v>
      </c>
      <c r="H20" s="5"/>
      <c r="I20" s="9">
        <f t="shared" si="0"/>
        <v>47679.650492369998</v>
      </c>
    </row>
    <row r="21" spans="2:11" ht="36" thickTop="1" thickBot="1" x14ac:dyDescent="0.25">
      <c r="B21" s="31" t="s">
        <v>23</v>
      </c>
      <c r="C21" s="9">
        <f t="shared" ref="C21:H21" si="2">SUM(C6:C19)</f>
        <v>35191.303685859981</v>
      </c>
      <c r="D21" s="9">
        <f t="shared" si="2"/>
        <v>8746.3415097099987</v>
      </c>
      <c r="E21" s="9">
        <f t="shared" si="2"/>
        <v>3017.6676879199986</v>
      </c>
      <c r="F21" s="9">
        <f t="shared" si="2"/>
        <v>299.20374473000015</v>
      </c>
      <c r="G21" s="9">
        <f t="shared" si="2"/>
        <v>425.13386414999991</v>
      </c>
      <c r="H21" s="9">
        <f t="shared" si="2"/>
        <v>47679.650492370005</v>
      </c>
      <c r="I21" s="6"/>
    </row>
    <row r="22" spans="2:11" ht="18" thickTop="1" thickBot="1" x14ac:dyDescent="0.25">
      <c r="B22" s="8" t="s">
        <v>16</v>
      </c>
      <c r="C22" s="10">
        <v>1.0058006613684314</v>
      </c>
      <c r="D22" s="10">
        <v>0.98262633908270469</v>
      </c>
      <c r="E22" s="10">
        <v>0.98356420344296314</v>
      </c>
      <c r="F22" s="10">
        <v>1.0345644980239421</v>
      </c>
      <c r="G22" s="10">
        <v>1.0486047867029256</v>
      </c>
      <c r="H22" s="17"/>
    </row>
    <row r="23" spans="2:11" ht="18" thickTop="1" thickBot="1" x14ac:dyDescent="0.25">
      <c r="B23" s="8" t="s">
        <v>17</v>
      </c>
      <c r="C23" s="10">
        <f>C22*C20/C21</f>
        <v>1.0058006613684318</v>
      </c>
      <c r="D23" s="10">
        <f>D22*D20/D21</f>
        <v>0.9826263390827048</v>
      </c>
      <c r="E23" s="10">
        <f>E22*E20/E21</f>
        <v>0.98356420344296347</v>
      </c>
      <c r="F23" s="10">
        <f>F22*F20/F21</f>
        <v>1.0345644980239419</v>
      </c>
      <c r="G23" s="10">
        <f>G22*G20/G21</f>
        <v>1.0486047867029258</v>
      </c>
      <c r="H23" s="18"/>
    </row>
    <row r="24" spans="2:11" ht="18" thickTop="1" thickBot="1" x14ac:dyDescent="0.25">
      <c r="B24" s="8" t="s">
        <v>15</v>
      </c>
      <c r="C24" s="10" t="str">
        <f>IF(ABS(C20-C21)&lt;Convergence_Criteria, "YES","NO")</f>
        <v>YES</v>
      </c>
      <c r="D24" s="10" t="str">
        <f>IF(ABS(D20-D21)&lt;Convergence_Criteria, "YES","NO")</f>
        <v>YES</v>
      </c>
      <c r="E24" s="10" t="str">
        <f>IF(ABS(E20-E21)&lt;Convergence_Criteria, "YES","NO")</f>
        <v>YES</v>
      </c>
      <c r="F24" s="10" t="str">
        <f>IF(ABS(F20-F21)&lt;Convergence_Criteria, "YES","NO")</f>
        <v>YES</v>
      </c>
      <c r="G24" s="10" t="str">
        <f>IF(ABS(G20-G21)&lt;Convergence_Criteria, "YES","NO")</f>
        <v>YES</v>
      </c>
      <c r="H24" s="18"/>
    </row>
    <row r="25" spans="2:11" ht="14" thickTop="1" x14ac:dyDescent="0.15"/>
    <row r="28" spans="2:11" x14ac:dyDescent="0.15">
      <c r="B28" t="s">
        <v>19</v>
      </c>
    </row>
    <row r="29" spans="2:11" x14ac:dyDescent="0.15">
      <c r="B29" s="7" t="s">
        <v>181</v>
      </c>
    </row>
    <row r="30" spans="2:11" x14ac:dyDescent="0.15">
      <c r="B30" s="7" t="s">
        <v>18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B4:I24"/>
  <sheetViews>
    <sheetView workbookViewId="0">
      <selection activeCell="C15" sqref="C15"/>
    </sheetView>
  </sheetViews>
  <sheetFormatPr baseColWidth="10" defaultColWidth="8.83203125" defaultRowHeight="13" x14ac:dyDescent="0.15"/>
  <cols>
    <col min="2" max="2" width="21.5" customWidth="1"/>
    <col min="3" max="9" width="17.6640625" customWidth="1"/>
  </cols>
  <sheetData>
    <row r="4" spans="2:9" ht="14" thickBot="1" x14ac:dyDescent="0.2">
      <c r="B4" s="19" t="s">
        <v>14</v>
      </c>
    </row>
    <row r="5" spans="2:9" ht="48.75" customHeight="1" thickTop="1" thickBot="1" x14ac:dyDescent="0.2">
      <c r="B5" s="1"/>
      <c r="C5" s="2" t="s">
        <v>74</v>
      </c>
      <c r="D5" s="2" t="s">
        <v>73</v>
      </c>
      <c r="E5" s="2" t="s">
        <v>75</v>
      </c>
      <c r="F5" s="2" t="s">
        <v>76</v>
      </c>
      <c r="G5" s="2" t="s">
        <v>77</v>
      </c>
      <c r="H5" s="3" t="s">
        <v>179</v>
      </c>
      <c r="I5" s="30" t="s">
        <v>22</v>
      </c>
    </row>
    <row r="6" spans="2:9" ht="17" thickTop="1" x14ac:dyDescent="0.2">
      <c r="B6" s="26" t="s">
        <v>0</v>
      </c>
      <c r="C6" s="11">
        <f>('[7]18_19 fleet_v3'!$D309+'[7]18_19 fleet_v3'!$D324+'[7]18_19 fleet_v3'!$D339+'[7]18_19 fleet_v3'!$D354)/1000000</f>
        <v>1194.37013649</v>
      </c>
      <c r="D6" s="11">
        <f>('[7]18_19 fleet_v3'!$D429+'[7]18_19 fleet_v3'!$D444+'[7]18_19 fleet_v3'!$D459+'[7]18_19 fleet_v3'!$D474)/1000000</f>
        <v>414.69422421000002</v>
      </c>
      <c r="E6" s="11">
        <f>('[7]18_19 fleet_v3'!$D399+'[7]18_19 fleet_v3'!$D414)/1000000</f>
        <v>137.69400894999998</v>
      </c>
      <c r="F6" s="11">
        <f>('[7]18_19 fleet_v3'!$D279+'[7]18_19 fleet_v3'!$D294)/1000000</f>
        <v>9.8732032600000021</v>
      </c>
      <c r="G6" s="11">
        <f>('[7]18_19 fleet_v3'!$D369+'[7]18_19 fleet_v3'!$D384)/1000000</f>
        <v>12.486944800000002</v>
      </c>
      <c r="H6" s="28">
        <f>VLOOKUP(B6,[9]RegionTotal!B$2:E$15,4,0)/1000000</f>
        <v>2051.9379949999998</v>
      </c>
      <c r="I6" s="13">
        <f>SUM(C6:G6)</f>
        <v>1769.1185177100001</v>
      </c>
    </row>
    <row r="7" spans="2:9" ht="16" x14ac:dyDescent="0.2">
      <c r="B7" s="27" t="s">
        <v>1</v>
      </c>
      <c r="C7" s="13">
        <f>('[7]18_19 fleet_v3'!$D310+'[7]18_19 fleet_v3'!$D325+'[7]18_19 fleet_v3'!$D340+'[7]18_19 fleet_v3'!$D355)/1000000</f>
        <v>12229.693435450001</v>
      </c>
      <c r="D7" s="13">
        <f>('[7]18_19 fleet_v3'!$D430+'[7]18_19 fleet_v3'!$D445+'[7]18_19 fleet_v3'!$D460+'[7]18_19 fleet_v3'!$D475)/1000000</f>
        <v>2335.0351304400001</v>
      </c>
      <c r="E7" s="13">
        <f>('[7]18_19 fleet_v3'!$D400+'[7]18_19 fleet_v3'!$D415)/1000000</f>
        <v>762.15464564000013</v>
      </c>
      <c r="F7" s="13">
        <f>('[7]18_19 fleet_v3'!$D280+'[7]18_19 fleet_v3'!$D295)/1000000</f>
        <v>123.13765139</v>
      </c>
      <c r="G7" s="13">
        <f>('[7]18_19 fleet_v3'!$D370+'[7]18_19 fleet_v3'!$D385)/1000000</f>
        <v>109.52789127</v>
      </c>
      <c r="H7" s="29">
        <f>VLOOKUP(B7,[9]RegionTotal!B$2:E$15,4,0)/1000000</f>
        <v>13690.398864999999</v>
      </c>
      <c r="I7" s="13">
        <f t="shared" ref="I7:I20" si="0">SUM(C7:G7)</f>
        <v>15559.548754189998</v>
      </c>
    </row>
    <row r="8" spans="2:9" ht="16" x14ac:dyDescent="0.2">
      <c r="B8" s="27" t="s">
        <v>2</v>
      </c>
      <c r="C8" s="13">
        <f>('[7]18_19 fleet_v3'!$D311+'[7]18_19 fleet_v3'!$D326+'[7]18_19 fleet_v3'!$D341+'[7]18_19 fleet_v3'!$D356)/1000000</f>
        <v>3588.73477181</v>
      </c>
      <c r="D8" s="13">
        <f>('[7]18_19 fleet_v3'!$D431+'[7]18_19 fleet_v3'!$D446+'[7]18_19 fleet_v3'!$D461+'[7]18_19 fleet_v3'!$D476)/1000000</f>
        <v>1099.0988270999999</v>
      </c>
      <c r="E8" s="13">
        <f>('[7]18_19 fleet_v3'!$D401+'[7]18_19 fleet_v3'!$D416)/1000000</f>
        <v>360.79280107</v>
      </c>
      <c r="F8" s="13">
        <f>('[7]18_19 fleet_v3'!$D281+'[7]18_19 fleet_v3'!$D296)/1000000</f>
        <v>17.604004530000001</v>
      </c>
      <c r="G8" s="13">
        <f>('[7]18_19 fleet_v3'!$D371+'[7]18_19 fleet_v3'!$D386)/1000000</f>
        <v>40.023601169999999</v>
      </c>
      <c r="H8" s="29">
        <f>VLOOKUP(B8,[9]RegionTotal!B$2:E$15,4,0)/1000000</f>
        <v>6342.8397370000002</v>
      </c>
      <c r="I8" s="13">
        <f t="shared" si="0"/>
        <v>5106.254005679999</v>
      </c>
    </row>
    <row r="9" spans="2:9" ht="16" x14ac:dyDescent="0.2">
      <c r="B9" s="27" t="s">
        <v>3</v>
      </c>
      <c r="C9" s="13">
        <f>('[7]18_19 fleet_v3'!$D312+'[7]18_19 fleet_v3'!$D327+'[7]18_19 fleet_v3'!$D342+'[7]18_19 fleet_v3'!$D357)/1000000</f>
        <v>2602.7425185799998</v>
      </c>
      <c r="D9" s="13">
        <f>('[7]18_19 fleet_v3'!$D432+'[7]18_19 fleet_v3'!$D447+'[7]18_19 fleet_v3'!$D462+'[7]18_19 fleet_v3'!$D477)/1000000</f>
        <v>870.39786691000006</v>
      </c>
      <c r="E9" s="13">
        <f>('[7]18_19 fleet_v3'!$D402+'[7]18_19 fleet_v3'!$D417)/1000000</f>
        <v>305.16078634000002</v>
      </c>
      <c r="F9" s="13">
        <f>('[7]18_19 fleet_v3'!$D282+'[7]18_19 fleet_v3'!$D297)/1000000</f>
        <v>21.04785175</v>
      </c>
      <c r="G9" s="13">
        <f>('[7]18_19 fleet_v3'!$D372+'[7]18_19 fleet_v3'!$D387)/1000000</f>
        <v>33.468160160000004</v>
      </c>
      <c r="H9" s="29">
        <f>VLOOKUP(B9,[9]RegionTotal!B$2:E$15,4,0)/1000000</f>
        <v>3144.7282230000001</v>
      </c>
      <c r="I9" s="13">
        <f t="shared" si="0"/>
        <v>3832.81718374</v>
      </c>
    </row>
    <row r="10" spans="2:9" ht="16" x14ac:dyDescent="0.2">
      <c r="B10" s="27" t="s">
        <v>4</v>
      </c>
      <c r="C10" s="13">
        <f>('[7]18_19 fleet_v3'!$D313+'[7]18_19 fleet_v3'!$D328+'[7]18_19 fleet_v3'!$D343+'[7]18_19 fleet_v3'!$D358)/1000000</f>
        <v>268.19696689</v>
      </c>
      <c r="D10" s="13">
        <f>('[7]18_19 fleet_v3'!$D433+'[7]18_19 fleet_v3'!$D448+'[7]18_19 fleet_v3'!$D463+'[7]18_19 fleet_v3'!$D478)/1000000</f>
        <v>134.10826309999999</v>
      </c>
      <c r="E10" s="13">
        <f>('[7]18_19 fleet_v3'!$D403+'[7]18_19 fleet_v3'!$D418)/1000000</f>
        <v>43.463175059999998</v>
      </c>
      <c r="F10" s="13">
        <f>('[7]18_19 fleet_v3'!$D283+'[7]18_19 fleet_v3'!$D298)/1000000</f>
        <v>1.80679583</v>
      </c>
      <c r="G10" s="13">
        <f>('[7]18_19 fleet_v3'!$D373+'[7]18_19 fleet_v3'!$D388)/1000000</f>
        <v>2.7955375199999999</v>
      </c>
      <c r="H10" s="29">
        <f>VLOOKUP(B10,[9]RegionTotal!B$2:E$15,4,0)/1000000</f>
        <v>413.36072300000001</v>
      </c>
      <c r="I10" s="13">
        <f t="shared" si="0"/>
        <v>450.37073839999994</v>
      </c>
    </row>
    <row r="11" spans="2:9" ht="16" x14ac:dyDescent="0.2">
      <c r="B11" s="27" t="s">
        <v>5</v>
      </c>
      <c r="C11" s="13">
        <f>('[7]18_19 fleet_v3'!$D314+'[7]18_19 fleet_v3'!$D329+'[7]18_19 fleet_v3'!$D344+'[7]18_19 fleet_v3'!$D359)/1000000</f>
        <v>1140.39497824</v>
      </c>
      <c r="D11" s="13">
        <f>('[7]18_19 fleet_v3'!$D434+'[7]18_19 fleet_v3'!$D449+'[7]18_19 fleet_v3'!$D464+'[7]18_19 fleet_v3'!$D479)/1000000</f>
        <v>378.28618514999999</v>
      </c>
      <c r="E11" s="13">
        <f>('[7]18_19 fleet_v3'!$D404+'[7]18_19 fleet_v3'!$D419)/1000000</f>
        <v>123.61756514</v>
      </c>
      <c r="F11" s="13">
        <f>('[7]18_19 fleet_v3'!$D284+'[7]18_19 fleet_v3'!$D299)/1000000</f>
        <v>5.5468159299999993</v>
      </c>
      <c r="G11" s="13">
        <f>('[7]18_19 fleet_v3'!$D374+'[7]18_19 fleet_v3'!$D389)/1000000</f>
        <v>12.979372930000002</v>
      </c>
      <c r="H11" s="29">
        <f>VLOOKUP(B11,[9]RegionTotal!B$2:E$15,4,0)/1000000</f>
        <v>1680.32728</v>
      </c>
      <c r="I11" s="13">
        <f t="shared" si="0"/>
        <v>1660.8249173899999</v>
      </c>
    </row>
    <row r="12" spans="2:9" ht="16" x14ac:dyDescent="0.2">
      <c r="B12" s="27" t="s">
        <v>6</v>
      </c>
      <c r="C12" s="13">
        <f>('[7]18_19 fleet_v3'!$D315+'[7]18_19 fleet_v3'!$D330+'[7]18_19 fleet_v3'!$D345+'[7]18_19 fleet_v3'!$D360)/1000000</f>
        <v>843.69181354000011</v>
      </c>
      <c r="D12" s="13">
        <f>('[7]18_19 fleet_v3'!$D435+'[7]18_19 fleet_v3'!$D450+'[7]18_19 fleet_v3'!$D465+'[7]18_19 fleet_v3'!$D480)/1000000</f>
        <v>257.69854822000002</v>
      </c>
      <c r="E12" s="13">
        <f>('[7]18_19 fleet_v3'!$D405+'[7]18_19 fleet_v3'!$D420)/1000000</f>
        <v>96.898513690000001</v>
      </c>
      <c r="F12" s="13">
        <f>('[7]18_19 fleet_v3'!$D285+'[7]18_19 fleet_v3'!$D300)/1000000</f>
        <v>3.6790807399999998</v>
      </c>
      <c r="G12" s="13">
        <f>('[7]18_19 fleet_v3'!$D375+'[7]18_19 fleet_v3'!$D390)/1000000</f>
        <v>12.279732460000002</v>
      </c>
      <c r="H12" s="29">
        <f>VLOOKUP(B12,[9]RegionTotal!B$2:E$15,4,0)/1000000</f>
        <v>1112.3774350000001</v>
      </c>
      <c r="I12" s="13">
        <f t="shared" si="0"/>
        <v>1214.2476886500003</v>
      </c>
    </row>
    <row r="13" spans="2:9" ht="16" x14ac:dyDescent="0.2">
      <c r="B13" s="27" t="s">
        <v>7</v>
      </c>
      <c r="C13" s="13">
        <f>('[7]18_19 fleet_v3'!$D316+'[7]18_19 fleet_v3'!$D331+'[7]18_19 fleet_v3'!$D346+'[7]18_19 fleet_v3'!$D361)/1000000</f>
        <v>1662.9051563899998</v>
      </c>
      <c r="D13" s="13">
        <f>('[7]18_19 fleet_v3'!$D436+'[7]18_19 fleet_v3'!$D451+'[7]18_19 fleet_v3'!$D466+'[7]18_19 fleet_v3'!$D481)/1000000</f>
        <v>534.80633893999993</v>
      </c>
      <c r="E13" s="13">
        <f>('[7]18_19 fleet_v3'!$D406+'[7]18_19 fleet_v3'!$D421)/1000000</f>
        <v>210.07515641000003</v>
      </c>
      <c r="F13" s="13">
        <f>('[7]18_19 fleet_v3'!$D286+'[7]18_19 fleet_v3'!$D301)/1000000</f>
        <v>9.3829205500000015</v>
      </c>
      <c r="G13" s="13">
        <f>('[7]18_19 fleet_v3'!$D376+'[7]18_19 fleet_v3'!$D391)/1000000</f>
        <v>23.921778100000001</v>
      </c>
      <c r="H13" s="29">
        <f>VLOOKUP(B13,[9]RegionTotal!B$2:E$15,4,0)/1000000</f>
        <v>2598.6755450000001</v>
      </c>
      <c r="I13" s="13">
        <f t="shared" si="0"/>
        <v>2441.0913503900001</v>
      </c>
    </row>
    <row r="14" spans="2:9" ht="16" x14ac:dyDescent="0.2">
      <c r="B14" s="27" t="s">
        <v>8</v>
      </c>
      <c r="C14" s="13">
        <f>('[7]18_19 fleet_v3'!$D317+'[7]18_19 fleet_v3'!$D332+'[7]18_19 fleet_v3'!$D347+'[7]18_19 fleet_v3'!$D362)/1000000</f>
        <v>3304.7000725300004</v>
      </c>
      <c r="D14" s="13">
        <f>('[7]18_19 fleet_v3'!$D437+'[7]18_19 fleet_v3'!$D452+'[7]18_19 fleet_v3'!$D467+'[7]18_19 fleet_v3'!$D482)/1000000</f>
        <v>678.54385706999994</v>
      </c>
      <c r="E14" s="13">
        <f>('[7]18_19 fleet_v3'!$D407+'[7]18_19 fleet_v3'!$D422)/1000000</f>
        <v>168.45173561999999</v>
      </c>
      <c r="F14" s="13">
        <f>('[7]18_19 fleet_v3'!$D287+'[7]18_19 fleet_v3'!$D302)/1000000</f>
        <v>27.81942398</v>
      </c>
      <c r="G14" s="13">
        <f>('[7]18_19 fleet_v3'!$D377+'[7]18_19 fleet_v3'!$D392)/1000000</f>
        <v>48.407737930000003</v>
      </c>
      <c r="H14" s="29">
        <f>VLOOKUP(B14,[9]RegionTotal!B$2:E$15,4,0)/1000000</f>
        <v>3750.7581030000001</v>
      </c>
      <c r="I14" s="13">
        <f t="shared" si="0"/>
        <v>4227.9228271299999</v>
      </c>
    </row>
    <row r="15" spans="2:9" ht="16" x14ac:dyDescent="0.2">
      <c r="B15" s="27" t="s">
        <v>9</v>
      </c>
      <c r="C15" s="13">
        <f>('[7]18_19 fleet_v3'!$D318+'[7]18_19 fleet_v3'!$D333+'[7]18_19 fleet_v3'!$D348+'[7]18_19 fleet_v3'!$D363)/1000000</f>
        <v>1167.3612321100002</v>
      </c>
      <c r="D15" s="13">
        <f>('[7]18_19 fleet_v3'!$D438+'[7]18_19 fleet_v3'!$D453+'[7]18_19 fleet_v3'!$D468+'[7]18_19 fleet_v3'!$D483)/1000000</f>
        <v>382.81375309999999</v>
      </c>
      <c r="E15" s="13">
        <f>('[7]18_19 fleet_v3'!$D408+'[7]18_19 fleet_v3'!$D423)/1000000</f>
        <v>116.24390416999999</v>
      </c>
      <c r="F15" s="13">
        <f>('[7]18_19 fleet_v3'!$D288+'[7]18_19 fleet_v3'!$D303)/1000000</f>
        <v>7.1865129300000001</v>
      </c>
      <c r="G15" s="13">
        <f>('[7]18_19 fleet_v3'!$D378+'[7]18_19 fleet_v3'!$D393)/1000000</f>
        <v>20.282056689999997</v>
      </c>
      <c r="H15" s="29">
        <f>VLOOKUP(B15,[9]RegionTotal!B$2:E$15,4,0)/1000000</f>
        <v>1522.9155969999999</v>
      </c>
      <c r="I15" s="13">
        <f t="shared" si="0"/>
        <v>1693.887459</v>
      </c>
    </row>
    <row r="16" spans="2:9" ht="16" x14ac:dyDescent="0.2">
      <c r="B16" s="27" t="s">
        <v>10</v>
      </c>
      <c r="C16" s="13">
        <f>('[7]18_19 fleet_v3'!$D319+'[7]18_19 fleet_v3'!$D334+'[7]18_19 fleet_v3'!$D349+'[7]18_19 fleet_v3'!$D364)/1000000</f>
        <v>220.43520096</v>
      </c>
      <c r="D16" s="13">
        <f>('[7]18_19 fleet_v3'!$D439+'[7]18_19 fleet_v3'!$D454+'[7]18_19 fleet_v3'!$D469+'[7]18_19 fleet_v3'!$D484)/1000000</f>
        <v>87.385128520000009</v>
      </c>
      <c r="E16" s="13">
        <f>('[7]18_19 fleet_v3'!$D409+'[7]18_19 fleet_v3'!$D424)/1000000</f>
        <v>32.212745050000002</v>
      </c>
      <c r="F16" s="13">
        <f>('[7]18_19 fleet_v3'!$D289+'[7]18_19 fleet_v3'!$D304)/1000000</f>
        <v>1.7042310600000001</v>
      </c>
      <c r="G16" s="13">
        <f>('[7]18_19 fleet_v3'!$D379+'[7]18_19 fleet_v3'!$D394)/1000000</f>
        <v>3.8725249099999997</v>
      </c>
      <c r="H16" s="29">
        <f>VLOOKUP(B16,[9]RegionTotal!B$2:E$15,4,0)/1000000</f>
        <v>597.57183999999995</v>
      </c>
      <c r="I16" s="13">
        <f t="shared" si="0"/>
        <v>345.60983049999999</v>
      </c>
    </row>
    <row r="17" spans="2:9" ht="16" x14ac:dyDescent="0.2">
      <c r="B17" s="27" t="s">
        <v>11</v>
      </c>
      <c r="C17" s="13">
        <f>('[7]18_19 fleet_v3'!$D320+'[7]18_19 fleet_v3'!$D335+'[7]18_19 fleet_v3'!$D350+'[7]18_19 fleet_v3'!$D365)/1000000</f>
        <v>5069.39100237</v>
      </c>
      <c r="D17" s="13">
        <f>('[7]18_19 fleet_v3'!$D440+'[7]18_19 fleet_v3'!$D455+'[7]18_19 fleet_v3'!$D470+'[7]18_19 fleet_v3'!$D485)/1000000</f>
        <v>1365.3314834099999</v>
      </c>
      <c r="E17" s="13">
        <f>('[7]18_19 fleet_v3'!$D410+'[7]18_19 fleet_v3'!$D425)/1000000</f>
        <v>478.06678506999998</v>
      </c>
      <c r="F17" s="13">
        <f>('[7]18_19 fleet_v3'!$D290+'[7]18_19 fleet_v3'!$D305)/1000000</f>
        <v>59.000000779999993</v>
      </c>
      <c r="G17" s="13">
        <f>('[7]18_19 fleet_v3'!$D380+'[7]18_19 fleet_v3'!$D395)/1000000</f>
        <v>59.024380530000002</v>
      </c>
      <c r="H17" s="29">
        <f>VLOOKUP(B17,[9]RegionTotal!B$2:E$15,4,0)/1000000</f>
        <v>6500.827131</v>
      </c>
      <c r="I17" s="13">
        <f t="shared" si="0"/>
        <v>7030.8136521599999</v>
      </c>
    </row>
    <row r="18" spans="2:9" ht="16" x14ac:dyDescent="0.2">
      <c r="B18" s="27" t="s">
        <v>12</v>
      </c>
      <c r="C18" s="13">
        <f>('[7]18_19 fleet_v3'!$D321+'[7]18_19 fleet_v3'!$D336+'[7]18_19 fleet_v3'!$D351+'[7]18_19 fleet_v3'!$D366)/1000000</f>
        <v>1575.63389454</v>
      </c>
      <c r="D18" s="13">
        <f>('[7]18_19 fleet_v3'!$D441+'[7]18_19 fleet_v3'!$D456+'[7]18_19 fleet_v3'!$D471+'[7]18_19 fleet_v3'!$D486)/1000000</f>
        <v>475.07184766</v>
      </c>
      <c r="E18" s="13">
        <f>('[7]18_19 fleet_v3'!$D411+'[7]18_19 fleet_v3'!$D426)/1000000</f>
        <v>130.86369873999999</v>
      </c>
      <c r="F18" s="13">
        <f>('[7]18_19 fleet_v3'!$D291+'[7]18_19 fleet_v3'!$D306)/1000000</f>
        <v>20.904383459999998</v>
      </c>
      <c r="G18" s="13">
        <f>('[7]18_19 fleet_v3'!$D381+'[7]18_19 fleet_v3'!$D396)/1000000</f>
        <v>16.452543559999999</v>
      </c>
      <c r="H18" s="29">
        <f>VLOOKUP(B18,[9]RegionTotal!B$2:E$15,4,0)/1000000</f>
        <v>2721.4306080000001</v>
      </c>
      <c r="I18" s="13">
        <f t="shared" si="0"/>
        <v>2218.9263679599999</v>
      </c>
    </row>
    <row r="19" spans="2:9" ht="17" thickBot="1" x14ac:dyDescent="0.25">
      <c r="B19" s="27" t="s">
        <v>13</v>
      </c>
      <c r="C19" s="15">
        <f>('[7]18_19 fleet_v3'!$D322+'[7]18_19 fleet_v3'!$D337+'[7]18_19 fleet_v3'!$D352+'[7]18_19 fleet_v3'!$D367)/1000000</f>
        <v>746.93611058999988</v>
      </c>
      <c r="D19" s="15">
        <f>('[7]18_19 fleet_v3'!$D442+'[7]18_19 fleet_v3'!$D457+'[7]18_19 fleet_v3'!$D472+'[7]18_19 fleet_v3'!$D487)/1000000</f>
        <v>310.22196487000002</v>
      </c>
      <c r="E19" s="15">
        <f>('[7]18_19 fleet_v3'!$D412+'[7]18_19 fleet_v3'!$D427)/1000000</f>
        <v>107.81166278000001</v>
      </c>
      <c r="F19" s="15">
        <f>('[7]18_19 fleet_v3'!$D292+'[7]18_19 fleet_v3'!$D307)/1000000</f>
        <v>7.6051759300000006</v>
      </c>
      <c r="G19" s="15">
        <f>('[7]18_19 fleet_v3'!$D382+'[7]18_19 fleet_v3'!$D397)/1000000</f>
        <v>7.4992294299999998</v>
      </c>
      <c r="H19" s="29">
        <f>VLOOKUP(B19,[9]RegionTotal!B$2:E$15,4,0)/1000000</f>
        <v>1386.844116</v>
      </c>
      <c r="I19" s="13">
        <f t="shared" si="0"/>
        <v>1180.0741436000001</v>
      </c>
    </row>
    <row r="20" spans="2:9" ht="34.5" customHeight="1" thickTop="1" thickBot="1" x14ac:dyDescent="0.25">
      <c r="B20" s="20" t="s">
        <v>20</v>
      </c>
      <c r="C20" s="4">
        <f>(SUM('[7]18_19 fleet_v3'!$D$308:$D$367)/1000000)</f>
        <v>35623.200332790002</v>
      </c>
      <c r="D20" s="4">
        <f>(SUM('[7]18_19 fleet_v3'!$D$428:$D$487)/1000000)</f>
        <v>9328.1226863700031</v>
      </c>
      <c r="E20" s="4">
        <f>SUM('[7]18_19 fleet_v3'!$D$398:$D$427)/1000000</f>
        <v>3077.1963486899995</v>
      </c>
      <c r="F20" s="4">
        <f>(SUM('[7]18_19 fleet_v3'!$D$278:$D$307)/1000000)</f>
        <v>320.30963021999997</v>
      </c>
      <c r="G20" s="4">
        <f>(SUM('[7]18_19 fleet_v3'!$D$368:$D$397))/1000000</f>
        <v>426.71123139000002</v>
      </c>
      <c r="H20" s="21"/>
      <c r="I20" s="9">
        <f t="shared" si="0"/>
        <v>48775.540229459999</v>
      </c>
    </row>
    <row r="21" spans="2:9" ht="36" thickTop="1" thickBot="1" x14ac:dyDescent="0.25">
      <c r="B21" s="31" t="s">
        <v>23</v>
      </c>
      <c r="C21" s="9">
        <f t="shared" ref="C21:G21" si="1">SUM(C6:C19)</f>
        <v>35615.187290490001</v>
      </c>
      <c r="D21" s="9">
        <f t="shared" si="1"/>
        <v>9323.4934186999981</v>
      </c>
      <c r="E21" s="9">
        <f t="shared" si="1"/>
        <v>3073.5071837300006</v>
      </c>
      <c r="F21" s="9">
        <f t="shared" si="1"/>
        <v>316.29805212000002</v>
      </c>
      <c r="G21" s="9">
        <f t="shared" si="1"/>
        <v>403.02149145999999</v>
      </c>
      <c r="H21" s="9">
        <f t="shared" ref="H21" si="2">SUM(H6:H19)</f>
        <v>47514.993197999996</v>
      </c>
      <c r="I21" s="10"/>
    </row>
    <row r="22" spans="2:9" ht="18" thickTop="1" thickBot="1" x14ac:dyDescent="0.25">
      <c r="B22" s="8" t="s">
        <v>97</v>
      </c>
      <c r="C22" s="9">
        <f>('[7]18_19 fleet_v3'!$D$308+'[7]18_19 fleet_v3'!$D$323+'[7]18_19 fleet_v3'!$D$338+'[7]18_19 fleet_v3'!$D$353)/1000000</f>
        <v>8.0130423000000004</v>
      </c>
      <c r="D22" s="9">
        <f>('[7]18_19 fleet_v3'!$D$428+'[7]18_19 fleet_v3'!$D$443+'[7]18_19 fleet_v3'!$D$458+'[7]18_19 fleet_v3'!$D$473)/1000000</f>
        <v>4.6292676699999999</v>
      </c>
      <c r="E22" s="9">
        <f>('[7]18_19 fleet_v3'!$D$398+'[7]18_19 fleet_v3'!$D$413)/1000000</f>
        <v>3.6891649599999998</v>
      </c>
      <c r="F22" s="9">
        <f>('[7]18_19 fleet_v3'!$D$278+'[7]18_19 fleet_v3'!$D$293)/1000000</f>
        <v>4.0115781000000004</v>
      </c>
      <c r="G22" s="9">
        <f>('[7]18_19 fleet_v3'!$D$368+'[7]18_19 fleet_v3'!$D$383)/1000000</f>
        <v>23.689739929999998</v>
      </c>
      <c r="H22" s="10"/>
      <c r="I22" s="10"/>
    </row>
    <row r="23" spans="2:9" ht="36" thickTop="1" thickBot="1" x14ac:dyDescent="0.25">
      <c r="B23" s="31" t="s">
        <v>99</v>
      </c>
      <c r="C23" s="9">
        <f>C21+C22</f>
        <v>35623.200332790002</v>
      </c>
      <c r="D23" s="9">
        <f>D21+D22</f>
        <v>9328.1226863699976</v>
      </c>
      <c r="E23" s="9">
        <f>E22+E21</f>
        <v>3077.1963486900008</v>
      </c>
      <c r="F23" s="9">
        <f>F21+F22</f>
        <v>320.30963022000003</v>
      </c>
      <c r="G23" s="9">
        <f>G21+G22</f>
        <v>426.71123138999997</v>
      </c>
      <c r="H23" s="10"/>
      <c r="I23" s="10"/>
    </row>
    <row r="24" spans="2:9" ht="14" thickTop="1" x14ac:dyDescent="0.15"/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4:K30"/>
  <sheetViews>
    <sheetView workbookViewId="0">
      <selection activeCell="D25" sqref="D25"/>
    </sheetView>
  </sheetViews>
  <sheetFormatPr baseColWidth="10" defaultColWidth="8.83203125" defaultRowHeight="13" x14ac:dyDescent="0.15"/>
  <cols>
    <col min="2" max="2" width="21.5" customWidth="1"/>
    <col min="3" max="11" width="17.6640625" customWidth="1"/>
  </cols>
  <sheetData>
    <row r="4" spans="2:11" ht="14" thickBot="1" x14ac:dyDescent="0.2">
      <c r="B4" s="19" t="s">
        <v>14</v>
      </c>
    </row>
    <row r="5" spans="2:11" ht="48.75" customHeight="1" thickTop="1" thickBot="1" x14ac:dyDescent="0.2">
      <c r="B5" s="12"/>
      <c r="C5" s="22" t="s">
        <v>74</v>
      </c>
      <c r="D5" s="22" t="s">
        <v>73</v>
      </c>
      <c r="E5" s="22" t="s">
        <v>93</v>
      </c>
      <c r="F5" s="22" t="s">
        <v>94</v>
      </c>
      <c r="G5" s="22" t="s">
        <v>95</v>
      </c>
      <c r="H5" s="22" t="s">
        <v>21</v>
      </c>
      <c r="I5" s="3" t="s">
        <v>22</v>
      </c>
      <c r="J5" s="3" t="s">
        <v>16</v>
      </c>
      <c r="K5" s="3" t="s">
        <v>17</v>
      </c>
    </row>
    <row r="6" spans="2:11" ht="17" thickTop="1" x14ac:dyDescent="0.2">
      <c r="B6" s="23" t="s">
        <v>0</v>
      </c>
      <c r="C6" s="11">
        <f>'Original 2018-19 Data'!C6*C$22*$J6</f>
        <v>1430.4729544608874</v>
      </c>
      <c r="D6" s="11">
        <f>'Original 2018-19 Data'!D6*D$22*$J6</f>
        <v>486.43489968832654</v>
      </c>
      <c r="E6" s="11">
        <f>'Original 2018-19 Data'!E6*E$22*$J6</f>
        <v>161.54626781920962</v>
      </c>
      <c r="F6" s="11">
        <f>'Original 2018-19 Data'!F6*F$22*$J6</f>
        <v>12.131562583166078</v>
      </c>
      <c r="G6" s="11">
        <f>'Original 2018-19 Data'!G6*G$22*$J6</f>
        <v>15.789113955016051</v>
      </c>
      <c r="H6" s="11">
        <f>'Original 2018-19 Data'!H6*'Original 2018-19 Data'!$I$20/'Original 2018-19 Data'!$H$21</f>
        <v>2106.3747985066057</v>
      </c>
      <c r="I6" s="11">
        <f>SUM(C6:G6)</f>
        <v>2106.3747985066061</v>
      </c>
      <c r="J6" s="12">
        <v>1.1909898711232449</v>
      </c>
      <c r="K6" s="12">
        <f>J6*H6/I6</f>
        <v>1.1909898711232445</v>
      </c>
    </row>
    <row r="7" spans="2:11" ht="16" x14ac:dyDescent="0.2">
      <c r="B7" s="24" t="s">
        <v>1</v>
      </c>
      <c r="C7" s="13">
        <f>'Original 2018-19 Data'!C7*C$22*$J7</f>
        <v>11084.771207960923</v>
      </c>
      <c r="D7" s="13">
        <f>'Original 2018-19 Data'!D7*D$22*$J7</f>
        <v>2072.8153030440685</v>
      </c>
      <c r="E7" s="13">
        <f>'Original 2018-19 Data'!E7*E$22*$J7</f>
        <v>676.69884221560619</v>
      </c>
      <c r="F7" s="13">
        <f>'Original 2018-19 Data'!F7*F$22*$J7</f>
        <v>114.50382086297746</v>
      </c>
      <c r="G7" s="13">
        <f>'Original 2018-19 Data'!G7*G$22*$J7</f>
        <v>104.80855694310515</v>
      </c>
      <c r="H7" s="13">
        <f>'Original 2018-19 Data'!H7*'Original 2018-19 Data'!$I$20/'Original 2018-19 Data'!$H$21</f>
        <v>14053.597731026681</v>
      </c>
      <c r="I7" s="13">
        <f t="shared" ref="I7:I20" si="0">SUM(C7:G7)</f>
        <v>14053.597731026681</v>
      </c>
      <c r="J7" s="14">
        <v>0.90131897846318654</v>
      </c>
      <c r="K7" s="14">
        <f t="shared" ref="K7:K19" si="1">J7*H7/I7</f>
        <v>0.90131897846318654</v>
      </c>
    </row>
    <row r="8" spans="2:11" ht="16" x14ac:dyDescent="0.2">
      <c r="B8" s="24" t="s">
        <v>2</v>
      </c>
      <c r="C8" s="13">
        <f>'Original 2018-19 Data'!C8*C$22*$J8</f>
        <v>4600.7095243902631</v>
      </c>
      <c r="D8" s="13">
        <f>'Original 2018-19 Data'!D8*D$22*$J8</f>
        <v>1379.9908923840658</v>
      </c>
      <c r="E8" s="13">
        <f>'Original 2018-19 Data'!E8*E$22*$J8</f>
        <v>453.08792070709507</v>
      </c>
      <c r="F8" s="13">
        <f>'Original 2018-19 Data'!F8*F$22*$J8</f>
        <v>23.153298604409645</v>
      </c>
      <c r="G8" s="13">
        <f>'Original 2018-19 Data'!G8*G$22*$J8</f>
        <v>54.170203325800216</v>
      </c>
      <c r="H8" s="13">
        <f>'Original 2018-19 Data'!H8*'Original 2018-19 Data'!$I$20/'Original 2018-19 Data'!$H$21</f>
        <v>6511.1118394116338</v>
      </c>
      <c r="I8" s="13">
        <f t="shared" si="0"/>
        <v>6511.1118394116329</v>
      </c>
      <c r="J8" s="14">
        <v>1.2748256826086888</v>
      </c>
      <c r="K8" s="14">
        <f t="shared" si="1"/>
        <v>1.2748256826086888</v>
      </c>
    </row>
    <row r="9" spans="2:11" ht="16" x14ac:dyDescent="0.2">
      <c r="B9" s="24" t="s">
        <v>3</v>
      </c>
      <c r="C9" s="13">
        <f>'Original 2018-19 Data'!C9*C$22*$J9</f>
        <v>2204.6514896435788</v>
      </c>
      <c r="D9" s="13">
        <f>'Original 2018-19 Data'!D9*D$22*$J9</f>
        <v>722.07545363982365</v>
      </c>
      <c r="E9" s="13">
        <f>'Original 2018-19 Data'!E9*E$22*$J9</f>
        <v>253.20870606161878</v>
      </c>
      <c r="F9" s="13">
        <f>'Original 2018-19 Data'!F9*F$22*$J9</f>
        <v>18.29087430637912</v>
      </c>
      <c r="G9" s="13">
        <f>'Original 2018-19 Data'!G9*G$22*$J9</f>
        <v>29.929635657722667</v>
      </c>
      <c r="H9" s="13">
        <f>'Original 2018-19 Data'!H9*'Original 2018-19 Data'!$I$20/'Original 2018-19 Data'!$H$21</f>
        <v>3228.1561593091228</v>
      </c>
      <c r="I9" s="13">
        <f t="shared" si="0"/>
        <v>3228.1561593091228</v>
      </c>
      <c r="J9" s="14">
        <v>0.8423180206817511</v>
      </c>
      <c r="K9" s="14">
        <f t="shared" si="1"/>
        <v>0.8423180206817511</v>
      </c>
    </row>
    <row r="10" spans="2:11" ht="16" x14ac:dyDescent="0.2">
      <c r="B10" s="24" t="s">
        <v>4</v>
      </c>
      <c r="C10" s="13">
        <f>'Original 2018-19 Data'!C10*C$22*$J10</f>
        <v>254.63762597658584</v>
      </c>
      <c r="D10" s="13">
        <f>'Original 2018-19 Data'!D10*D$22*$J10</f>
        <v>124.70396919501677</v>
      </c>
      <c r="E10" s="13">
        <f>'Original 2018-19 Data'!E10*E$22*$J10</f>
        <v>40.423259817139218</v>
      </c>
      <c r="F10" s="13">
        <f>'Original 2018-19 Data'!F10*F$22*$J10</f>
        <v>1.7599314168397928</v>
      </c>
      <c r="G10" s="13">
        <f>'Original 2018-19 Data'!G10*G$22*$J10</f>
        <v>2.802172664967614</v>
      </c>
      <c r="H10" s="13">
        <f>'Original 2018-19 Data'!H10*'Original 2018-19 Data'!$I$20/'Original 2018-19 Data'!$H$21</f>
        <v>424.32695907054932</v>
      </c>
      <c r="I10" s="13">
        <f t="shared" si="0"/>
        <v>424.32695907054921</v>
      </c>
      <c r="J10" s="14">
        <v>0.94413928227503574</v>
      </c>
      <c r="K10" s="14">
        <f t="shared" si="1"/>
        <v>0.94413928227503607</v>
      </c>
    </row>
    <row r="11" spans="2:11" ht="16" x14ac:dyDescent="0.2">
      <c r="B11" s="24" t="s">
        <v>5</v>
      </c>
      <c r="C11" s="13">
        <f>'Original 2018-19 Data'!C11*C$22*$J11</f>
        <v>1191.1751064329801</v>
      </c>
      <c r="D11" s="13">
        <f>'Original 2018-19 Data'!D11*D$22*$J11</f>
        <v>386.98739407495958</v>
      </c>
      <c r="E11" s="13">
        <f>'Original 2018-19 Data'!E11*E$22*$J11</f>
        <v>126.48576944621682</v>
      </c>
      <c r="F11" s="13">
        <f>'Original 2018-19 Data'!F11*F$22*$J11</f>
        <v>5.94404401345097</v>
      </c>
      <c r="G11" s="13">
        <f>'Original 2018-19 Data'!G11*G$22*$J11</f>
        <v>14.313138565403021</v>
      </c>
      <c r="H11" s="13">
        <f>'Original 2018-19 Data'!H11*'Original 2018-19 Data'!$I$20/'Original 2018-19 Data'!$H$21</f>
        <v>1724.9054525330102</v>
      </c>
      <c r="I11" s="13">
        <f t="shared" si="0"/>
        <v>1724.9054525330107</v>
      </c>
      <c r="J11" s="14">
        <v>1.0386941015788016</v>
      </c>
      <c r="K11" s="14">
        <f t="shared" si="1"/>
        <v>1.0386941015788014</v>
      </c>
    </row>
    <row r="12" spans="2:11" ht="16" x14ac:dyDescent="0.2">
      <c r="B12" s="24" t="s">
        <v>6</v>
      </c>
      <c r="C12" s="13">
        <f>'Original 2018-19 Data'!C12*C$22*$J12</f>
        <v>797.69078300839408</v>
      </c>
      <c r="D12" s="13">
        <f>'Original 2018-19 Data'!D12*D$22*$J12</f>
        <v>238.62653505140597</v>
      </c>
      <c r="E12" s="13">
        <f>'Original 2018-19 Data'!E12*E$22*$J12</f>
        <v>89.744744126569302</v>
      </c>
      <c r="F12" s="13">
        <f>'Original 2018-19 Data'!F12*F$22*$J12</f>
        <v>3.5686832916507809</v>
      </c>
      <c r="G12" s="13">
        <f>'Original 2018-19 Data'!G12*G$22*$J12</f>
        <v>12.257460316141954</v>
      </c>
      <c r="H12" s="13">
        <f>'Original 2018-19 Data'!H12*'Original 2018-19 Data'!$I$20/'Original 2018-19 Data'!$H$21</f>
        <v>1141.8882057941621</v>
      </c>
      <c r="I12" s="13">
        <f t="shared" si="0"/>
        <v>1141.8882057941621</v>
      </c>
      <c r="J12" s="14">
        <v>0.94019533431046887</v>
      </c>
      <c r="K12" s="14">
        <f t="shared" si="1"/>
        <v>0.94019533431046887</v>
      </c>
    </row>
    <row r="13" spans="2:11" ht="16" x14ac:dyDescent="0.2">
      <c r="B13" s="24" t="s">
        <v>7</v>
      </c>
      <c r="C13" s="13">
        <f>'Original 2018-19 Data'!C13*C$22*$J13</f>
        <v>1827.4994855124762</v>
      </c>
      <c r="D13" s="13">
        <f>'Original 2018-19 Data'!D13*D$22*$J13</f>
        <v>575.62858719660028</v>
      </c>
      <c r="E13" s="13">
        <f>'Original 2018-19 Data'!E13*E$22*$J13</f>
        <v>226.15471584095553</v>
      </c>
      <c r="F13" s="13">
        <f>'Original 2018-19 Data'!F13*F$22*$J13</f>
        <v>10.57902813497406</v>
      </c>
      <c r="G13" s="13">
        <f>'Original 2018-19 Data'!G13*G$22*$J13</f>
        <v>27.755182864446166</v>
      </c>
      <c r="H13" s="13">
        <f>'Original 2018-19 Data'!H13*'Original 2018-19 Data'!$I$20/'Original 2018-19 Data'!$H$21</f>
        <v>2667.6169995494524</v>
      </c>
      <c r="I13" s="13">
        <f t="shared" si="0"/>
        <v>2667.616999549452</v>
      </c>
      <c r="J13" s="14">
        <v>1.0928413929572449</v>
      </c>
      <c r="K13" s="14">
        <f t="shared" si="1"/>
        <v>1.0928413929572451</v>
      </c>
    </row>
    <row r="14" spans="2:11" ht="16" x14ac:dyDescent="0.2">
      <c r="B14" s="24" t="s">
        <v>8</v>
      </c>
      <c r="C14" s="13">
        <f>'Original 2018-19 Data'!C14*C$22*$J14</f>
        <v>3019.5088220809889</v>
      </c>
      <c r="D14" s="13">
        <f>'Original 2018-19 Data'!D14*D$22*$J14</f>
        <v>607.20900050027149</v>
      </c>
      <c r="E14" s="13">
        <f>'Original 2018-19 Data'!E14*E$22*$J14</f>
        <v>150.77207510197138</v>
      </c>
      <c r="F14" s="13">
        <f>'Original 2018-19 Data'!F14*F$22*$J14</f>
        <v>26.077763119921546</v>
      </c>
      <c r="G14" s="13">
        <f>'Original 2018-19 Data'!G14*G$22*$J14</f>
        <v>46.696022946045218</v>
      </c>
      <c r="H14" s="13">
        <f>'Original 2018-19 Data'!H14*'Original 2018-19 Data'!$I$20/'Original 2018-19 Data'!$H$21</f>
        <v>3850.2636837491987</v>
      </c>
      <c r="I14" s="13">
        <f t="shared" si="0"/>
        <v>3850.2636837491987</v>
      </c>
      <c r="J14" s="14">
        <v>0.908597642537321</v>
      </c>
      <c r="K14" s="14">
        <f t="shared" si="1"/>
        <v>0.908597642537321</v>
      </c>
    </row>
    <row r="15" spans="2:11" ht="16" x14ac:dyDescent="0.2">
      <c r="B15" s="24" t="s">
        <v>9</v>
      </c>
      <c r="C15" s="13">
        <f>'Original 2018-19 Data'!C15*C$22*$J15</f>
        <v>1083.0977329412337</v>
      </c>
      <c r="D15" s="13">
        <f>'Original 2018-19 Data'!D15*D$22*$J15</f>
        <v>347.86115678101135</v>
      </c>
      <c r="E15" s="13">
        <f>'Original 2018-19 Data'!E15*E$22*$J15</f>
        <v>105.65103050706753</v>
      </c>
      <c r="F15" s="13">
        <f>'Original 2018-19 Data'!F15*F$22*$J15</f>
        <v>6.8406684466316321</v>
      </c>
      <c r="G15" s="13">
        <f>'Original 2018-19 Data'!G15*G$22*$J15</f>
        <v>19.867134174371309</v>
      </c>
      <c r="H15" s="13">
        <f>'Original 2018-19 Data'!H15*'Original 2018-19 Data'!$I$20/'Original 2018-19 Data'!$H$21</f>
        <v>1563.3177228503155</v>
      </c>
      <c r="I15" s="13">
        <f t="shared" si="0"/>
        <v>1563.3177228503157</v>
      </c>
      <c r="J15" s="14">
        <v>0.92263459163831341</v>
      </c>
      <c r="K15" s="14">
        <f t="shared" si="1"/>
        <v>0.9226345916383133</v>
      </c>
    </row>
    <row r="16" spans="2:11" ht="16" x14ac:dyDescent="0.2">
      <c r="B16" s="24" t="s">
        <v>10</v>
      </c>
      <c r="C16" s="13">
        <f>'Original 2018-19 Data'!C16*C$22*$J16</f>
        <v>393.75667317794154</v>
      </c>
      <c r="D16" s="13">
        <f>'Original 2018-19 Data'!D16*D$22*$J16</f>
        <v>152.87643026991475</v>
      </c>
      <c r="E16" s="13">
        <f>'Original 2018-19 Data'!E16*E$22*$J16</f>
        <v>56.36582709996118</v>
      </c>
      <c r="F16" s="13">
        <f>'Original 2018-19 Data'!F16*F$22*$J16</f>
        <v>3.1231540434898464</v>
      </c>
      <c r="G16" s="13">
        <f>'Original 2018-19 Data'!G16*G$22*$J16</f>
        <v>7.3030126291481707</v>
      </c>
      <c r="H16" s="13">
        <f>'Original 2018-19 Data'!H16*'Original 2018-19 Data'!$I$20/'Original 2018-19 Data'!$H$21</f>
        <v>613.42509722045554</v>
      </c>
      <c r="I16" s="13">
        <f t="shared" si="0"/>
        <v>613.42509722045543</v>
      </c>
      <c r="J16" s="14">
        <v>1.7762918874151359</v>
      </c>
      <c r="K16" s="14">
        <f t="shared" si="1"/>
        <v>1.7762918874151363</v>
      </c>
    </row>
    <row r="17" spans="2:11" ht="16" x14ac:dyDescent="0.2">
      <c r="B17" s="24" t="s">
        <v>11</v>
      </c>
      <c r="C17" s="13">
        <f>'Original 2018-19 Data'!C17*C$22*$J17</f>
        <v>4834.3527091145634</v>
      </c>
      <c r="D17" s="13">
        <f>'Original 2018-19 Data'!D17*D$22*$J17</f>
        <v>1275.1952090948018</v>
      </c>
      <c r="E17" s="13">
        <f>'Original 2018-19 Data'!E17*E$22*$J17</f>
        <v>446.59338245603811</v>
      </c>
      <c r="F17" s="13">
        <f>'Original 2018-19 Data'!F17*F$22*$J17</f>
        <v>57.723480625387452</v>
      </c>
      <c r="G17" s="13">
        <f>'Original 2018-19 Data'!G17*G$22*$J17</f>
        <v>59.425772104514692</v>
      </c>
      <c r="H17" s="13">
        <f>'Original 2018-19 Data'!H17*'Original 2018-19 Data'!$I$20/'Original 2018-19 Data'!$H$21</f>
        <v>6673.2905533953044</v>
      </c>
      <c r="I17" s="13">
        <f t="shared" si="0"/>
        <v>6673.2905533953053</v>
      </c>
      <c r="J17" s="14">
        <v>0.94830905182602254</v>
      </c>
      <c r="K17" s="14">
        <f t="shared" si="1"/>
        <v>0.94830905182602243</v>
      </c>
    </row>
    <row r="18" spans="2:11" ht="16" x14ac:dyDescent="0.2">
      <c r="B18" s="24" t="s">
        <v>12</v>
      </c>
      <c r="C18" s="13">
        <f>'Original 2018-19 Data'!C18*C$22*$J18</f>
        <v>1993.6094567216578</v>
      </c>
      <c r="D18" s="13">
        <f>'Original 2018-19 Data'!D18*D$22*$J18</f>
        <v>588.70820681756163</v>
      </c>
      <c r="E18" s="13">
        <f>'Original 2018-19 Data'!E18*E$22*$J18</f>
        <v>162.19786403904789</v>
      </c>
      <c r="F18" s="13">
        <f>'Original 2018-19 Data'!F18*F$22*$J18</f>
        <v>27.135640909553725</v>
      </c>
      <c r="G18" s="13">
        <f>'Original 2018-19 Data'!G18*G$22*$J18</f>
        <v>21.977519388642058</v>
      </c>
      <c r="H18" s="13">
        <f>'Original 2018-19 Data'!H18*'Original 2018-19 Data'!$I$20/'Original 2018-19 Data'!$H$21</f>
        <v>2793.6286878764631</v>
      </c>
      <c r="I18" s="13">
        <f t="shared" si="0"/>
        <v>2793.6286878764631</v>
      </c>
      <c r="J18" s="14">
        <v>1.2582070758771182</v>
      </c>
      <c r="K18" s="14">
        <f t="shared" si="1"/>
        <v>1.2582070758771182</v>
      </c>
    </row>
    <row r="19" spans="2:11" ht="17" thickBot="1" x14ac:dyDescent="0.25">
      <c r="B19" s="25" t="s">
        <v>13</v>
      </c>
      <c r="C19" s="15">
        <f>'Original 2018-19 Data'!C19*C$22*$J19</f>
        <v>907.23497246041393</v>
      </c>
      <c r="D19" s="15">
        <f>'Original 2018-19 Data'!D19*D$22*$J19</f>
        <v>369.03273844811218</v>
      </c>
      <c r="E19" s="15">
        <f>'Original 2018-19 Data'!E19*E$22*$J19</f>
        <v>128.27535960407803</v>
      </c>
      <c r="F19" s="15">
        <f>'Original 2018-19 Data'!F19*F$22*$J19</f>
        <v>9.4768398644300493</v>
      </c>
      <c r="G19" s="15">
        <f>'Original 2018-19 Data'!G19*G$22*$J19</f>
        <v>9.6164287900135363</v>
      </c>
      <c r="H19" s="15">
        <f>'Original 2018-19 Data'!H19*'Original 2018-19 Data'!$I$20/'Original 2018-19 Data'!$H$21</f>
        <v>1423.6363391670479</v>
      </c>
      <c r="I19" s="15">
        <f t="shared" si="0"/>
        <v>1423.6363391670477</v>
      </c>
      <c r="J19" s="16">
        <v>1.2078240699841554</v>
      </c>
      <c r="K19" s="16">
        <f t="shared" si="1"/>
        <v>1.2078240699841556</v>
      </c>
    </row>
    <row r="20" spans="2:11" ht="32.25" customHeight="1" thickTop="1" thickBot="1" x14ac:dyDescent="0.25">
      <c r="B20" s="20" t="s">
        <v>20</v>
      </c>
      <c r="C20" s="4">
        <f>'Original 2018-19 Data'!C20</f>
        <v>35623.200332790002</v>
      </c>
      <c r="D20" s="4">
        <f>'Original 2018-19 Data'!D20</f>
        <v>9328.1226863700031</v>
      </c>
      <c r="E20" s="4">
        <f>'Original 2018-19 Data'!E20</f>
        <v>3077.1963486899995</v>
      </c>
      <c r="F20" s="4">
        <f>'Original 2018-19 Data'!F20</f>
        <v>320.30963021999997</v>
      </c>
      <c r="G20" s="4">
        <f>'Original 2018-19 Data'!G20</f>
        <v>426.71123139000002</v>
      </c>
      <c r="H20" s="5"/>
      <c r="I20" s="9">
        <f t="shared" si="0"/>
        <v>48775.540229459999</v>
      </c>
    </row>
    <row r="21" spans="2:11" ht="36" thickTop="1" thickBot="1" x14ac:dyDescent="0.25">
      <c r="B21" s="31" t="s">
        <v>23</v>
      </c>
      <c r="C21" s="9">
        <f t="shared" ref="C21:H21" si="2">SUM(C6:C19)</f>
        <v>35623.168543882886</v>
      </c>
      <c r="D21" s="9">
        <f t="shared" si="2"/>
        <v>9328.1457761859401</v>
      </c>
      <c r="E21" s="9">
        <f t="shared" si="2"/>
        <v>3077.2057648425744</v>
      </c>
      <c r="F21" s="9">
        <f t="shared" si="2"/>
        <v>320.30879022326218</v>
      </c>
      <c r="G21" s="9">
        <f t="shared" si="2"/>
        <v>426.71135432533777</v>
      </c>
      <c r="H21" s="9">
        <f t="shared" si="2"/>
        <v>48775.540229459999</v>
      </c>
      <c r="I21" s="6"/>
    </row>
    <row r="22" spans="2:11" ht="18" thickTop="1" thickBot="1" x14ac:dyDescent="0.25">
      <c r="B22" s="8" t="s">
        <v>16</v>
      </c>
      <c r="C22" s="10">
        <v>1.005617094206485</v>
      </c>
      <c r="D22" s="10">
        <v>0.98489214008122949</v>
      </c>
      <c r="E22" s="10">
        <v>0.98508525038125583</v>
      </c>
      <c r="F22" s="10">
        <v>1.0316932687484084</v>
      </c>
      <c r="G22" s="10">
        <v>1.0616796654498846</v>
      </c>
      <c r="H22" s="17"/>
    </row>
    <row r="23" spans="2:11" ht="18" thickTop="1" thickBot="1" x14ac:dyDescent="0.25">
      <c r="B23" s="8" t="s">
        <v>17</v>
      </c>
      <c r="C23" s="10">
        <f>C22*C20/C21</f>
        <v>1.0056179915850652</v>
      </c>
      <c r="D23" s="10">
        <f>D22*D20/D21</f>
        <v>0.98488970219284544</v>
      </c>
      <c r="E23" s="10">
        <f>E22*E20/E21</f>
        <v>0.98508223605146261</v>
      </c>
      <c r="F23" s="10">
        <f>F22*F20/F21</f>
        <v>1.0316959743219256</v>
      </c>
      <c r="G23" s="10">
        <f>G22*G20/G21</f>
        <v>1.0616793595804792</v>
      </c>
      <c r="H23" s="18"/>
    </row>
    <row r="24" spans="2:11" ht="18" thickTop="1" thickBot="1" x14ac:dyDescent="0.25">
      <c r="B24" s="8" t="s">
        <v>15</v>
      </c>
      <c r="C24" s="10" t="str">
        <f>IF(ABS(C20-C21)&lt;Convergence_Criteria, "YES","NO")</f>
        <v>YES</v>
      </c>
      <c r="D24" s="10" t="str">
        <f>IF(ABS(D20-D21)&lt;Convergence_Criteria, "YES","NO")</f>
        <v>YES</v>
      </c>
      <c r="E24" s="10" t="str">
        <f>IF(ABS(E20-E21)&lt;Convergence_Criteria, "YES","NO")</f>
        <v>YES</v>
      </c>
      <c r="F24" s="10" t="str">
        <f>IF(ABS(F20-F21)&lt;Convergence_Criteria, "YES","NO")</f>
        <v>YES</v>
      </c>
      <c r="G24" s="10" t="str">
        <f>IF(ABS(G20-G21)&lt;Convergence_Criteria, "YES","NO")</f>
        <v>YES</v>
      </c>
      <c r="H24" s="18"/>
    </row>
    <row r="25" spans="2:11" ht="14" thickTop="1" x14ac:dyDescent="0.15"/>
    <row r="28" spans="2:11" x14ac:dyDescent="0.15">
      <c r="B28" t="s">
        <v>19</v>
      </c>
    </row>
    <row r="29" spans="2:11" x14ac:dyDescent="0.15">
      <c r="B29" s="7" t="s">
        <v>181</v>
      </c>
    </row>
    <row r="30" spans="2:11" x14ac:dyDescent="0.15">
      <c r="B30" s="7" t="s">
        <v>18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C2:V143"/>
  <sheetViews>
    <sheetView topLeftCell="A4" zoomScale="90" zoomScaleNormal="90" workbookViewId="0">
      <selection activeCell="J106" sqref="J106"/>
    </sheetView>
  </sheetViews>
  <sheetFormatPr baseColWidth="10" defaultColWidth="8.83203125" defaultRowHeight="13" x14ac:dyDescent="0.15"/>
  <cols>
    <col min="3" max="3" width="27.6640625" customWidth="1"/>
    <col min="4" max="18" width="17.6640625" customWidth="1"/>
  </cols>
  <sheetData>
    <row r="2" spans="3:18" x14ac:dyDescent="0.15">
      <c r="C2" s="174" t="b">
        <v>1</v>
      </c>
      <c r="D2" t="s">
        <v>138</v>
      </c>
    </row>
    <row r="3" spans="3:18" x14ac:dyDescent="0.15">
      <c r="C3" s="174" t="b">
        <v>1</v>
      </c>
      <c r="D3" t="s">
        <v>139</v>
      </c>
    </row>
    <row r="4" spans="3:18" x14ac:dyDescent="0.15">
      <c r="C4" s="174" t="b">
        <v>1</v>
      </c>
      <c r="D4" t="s">
        <v>140</v>
      </c>
    </row>
    <row r="6" spans="3:18" ht="14" thickBot="1" x14ac:dyDescent="0.2"/>
    <row r="7" spans="3:18" ht="17" thickTop="1" x14ac:dyDescent="0.2">
      <c r="C7" s="32" t="s">
        <v>141</v>
      </c>
      <c r="D7" s="34"/>
      <c r="E7" s="33"/>
      <c r="F7" s="33"/>
      <c r="G7" s="33"/>
      <c r="H7" s="33"/>
      <c r="I7" s="34"/>
      <c r="J7" s="34"/>
      <c r="K7" s="34"/>
      <c r="L7" s="34"/>
      <c r="M7" s="34"/>
      <c r="N7" s="34"/>
      <c r="O7" s="34"/>
      <c r="P7" s="34"/>
      <c r="Q7" s="34"/>
      <c r="R7" s="35"/>
    </row>
    <row r="8" spans="3:18" ht="14" thickBot="1" x14ac:dyDescent="0.2">
      <c r="C8" s="18"/>
      <c r="D8" s="65" t="s">
        <v>25</v>
      </c>
      <c r="E8" s="65" t="s">
        <v>37</v>
      </c>
      <c r="F8" s="65" t="s">
        <v>38</v>
      </c>
      <c r="G8" s="37" t="s">
        <v>177</v>
      </c>
      <c r="H8" s="37" t="s">
        <v>178</v>
      </c>
      <c r="I8" s="65" t="s">
        <v>26</v>
      </c>
      <c r="J8" s="65" t="s">
        <v>183</v>
      </c>
      <c r="K8" s="65" t="s">
        <v>27</v>
      </c>
      <c r="L8" s="65" t="s">
        <v>28</v>
      </c>
      <c r="M8" s="65" t="s">
        <v>29</v>
      </c>
      <c r="N8" s="65" t="s">
        <v>30</v>
      </c>
      <c r="O8" s="65" t="s">
        <v>31</v>
      </c>
      <c r="P8" s="37" t="s">
        <v>174</v>
      </c>
      <c r="Q8" s="37" t="s">
        <v>175</v>
      </c>
      <c r="R8" s="38" t="s">
        <v>176</v>
      </c>
    </row>
    <row r="9" spans="3:18" ht="15" thickTop="1" thickBot="1" x14ac:dyDescent="0.2">
      <c r="C9" s="70"/>
      <c r="D9" s="71" t="s">
        <v>39</v>
      </c>
      <c r="E9" s="71" t="s">
        <v>39</v>
      </c>
      <c r="F9" s="71" t="s">
        <v>39</v>
      </c>
      <c r="G9" s="65" t="s">
        <v>39</v>
      </c>
      <c r="H9" s="65" t="s">
        <v>39</v>
      </c>
      <c r="I9" s="71" t="s">
        <v>39</v>
      </c>
      <c r="J9" s="71"/>
      <c r="K9" s="71" t="s">
        <v>32</v>
      </c>
      <c r="L9" s="71" t="s">
        <v>32</v>
      </c>
      <c r="M9" s="71" t="s">
        <v>32</v>
      </c>
      <c r="N9" s="71" t="s">
        <v>32</v>
      </c>
      <c r="O9" s="71" t="s">
        <v>32</v>
      </c>
      <c r="P9" s="65" t="s">
        <v>32</v>
      </c>
      <c r="Q9" s="65" t="s">
        <v>32</v>
      </c>
      <c r="R9" s="66" t="s">
        <v>32</v>
      </c>
    </row>
    <row r="10" spans="3:18" ht="17" thickTop="1" x14ac:dyDescent="0.2">
      <c r="C10" s="24" t="s">
        <v>0</v>
      </c>
      <c r="D10" s="79">
        <f>('Light Vehicle Supporting Data'!D47+'Light Vehicle Supporting Data'!D68)/'Light Vehicle Supporting Data'!D47</f>
        <v>1.6587105725502904</v>
      </c>
      <c r="E10" s="80">
        <f>('Light Vehicle Supporting Data'!E47+'Light Vehicle Supporting Data'!E68)/'Light Vehicle Supporting Data'!E47</f>
        <v>1.6529843153556174</v>
      </c>
      <c r="F10" s="80">
        <f>('Light Vehicle Supporting Data'!F47+'Light Vehicle Supporting Data'!F68)/'Light Vehicle Supporting Data'!F47</f>
        <v>1.6474792901645228</v>
      </c>
      <c r="G10" s="80">
        <f>('Light Vehicle Supporting Data'!G47+'Light Vehicle Supporting Data'!G68)/'Light Vehicle Supporting Data'!G47</f>
        <v>1.6421829191126873</v>
      </c>
      <c r="H10" s="80">
        <f>('Light Vehicle Supporting Data'!H47+'Light Vehicle Supporting Data'!H68)/'Light Vehicle Supporting Data'!H47</f>
        <v>1.6370835600671683</v>
      </c>
      <c r="I10" s="80">
        <f>('Light Vehicle Supporting Data'!I47+'Light Vehicle Supporting Data'!I68)/'Light Vehicle Supporting Data'!I47</f>
        <v>1.6321704211979837</v>
      </c>
      <c r="J10" s="80">
        <f>('Light Vehicle Supporting Data'!J47+'Light Vehicle Supporting Data'!J68)/'Light Vehicle Supporting Data'!J47</f>
        <v>1.6291181189432222</v>
      </c>
      <c r="K10" s="80">
        <f>('Light Vehicle Supporting Data'!K47+'Light Vehicle Supporting Data'!K68)/'Light Vehicle Supporting Data'!K47</f>
        <v>1.6175477970937659</v>
      </c>
      <c r="L10" s="80">
        <f>('Light Vehicle Supporting Data'!L47+'Light Vehicle Supporting Data'!L68)/'Light Vehicle Supporting Data'!L47</f>
        <v>1.6090666203337793</v>
      </c>
      <c r="M10" s="80">
        <f>('Light Vehicle Supporting Data'!M47+'Light Vehicle Supporting Data'!M68)/'Light Vehicle Supporting Data'!M47</f>
        <v>1.5996083787444912</v>
      </c>
      <c r="N10" s="80">
        <f>('Light Vehicle Supporting Data'!N47+'Light Vehicle Supporting Data'!N68)/'Light Vehicle Supporting Data'!N47</f>
        <v>1.5929875267219764</v>
      </c>
      <c r="O10" s="80">
        <f>('Light Vehicle Supporting Data'!O47+'Light Vehicle Supporting Data'!O68)/'Light Vehicle Supporting Data'!O47</f>
        <v>1.5858528844423163</v>
      </c>
      <c r="P10" s="156">
        <f>('Light Vehicle Supporting Data'!P47+'Light Vehicle Supporting Data'!P68)/'Light Vehicle Supporting Data'!P47</f>
        <v>1.5864986361315778</v>
      </c>
      <c r="Q10" s="156">
        <f>('Light Vehicle Supporting Data'!Q47+'Light Vehicle Supporting Data'!Q68)/'Light Vehicle Supporting Data'!Q47</f>
        <v>1.5871472183505546</v>
      </c>
      <c r="R10" s="157">
        <f>('Light Vehicle Supporting Data'!R47+'Light Vehicle Supporting Data'!R68)/'Light Vehicle Supporting Data'!R47</f>
        <v>1.5877982894154219</v>
      </c>
    </row>
    <row r="11" spans="3:18" ht="16" x14ac:dyDescent="0.2">
      <c r="C11" s="24" t="s">
        <v>1</v>
      </c>
      <c r="D11" s="81">
        <f>('Light Vehicle Supporting Data'!D48+'Light Vehicle Supporting Data'!D69)/'Light Vehicle Supporting Data'!D48</f>
        <v>1.5135908407438097</v>
      </c>
      <c r="E11" s="82">
        <f>('Light Vehicle Supporting Data'!E48+'Light Vehicle Supporting Data'!E69)/'Light Vehicle Supporting Data'!E48</f>
        <v>1.5085119673436074</v>
      </c>
      <c r="F11" s="82">
        <f>('Light Vehicle Supporting Data'!F48+'Light Vehicle Supporting Data'!F69)/'Light Vehicle Supporting Data'!F48</f>
        <v>1.5037521741653568</v>
      </c>
      <c r="G11" s="82">
        <f>('Light Vehicle Supporting Data'!G48+'Light Vehicle Supporting Data'!G69)/'Light Vehicle Supporting Data'!G48</f>
        <v>1.4992823076720685</v>
      </c>
      <c r="H11" s="82">
        <f>('Light Vehicle Supporting Data'!H48+'Light Vehicle Supporting Data'!H69)/'Light Vehicle Supporting Data'!H48</f>
        <v>1.4950766609354895</v>
      </c>
      <c r="I11" s="82">
        <f>('Light Vehicle Supporting Data'!I48+'Light Vehicle Supporting Data'!I69)/'Light Vehicle Supporting Data'!I48</f>
        <v>1.4911124789235861</v>
      </c>
      <c r="J11" s="82">
        <f>('Light Vehicle Supporting Data'!J48+'Light Vehicle Supporting Data'!J69)/'Light Vehicle Supporting Data'!J48</f>
        <v>1.4873763791759802</v>
      </c>
      <c r="K11" s="82">
        <f>('Light Vehicle Supporting Data'!K48+'Light Vehicle Supporting Data'!K69)/'Light Vehicle Supporting Data'!K48</f>
        <v>1.4737452590924041</v>
      </c>
      <c r="L11" s="82">
        <f>('Light Vehicle Supporting Data'!L48+'Light Vehicle Supporting Data'!L69)/'Light Vehicle Supporting Data'!L48</f>
        <v>1.4617308919075762</v>
      </c>
      <c r="M11" s="82">
        <f>('Light Vehicle Supporting Data'!M48+'Light Vehicle Supporting Data'!M69)/'Light Vehicle Supporting Data'!M48</f>
        <v>1.4519767813777804</v>
      </c>
      <c r="N11" s="82">
        <f>('Light Vehicle Supporting Data'!N48+'Light Vehicle Supporting Data'!N69)/'Light Vehicle Supporting Data'!N48</f>
        <v>1.444502753836568</v>
      </c>
      <c r="O11" s="82">
        <f>('Light Vehicle Supporting Data'!O48+'Light Vehicle Supporting Data'!O69)/'Light Vehicle Supporting Data'!O48</f>
        <v>1.436636988405394</v>
      </c>
      <c r="P11" s="159">
        <f>('Light Vehicle Supporting Data'!P48+'Light Vehicle Supporting Data'!P69)/'Light Vehicle Supporting Data'!P48</f>
        <v>1.4353470027856461</v>
      </c>
      <c r="Q11" s="159">
        <f>('Light Vehicle Supporting Data'!Q48+'Light Vehicle Supporting Data'!Q69)/'Light Vehicle Supporting Data'!Q48</f>
        <v>1.4339665102458945</v>
      </c>
      <c r="R11" s="160">
        <f>('Light Vehicle Supporting Data'!R48+'Light Vehicle Supporting Data'!R69)/'Light Vehicle Supporting Data'!R48</f>
        <v>1.4323869252522163</v>
      </c>
    </row>
    <row r="12" spans="3:18" ht="16" x14ac:dyDescent="0.2">
      <c r="C12" s="24" t="s">
        <v>2</v>
      </c>
      <c r="D12" s="81">
        <f>('Light Vehicle Supporting Data'!D49+'Light Vehicle Supporting Data'!D70)/'Light Vehicle Supporting Data'!D49</f>
        <v>1.5269744114686463</v>
      </c>
      <c r="E12" s="82">
        <f>('Light Vehicle Supporting Data'!E49+'Light Vehicle Supporting Data'!E70)/'Light Vehicle Supporting Data'!E49</f>
        <v>1.5222894640869806</v>
      </c>
      <c r="F12" s="82">
        <f>('Light Vehicle Supporting Data'!F49+'Light Vehicle Supporting Data'!F70)/'Light Vehicle Supporting Data'!F49</f>
        <v>1.5178403053062621</v>
      </c>
      <c r="G12" s="82">
        <f>('Light Vehicle Supporting Data'!G49+'Light Vehicle Supporting Data'!G70)/'Light Vehicle Supporting Data'!G49</f>
        <v>1.5136095715734068</v>
      </c>
      <c r="H12" s="82">
        <f>('Light Vehicle Supporting Data'!H49+'Light Vehicle Supporting Data'!H70)/'Light Vehicle Supporting Data'!H49</f>
        <v>1.5095815633660368</v>
      </c>
      <c r="I12" s="82">
        <f>('Light Vehicle Supporting Data'!I49+'Light Vehicle Supporting Data'!I70)/'Light Vehicle Supporting Data'!I49</f>
        <v>1.505742050516822</v>
      </c>
      <c r="J12" s="82">
        <f>('Light Vehicle Supporting Data'!J49+'Light Vehicle Supporting Data'!J70)/'Light Vehicle Supporting Data'!J49</f>
        <v>1.5032716698741493</v>
      </c>
      <c r="K12" s="82">
        <f>('Light Vehicle Supporting Data'!K49+'Light Vehicle Supporting Data'!K70)/'Light Vehicle Supporting Data'!K49</f>
        <v>1.4940438190741208</v>
      </c>
      <c r="L12" s="82">
        <f>('Light Vehicle Supporting Data'!L49+'Light Vehicle Supporting Data'!L70)/'Light Vehicle Supporting Data'!L49</f>
        <v>1.4872588010132268</v>
      </c>
      <c r="M12" s="82">
        <f>('Light Vehicle Supporting Data'!M49+'Light Vehicle Supporting Data'!M70)/'Light Vehicle Supporting Data'!M49</f>
        <v>1.4796921222581763</v>
      </c>
      <c r="N12" s="82">
        <f>('Light Vehicle Supporting Data'!N49+'Light Vehicle Supporting Data'!N70)/'Light Vehicle Supporting Data'!N49</f>
        <v>1.4743953808008814</v>
      </c>
      <c r="O12" s="82">
        <f>('Light Vehicle Supporting Data'!O49+'Light Vehicle Supporting Data'!O70)/'Light Vehicle Supporting Data'!O49</f>
        <v>1.4686876024942317</v>
      </c>
      <c r="P12" s="159">
        <f>('Light Vehicle Supporting Data'!P49+'Light Vehicle Supporting Data'!P70)/'Light Vehicle Supporting Data'!P49</f>
        <v>1.4692042096819469</v>
      </c>
      <c r="Q12" s="159">
        <f>('Light Vehicle Supporting Data'!Q49+'Light Vehicle Supporting Data'!Q70)/'Light Vehicle Supporting Data'!Q49</f>
        <v>1.4697230813190167</v>
      </c>
      <c r="R12" s="160">
        <f>('Light Vehicle Supporting Data'!R49+'Light Vehicle Supporting Data'!R70)/'Light Vehicle Supporting Data'!R49</f>
        <v>1.470243944055293</v>
      </c>
    </row>
    <row r="13" spans="3:18" ht="16" x14ac:dyDescent="0.2">
      <c r="C13" s="24" t="s">
        <v>3</v>
      </c>
      <c r="D13" s="81">
        <f>('Light Vehicle Supporting Data'!D50+'Light Vehicle Supporting Data'!D71)/'Light Vehicle Supporting Data'!D50</f>
        <v>1.7024241867236372</v>
      </c>
      <c r="E13" s="82">
        <f>('Light Vehicle Supporting Data'!E50+'Light Vehicle Supporting Data'!E71)/'Light Vehicle Supporting Data'!E50</f>
        <v>1.6962470503653453</v>
      </c>
      <c r="F13" s="82">
        <f>('Light Vehicle Supporting Data'!F50+'Light Vehicle Supporting Data'!F71)/'Light Vehicle Supporting Data'!F50</f>
        <v>1.690345643326137</v>
      </c>
      <c r="G13" s="82">
        <f>('Light Vehicle Supporting Data'!G50+'Light Vehicle Supporting Data'!G71)/'Light Vehicle Supporting Data'!G50</f>
        <v>1.6847019070204667</v>
      </c>
      <c r="H13" s="82">
        <f>('Light Vehicle Supporting Data'!H50+'Light Vehicle Supporting Data'!H71)/'Light Vehicle Supporting Data'!H50</f>
        <v>1.6792993261403786</v>
      </c>
      <c r="I13" s="82">
        <f>('Light Vehicle Supporting Data'!I50+'Light Vehicle Supporting Data'!I71)/'Light Vehicle Supporting Data'!I50</f>
        <v>1.6741227672443819</v>
      </c>
      <c r="J13" s="82">
        <f>('Light Vehicle Supporting Data'!J50+'Light Vehicle Supporting Data'!J71)/'Light Vehicle Supporting Data'!J50</f>
        <v>1.6708476312381058</v>
      </c>
      <c r="K13" s="82">
        <f>('Light Vehicle Supporting Data'!K50+'Light Vehicle Supporting Data'!K71)/'Light Vehicle Supporting Data'!K50</f>
        <v>1.6585297507175571</v>
      </c>
      <c r="L13" s="82">
        <f>('Light Vehicle Supporting Data'!L50+'Light Vehicle Supporting Data'!L71)/'Light Vehicle Supporting Data'!L50</f>
        <v>1.6494857427171572</v>
      </c>
      <c r="M13" s="82">
        <f>('Light Vehicle Supporting Data'!M50+'Light Vehicle Supporting Data'!M71)/'Light Vehicle Supporting Data'!M50</f>
        <v>1.6393998295209118</v>
      </c>
      <c r="N13" s="82">
        <f>('Light Vehicle Supporting Data'!N50+'Light Vehicle Supporting Data'!N71)/'Light Vehicle Supporting Data'!N50</f>
        <v>1.6323396018714194</v>
      </c>
      <c r="O13" s="82">
        <f>('Light Vehicle Supporting Data'!O50+'Light Vehicle Supporting Data'!O71)/'Light Vehicle Supporting Data'!O50</f>
        <v>1.6247314876104753</v>
      </c>
      <c r="P13" s="159">
        <f>('Light Vehicle Supporting Data'!P50+'Light Vehicle Supporting Data'!P71)/'Light Vehicle Supporting Data'!P50</f>
        <v>1.6254200929313203</v>
      </c>
      <c r="Q13" s="159">
        <f>('Light Vehicle Supporting Data'!Q50+'Light Vehicle Supporting Data'!Q71)/'Light Vehicle Supporting Data'!Q50</f>
        <v>1.6261117166226247</v>
      </c>
      <c r="R13" s="160">
        <f>('Light Vehicle Supporting Data'!R50+'Light Vehicle Supporting Data'!R71)/'Light Vehicle Supporting Data'!R50</f>
        <v>1.6268059943256039</v>
      </c>
    </row>
    <row r="14" spans="3:18" ht="16" x14ac:dyDescent="0.2">
      <c r="C14" s="24" t="s">
        <v>4</v>
      </c>
      <c r="D14" s="81">
        <f>('Light Vehicle Supporting Data'!D51+'Light Vehicle Supporting Data'!D72)/'Light Vehicle Supporting Data'!D51</f>
        <v>1.7238662822313953</v>
      </c>
      <c r="E14" s="82">
        <f>('Light Vehicle Supporting Data'!E51+'Light Vehicle Supporting Data'!E72)/'Light Vehicle Supporting Data'!E51</f>
        <v>1.717747090439175</v>
      </c>
      <c r="F14" s="82">
        <f>('Light Vehicle Supporting Data'!F51+'Light Vehicle Supporting Data'!F72)/'Light Vehicle Supporting Data'!F51</f>
        <v>1.7117761594206748</v>
      </c>
      <c r="G14" s="82">
        <f>('Light Vehicle Supporting Data'!G51+'Light Vehicle Supporting Data'!G72)/'Light Vehicle Supporting Data'!G51</f>
        <v>1.7059481653957682</v>
      </c>
      <c r="H14" s="82">
        <f>('Light Vehicle Supporting Data'!H51+'Light Vehicle Supporting Data'!H72)/'Light Vehicle Supporting Data'!H51</f>
        <v>1.7002580364594722</v>
      </c>
      <c r="I14" s="82">
        <f>('Light Vehicle Supporting Data'!I51+'Light Vehicle Supporting Data'!I72)/'Light Vehicle Supporting Data'!I51</f>
        <v>1.6947009378603877</v>
      </c>
      <c r="J14" s="82">
        <f>('Light Vehicle Supporting Data'!J51+'Light Vehicle Supporting Data'!J72)/'Light Vehicle Supporting Data'!J51</f>
        <v>1.6914039113914165</v>
      </c>
      <c r="K14" s="82">
        <f>('Light Vehicle Supporting Data'!K51+'Light Vehicle Supporting Data'!K72)/'Light Vehicle Supporting Data'!K51</f>
        <v>1.6786319312467441</v>
      </c>
      <c r="L14" s="82">
        <f>('Light Vehicle Supporting Data'!L51+'Light Vehicle Supporting Data'!L72)/'Light Vehicle Supporting Data'!L51</f>
        <v>1.6693118472128263</v>
      </c>
      <c r="M14" s="82">
        <f>('Light Vehicle Supporting Data'!M51+'Light Vehicle Supporting Data'!M72)/'Light Vehicle Supporting Data'!M51</f>
        <v>1.6589180529411223</v>
      </c>
      <c r="N14" s="82">
        <f>('Light Vehicle Supporting Data'!N51+'Light Vehicle Supporting Data'!N72)/'Light Vehicle Supporting Data'!N51</f>
        <v>1.6516423058399534</v>
      </c>
      <c r="O14" s="82">
        <f>('Light Vehicle Supporting Data'!O51+'Light Vehicle Supporting Data'!O72)/'Light Vehicle Supporting Data'!O51</f>
        <v>1.6438019474226997</v>
      </c>
      <c r="P14" s="159">
        <f>('Light Vehicle Supporting Data'!P51+'Light Vehicle Supporting Data'!P72)/'Light Vehicle Supporting Data'!P51</f>
        <v>1.6445115730064224</v>
      </c>
      <c r="Q14" s="159">
        <f>('Light Vehicle Supporting Data'!Q51+'Light Vehicle Supporting Data'!Q72)/'Light Vehicle Supporting Data'!Q51</f>
        <v>1.6452243090989294</v>
      </c>
      <c r="R14" s="160">
        <f>('Light Vehicle Supporting Data'!R51+'Light Vehicle Supporting Data'!R72)/'Light Vehicle Supporting Data'!R51</f>
        <v>1.6459397802190741</v>
      </c>
    </row>
    <row r="15" spans="3:18" ht="16" x14ac:dyDescent="0.2">
      <c r="C15" s="24" t="s">
        <v>5</v>
      </c>
      <c r="D15" s="81">
        <f>('Light Vehicle Supporting Data'!D52+'Light Vehicle Supporting Data'!D73)/'Light Vehicle Supporting Data'!D52</f>
        <v>1.6067598207277274</v>
      </c>
      <c r="E15" s="82">
        <f>('Light Vehicle Supporting Data'!E52+'Light Vehicle Supporting Data'!E73)/'Light Vehicle Supporting Data'!E52</f>
        <v>1.6016043351929552</v>
      </c>
      <c r="F15" s="82">
        <f>('Light Vehicle Supporting Data'!F52+'Light Vehicle Supporting Data'!F73)/'Light Vehicle Supporting Data'!F52</f>
        <v>1.5965872497498168</v>
      </c>
      <c r="G15" s="82">
        <f>('Light Vehicle Supporting Data'!G52+'Light Vehicle Supporting Data'!G73)/'Light Vehicle Supporting Data'!G52</f>
        <v>1.5917030651433612</v>
      </c>
      <c r="H15" s="82">
        <f>('Light Vehicle Supporting Data'!H52+'Light Vehicle Supporting Data'!H73)/'Light Vehicle Supporting Data'!H52</f>
        <v>1.5869465696569192</v>
      </c>
      <c r="I15" s="82">
        <f>('Light Vehicle Supporting Data'!I52+'Light Vehicle Supporting Data'!I73)/'Light Vehicle Supporting Data'!I52</f>
        <v>1.5823128205615311</v>
      </c>
      <c r="J15" s="82">
        <f>('Light Vehicle Supporting Data'!J52+'Light Vehicle Supporting Data'!J73)/'Light Vehicle Supporting Data'!J52</f>
        <v>1.5795458360944732</v>
      </c>
      <c r="K15" s="82">
        <f>('Light Vehicle Supporting Data'!K52+'Light Vehicle Supporting Data'!K73)/'Light Vehicle Supporting Data'!K52</f>
        <v>1.5688434439494425</v>
      </c>
      <c r="L15" s="82">
        <f>('Light Vehicle Supporting Data'!L52+'Light Vehicle Supporting Data'!L73)/'Light Vehicle Supporting Data'!L52</f>
        <v>1.5610311550552078</v>
      </c>
      <c r="M15" s="82">
        <f>('Light Vehicle Supporting Data'!M52+'Light Vehicle Supporting Data'!M73)/'Light Vehicle Supporting Data'!M52</f>
        <v>1.5523188598374507</v>
      </c>
      <c r="N15" s="82">
        <f>('Light Vehicle Supporting Data'!N52+'Light Vehicle Supporting Data'!N73)/'Light Vehicle Supporting Data'!N52</f>
        <v>1.5462201768139001</v>
      </c>
      <c r="O15" s="82">
        <f>('Light Vehicle Supporting Data'!O52+'Light Vehicle Supporting Data'!O73)/'Light Vehicle Supporting Data'!O52</f>
        <v>1.5396482248049883</v>
      </c>
      <c r="P15" s="159">
        <f>('Light Vehicle Supporting Data'!P52+'Light Vehicle Supporting Data'!P73)/'Light Vehicle Supporting Data'!P52</f>
        <v>1.5402430477751039</v>
      </c>
      <c r="Q15" s="159">
        <f>('Light Vehicle Supporting Data'!Q52+'Light Vehicle Supporting Data'!Q73)/'Light Vehicle Supporting Data'!Q52</f>
        <v>1.5408404780385809</v>
      </c>
      <c r="R15" s="160">
        <f>('Light Vehicle Supporting Data'!R52+'Light Vehicle Supporting Data'!R73)/'Light Vehicle Supporting Data'!R52</f>
        <v>1.5414402008592887</v>
      </c>
    </row>
    <row r="16" spans="3:18" ht="16" x14ac:dyDescent="0.2">
      <c r="C16" s="24" t="s">
        <v>6</v>
      </c>
      <c r="D16" s="81">
        <f>('Light Vehicle Supporting Data'!D53+'Light Vehicle Supporting Data'!D74)/'Light Vehicle Supporting Data'!D53</f>
        <v>1.7031076632918158</v>
      </c>
      <c r="E16" s="82">
        <f>('Light Vehicle Supporting Data'!E53+'Light Vehicle Supporting Data'!E74)/'Light Vehicle Supporting Data'!E53</f>
        <v>1.6970891044351886</v>
      </c>
      <c r="F16" s="82">
        <f>('Light Vehicle Supporting Data'!F53+'Light Vehicle Supporting Data'!F74)/'Light Vehicle Supporting Data'!F53</f>
        <v>1.6912550396064265</v>
      </c>
      <c r="G16" s="82">
        <f>('Light Vehicle Supporting Data'!G53+'Light Vehicle Supporting Data'!G74)/'Light Vehicle Supporting Data'!G53</f>
        <v>1.6855971135950134</v>
      </c>
      <c r="H16" s="82">
        <f>('Light Vehicle Supporting Data'!H53+'Light Vehicle Supporting Data'!H74)/'Light Vehicle Supporting Data'!H53</f>
        <v>1.680107468199395</v>
      </c>
      <c r="I16" s="82">
        <f>('Light Vehicle Supporting Data'!I53+'Light Vehicle Supporting Data'!I74)/'Light Vehicle Supporting Data'!I53</f>
        <v>1.6747787058128365</v>
      </c>
      <c r="J16" s="82">
        <f>('Light Vehicle Supporting Data'!J53+'Light Vehicle Supporting Data'!J74)/'Light Vehicle Supporting Data'!J53</f>
        <v>1.6715513126454244</v>
      </c>
      <c r="K16" s="82">
        <f>('Light Vehicle Supporting Data'!K53+'Light Vehicle Supporting Data'!K74)/'Light Vehicle Supporting Data'!K53</f>
        <v>1.6591705168850259</v>
      </c>
      <c r="L16" s="82">
        <f>('Light Vehicle Supporting Data'!L53+'Light Vehicle Supporting Data'!L74)/'Light Vehicle Supporting Data'!L53</f>
        <v>1.6501177088352148</v>
      </c>
      <c r="M16" s="82">
        <f>('Light Vehicle Supporting Data'!M53+'Light Vehicle Supporting Data'!M74)/'Light Vehicle Supporting Data'!M53</f>
        <v>1.6400219817893489</v>
      </c>
      <c r="N16" s="82">
        <f>('Light Vehicle Supporting Data'!N53+'Light Vehicle Supporting Data'!N74)/'Light Vehicle Supporting Data'!N53</f>
        <v>1.6329548843590951</v>
      </c>
      <c r="O16" s="82">
        <f>('Light Vehicle Supporting Data'!O53+'Light Vehicle Supporting Data'!O74)/'Light Vehicle Supporting Data'!O53</f>
        <v>1.6253393672098053</v>
      </c>
      <c r="P16" s="159">
        <f>('Light Vehicle Supporting Data'!P53+'Light Vehicle Supporting Data'!P74)/'Light Vehicle Supporting Data'!P53</f>
        <v>1.626028642561111</v>
      </c>
      <c r="Q16" s="159">
        <f>('Light Vehicle Supporting Data'!Q53+'Light Vehicle Supporting Data'!Q74)/'Light Vehicle Supporting Data'!Q53</f>
        <v>1.6267209392198274</v>
      </c>
      <c r="R16" s="160">
        <f>('Light Vehicle Supporting Data'!R53+'Light Vehicle Supporting Data'!R74)/'Light Vehicle Supporting Data'!R53</f>
        <v>1.6274158924726396</v>
      </c>
    </row>
    <row r="17" spans="3:22" ht="16" x14ac:dyDescent="0.2">
      <c r="C17" s="24" t="s">
        <v>7</v>
      </c>
      <c r="D17" s="81">
        <f>('Light Vehicle Supporting Data'!D54+'Light Vehicle Supporting Data'!D75)/'Light Vehicle Supporting Data'!D54</f>
        <v>1.4968686379367222</v>
      </c>
      <c r="E17" s="82">
        <f>('Light Vehicle Supporting Data'!E54+'Light Vehicle Supporting Data'!E75)/'Light Vehicle Supporting Data'!E54</f>
        <v>1.4926416840847587</v>
      </c>
      <c r="F17" s="82">
        <f>('Light Vehicle Supporting Data'!F54+'Light Vehicle Supporting Data'!F75)/'Light Vehicle Supporting Data'!F54</f>
        <v>1.488530867347593</v>
      </c>
      <c r="G17" s="82">
        <f>('Light Vehicle Supporting Data'!G54+'Light Vehicle Supporting Data'!G75)/'Light Vehicle Supporting Data'!G54</f>
        <v>1.4845314662226945</v>
      </c>
      <c r="H17" s="82">
        <f>('Light Vehicle Supporting Data'!H54+'Light Vehicle Supporting Data'!H75)/'Light Vehicle Supporting Data'!H54</f>
        <v>1.4806390117197112</v>
      </c>
      <c r="I17" s="82">
        <f>('Light Vehicle Supporting Data'!I54+'Light Vehicle Supporting Data'!I75)/'Light Vehicle Supporting Data'!I54</f>
        <v>1.4768492707023391</v>
      </c>
      <c r="J17" s="82">
        <f>('Light Vehicle Supporting Data'!J54+'Light Vehicle Supporting Data'!J75)/'Light Vehicle Supporting Data'!J54</f>
        <v>1.474588826155373</v>
      </c>
      <c r="K17" s="82">
        <f>('Light Vehicle Supporting Data'!K54+'Light Vehicle Supporting Data'!K75)/'Light Vehicle Supporting Data'!K54</f>
        <v>1.4658193531262569</v>
      </c>
      <c r="L17" s="82">
        <f>('Light Vehicle Supporting Data'!L54+'Light Vehicle Supporting Data'!L75)/'Light Vehicle Supporting Data'!L54</f>
        <v>1.4594219596116518</v>
      </c>
      <c r="M17" s="82">
        <f>('Light Vehicle Supporting Data'!M54+'Light Vehicle Supporting Data'!M75)/'Light Vehicle Supporting Data'!M54</f>
        <v>1.4522875612710402</v>
      </c>
      <c r="N17" s="82">
        <f>('Light Vehicle Supporting Data'!N54+'Light Vehicle Supporting Data'!N75)/'Light Vehicle Supporting Data'!N54</f>
        <v>1.4472934198931802</v>
      </c>
      <c r="O17" s="82">
        <f>('Light Vehicle Supporting Data'!O54+'Light Vehicle Supporting Data'!O75)/'Light Vehicle Supporting Data'!O54</f>
        <v>1.4419117239869859</v>
      </c>
      <c r="P17" s="159">
        <f>('Light Vehicle Supporting Data'!P54+'Light Vehicle Supporting Data'!P75)/'Light Vehicle Supporting Data'!P54</f>
        <v>1.4423988176752602</v>
      </c>
      <c r="Q17" s="159">
        <f>('Light Vehicle Supporting Data'!Q54+'Light Vehicle Supporting Data'!Q75)/'Light Vehicle Supporting Data'!Q54</f>
        <v>1.4428880464460776</v>
      </c>
      <c r="R17" s="160">
        <f>('Light Vehicle Supporting Data'!R54+'Light Vehicle Supporting Data'!R75)/'Light Vehicle Supporting Data'!R54</f>
        <v>1.4433791525656408</v>
      </c>
    </row>
    <row r="18" spans="3:22" ht="16" x14ac:dyDescent="0.2">
      <c r="C18" s="24" t="s">
        <v>8</v>
      </c>
      <c r="D18" s="81">
        <f>('Light Vehicle Supporting Data'!D55+'Light Vehicle Supporting Data'!D76)/'Light Vehicle Supporting Data'!D55</f>
        <v>1.5761670451525365</v>
      </c>
      <c r="E18" s="82">
        <f>('Light Vehicle Supporting Data'!E55+'Light Vehicle Supporting Data'!E76)/'Light Vehicle Supporting Data'!E55</f>
        <v>1.5711910280792518</v>
      </c>
      <c r="F18" s="82">
        <f>('Light Vehicle Supporting Data'!F55+'Light Vehicle Supporting Data'!F76)/'Light Vehicle Supporting Data'!F55</f>
        <v>1.566386846243091</v>
      </c>
      <c r="G18" s="82">
        <f>('Light Vehicle Supporting Data'!G55+'Light Vehicle Supporting Data'!G76)/'Light Vehicle Supporting Data'!G55</f>
        <v>1.5617457498229335</v>
      </c>
      <c r="H18" s="82">
        <f>('Light Vehicle Supporting Data'!H55+'Light Vehicle Supporting Data'!H76)/'Light Vehicle Supporting Data'!H55</f>
        <v>1.557259573135469</v>
      </c>
      <c r="I18" s="82">
        <f>('Light Vehicle Supporting Data'!I55+'Light Vehicle Supporting Data'!I76)/'Light Vehicle Supporting Data'!I55</f>
        <v>1.5529206866891367</v>
      </c>
      <c r="J18" s="82">
        <f>('Light Vehicle Supporting Data'!J55+'Light Vehicle Supporting Data'!J76)/'Light Vehicle Supporting Data'!J55</f>
        <v>1.5499660239346154</v>
      </c>
      <c r="K18" s="82">
        <f>('Light Vehicle Supporting Data'!K55+'Light Vehicle Supporting Data'!K76)/'Light Vehicle Supporting Data'!K55</f>
        <v>1.5386503657633024</v>
      </c>
      <c r="L18" s="82">
        <f>('Light Vehicle Supporting Data'!L55+'Light Vehicle Supporting Data'!L76)/'Light Vehicle Supporting Data'!L55</f>
        <v>1.5301113010896781</v>
      </c>
      <c r="M18" s="82">
        <f>('Light Vehicle Supporting Data'!M55+'Light Vehicle Supporting Data'!M76)/'Light Vehicle Supporting Data'!M55</f>
        <v>1.5210614518548773</v>
      </c>
      <c r="N18" s="82">
        <f>('Light Vehicle Supporting Data'!N55+'Light Vehicle Supporting Data'!N76)/'Light Vehicle Supporting Data'!N55</f>
        <v>1.5144670961173918</v>
      </c>
      <c r="O18" s="82">
        <f>('Light Vehicle Supporting Data'!O55+'Light Vehicle Supporting Data'!O76)/'Light Vehicle Supporting Data'!O55</f>
        <v>1.507303107903101</v>
      </c>
      <c r="P18" s="159">
        <f>('Light Vehicle Supporting Data'!P55+'Light Vehicle Supporting Data'!P76)/'Light Vehicle Supporting Data'!P55</f>
        <v>1.5069859412205866</v>
      </c>
      <c r="Q18" s="159">
        <f>('Light Vehicle Supporting Data'!Q55+'Light Vehicle Supporting Data'!Q76)/'Light Vehicle Supporting Data'!Q55</f>
        <v>1.506555630578859</v>
      </c>
      <c r="R18" s="160">
        <f>('Light Vehicle Supporting Data'!R55+'Light Vehicle Supporting Data'!R76)/'Light Vehicle Supporting Data'!R55</f>
        <v>1.5060216381434757</v>
      </c>
    </row>
    <row r="19" spans="3:22" ht="16" x14ac:dyDescent="0.2">
      <c r="C19" s="24" t="s">
        <v>9</v>
      </c>
      <c r="D19" s="81">
        <f>('Light Vehicle Supporting Data'!D56+'Light Vehicle Supporting Data'!D77)/'Light Vehicle Supporting Data'!D56</f>
        <v>1.5223311720305397</v>
      </c>
      <c r="E19" s="82">
        <f>('Light Vehicle Supporting Data'!E56+'Light Vehicle Supporting Data'!E77)/'Light Vehicle Supporting Data'!E56</f>
        <v>1.5178596871888785</v>
      </c>
      <c r="F19" s="82">
        <f>('Light Vehicle Supporting Data'!F56+'Light Vehicle Supporting Data'!F77)/'Light Vehicle Supporting Data'!F56</f>
        <v>1.5135254583880413</v>
      </c>
      <c r="G19" s="82">
        <f>('Light Vehicle Supporting Data'!G56+'Light Vehicle Supporting Data'!G77)/'Light Vehicle Supporting Data'!G56</f>
        <v>1.5093222613706203</v>
      </c>
      <c r="H19" s="82">
        <f>('Light Vehicle Supporting Data'!H56+'Light Vehicle Supporting Data'!H77)/'Light Vehicle Supporting Data'!H56</f>
        <v>1.5052442426168775</v>
      </c>
      <c r="I19" s="82">
        <f>('Light Vehicle Supporting Data'!I56+'Light Vehicle Supporting Data'!I77)/'Light Vehicle Supporting Data'!I56</f>
        <v>1.5012858921467709</v>
      </c>
      <c r="J19" s="82">
        <f>('Light Vehicle Supporting Data'!J56+'Light Vehicle Supporting Data'!J77)/'Light Vehicle Supporting Data'!J56</f>
        <v>1.4988852765423197</v>
      </c>
      <c r="K19" s="82">
        <f>('Light Vehicle Supporting Data'!K56+'Light Vehicle Supporting Data'!K77)/'Light Vehicle Supporting Data'!K56</f>
        <v>1.4896907353285842</v>
      </c>
      <c r="L19" s="82">
        <f>('Light Vehicle Supporting Data'!L56+'Light Vehicle Supporting Data'!L77)/'Light Vehicle Supporting Data'!L56</f>
        <v>1.4829655009360487</v>
      </c>
      <c r="M19" s="82">
        <f>('Light Vehicle Supporting Data'!M56+'Light Vehicle Supporting Data'!M77)/'Light Vehicle Supporting Data'!M56</f>
        <v>1.4754654931624469</v>
      </c>
      <c r="N19" s="82">
        <f>('Light Vehicle Supporting Data'!N56+'Light Vehicle Supporting Data'!N77)/'Light Vehicle Supporting Data'!N56</f>
        <v>1.4702154219765973</v>
      </c>
      <c r="O19" s="82">
        <f>('Light Vehicle Supporting Data'!O56+'Light Vehicle Supporting Data'!O77)/'Light Vehicle Supporting Data'!O56</f>
        <v>1.4645579356400329</v>
      </c>
      <c r="P19" s="159">
        <f>('Light Vehicle Supporting Data'!P56+'Light Vehicle Supporting Data'!P77)/'Light Vehicle Supporting Data'!P56</f>
        <v>1.4650699909352545</v>
      </c>
      <c r="Q19" s="159">
        <f>('Light Vehicle Supporting Data'!Q56+'Light Vehicle Supporting Data'!Q77)/'Light Vehicle Supporting Data'!Q56</f>
        <v>1.4655842907274756</v>
      </c>
      <c r="R19" s="160">
        <f>('Light Vehicle Supporting Data'!R56+'Light Vehicle Supporting Data'!R77)/'Light Vehicle Supporting Data'!R56</f>
        <v>1.4661005640750713</v>
      </c>
    </row>
    <row r="20" spans="3:22" ht="16" x14ac:dyDescent="0.2">
      <c r="C20" s="24" t="s">
        <v>10</v>
      </c>
      <c r="D20" s="81">
        <f>('Light Vehicle Supporting Data'!D57+'Light Vehicle Supporting Data'!D78)/'Light Vehicle Supporting Data'!D57</f>
        <v>1.708901248114826</v>
      </c>
      <c r="E20" s="82">
        <f>('Light Vehicle Supporting Data'!E57+'Light Vehicle Supporting Data'!E78)/'Light Vehicle Supporting Data'!E57</f>
        <v>1.7031266330353896</v>
      </c>
      <c r="F20" s="82">
        <f>('Light Vehicle Supporting Data'!F57+'Light Vehicle Supporting Data'!F78)/'Light Vehicle Supporting Data'!F57</f>
        <v>1.6973833395533644</v>
      </c>
      <c r="G20" s="82">
        <f>('Light Vehicle Supporting Data'!G57+'Light Vehicle Supporting Data'!G78)/'Light Vehicle Supporting Data'!G57</f>
        <v>1.6916711135247808</v>
      </c>
      <c r="H20" s="82">
        <f>('Light Vehicle Supporting Data'!H57+'Light Vehicle Supporting Data'!H78)/'Light Vehicle Supporting Data'!H57</f>
        <v>1.6859897035477569</v>
      </c>
      <c r="I20" s="82">
        <f>('Light Vehicle Supporting Data'!I57+'Light Vehicle Supporting Data'!I78)/'Light Vehicle Supporting Data'!I57</f>
        <v>1.6803388609256171</v>
      </c>
      <c r="J20" s="82">
        <f>('Light Vehicle Supporting Data'!J57+'Light Vehicle Supporting Data'!J78)/'Light Vehicle Supporting Data'!J57</f>
        <v>1.6771569275095033</v>
      </c>
      <c r="K20" s="82">
        <f>('Light Vehicle Supporting Data'!K57+'Light Vehicle Supporting Data'!K78)/'Light Vehicle Supporting Data'!K57</f>
        <v>1.6646020610165759</v>
      </c>
      <c r="L20" s="82">
        <f>('Light Vehicle Supporting Data'!L57+'Light Vehicle Supporting Data'!L78)/'Light Vehicle Supporting Data'!L57</f>
        <v>1.6554746581158462</v>
      </c>
      <c r="M20" s="82">
        <f>('Light Vehicle Supporting Data'!M57+'Light Vehicle Supporting Data'!M78)/'Light Vehicle Supporting Data'!M57</f>
        <v>1.6452957425996451</v>
      </c>
      <c r="N20" s="82">
        <f>('Light Vehicle Supporting Data'!N57+'Light Vehicle Supporting Data'!N78)/'Light Vehicle Supporting Data'!N57</f>
        <v>1.6381704125109346</v>
      </c>
      <c r="O20" s="82">
        <f>('Light Vehicle Supporting Data'!O57+'Light Vehicle Supporting Data'!O78)/'Light Vehicle Supporting Data'!O57</f>
        <v>1.6304921437421152</v>
      </c>
      <c r="P20" s="159">
        <f>('Light Vehicle Supporting Data'!P57+'Light Vehicle Supporting Data'!P78)/'Light Vehicle Supporting Data'!P57</f>
        <v>1.6311870987004324</v>
      </c>
      <c r="Q20" s="159">
        <f>('Light Vehicle Supporting Data'!Q57+'Light Vehicle Supporting Data'!Q78)/'Light Vehicle Supporting Data'!Q57</f>
        <v>1.631885099861637</v>
      </c>
      <c r="R20" s="160">
        <f>('Light Vehicle Supporting Data'!R57+'Light Vehicle Supporting Data'!R78)/'Light Vehicle Supporting Data'!R57</f>
        <v>1.6325857795071888</v>
      </c>
    </row>
    <row r="21" spans="3:22" ht="16" x14ac:dyDescent="0.2">
      <c r="C21" s="24" t="s">
        <v>11</v>
      </c>
      <c r="D21" s="81">
        <f>('Light Vehicle Supporting Data'!D58+'Light Vehicle Supporting Data'!D79)/'Light Vehicle Supporting Data'!D58</f>
        <v>1.5384403921269905</v>
      </c>
      <c r="E21" s="82">
        <f>('Light Vehicle Supporting Data'!E58+'Light Vehicle Supporting Data'!E79)/'Light Vehicle Supporting Data'!E58</f>
        <v>1.5336305050701657</v>
      </c>
      <c r="F21" s="82">
        <f>('Light Vehicle Supporting Data'!F58+'Light Vehicle Supporting Data'!F79)/'Light Vehicle Supporting Data'!F58</f>
        <v>1.5290747960243773</v>
      </c>
      <c r="G21" s="82">
        <f>('Light Vehicle Supporting Data'!G58+'Light Vehicle Supporting Data'!G79)/'Light Vehicle Supporting Data'!G58</f>
        <v>1.5247536356272953</v>
      </c>
      <c r="H21" s="82">
        <f>('Light Vehicle Supporting Data'!H58+'Light Vehicle Supporting Data'!H79)/'Light Vehicle Supporting Data'!H58</f>
        <v>1.5206493650095469</v>
      </c>
      <c r="I21" s="82">
        <f>('Light Vehicle Supporting Data'!I58+'Light Vehicle Supporting Data'!I79)/'Light Vehicle Supporting Data'!I58</f>
        <v>1.5167460545882459</v>
      </c>
      <c r="J21" s="82">
        <f>('Light Vehicle Supporting Data'!J58+'Light Vehicle Supporting Data'!J79)/'Light Vehicle Supporting Data'!J58</f>
        <v>1.514204055914502</v>
      </c>
      <c r="K21" s="82">
        <f>('Light Vehicle Supporting Data'!K58+'Light Vehicle Supporting Data'!K79)/'Light Vehicle Supporting Data'!K58</f>
        <v>1.5047932914405135</v>
      </c>
      <c r="L21" s="82">
        <f>('Light Vehicle Supporting Data'!L58+'Light Vehicle Supporting Data'!L79)/'Light Vehicle Supporting Data'!L58</f>
        <v>1.4978606440371705</v>
      </c>
      <c r="M21" s="82">
        <f>('Light Vehicle Supporting Data'!M58+'Light Vehicle Supporting Data'!M79)/'Light Vehicle Supporting Data'!M58</f>
        <v>1.4901293284603594</v>
      </c>
      <c r="N21" s="82">
        <f>('Light Vehicle Supporting Data'!N58+'Light Vehicle Supporting Data'!N79)/'Light Vehicle Supporting Data'!N58</f>
        <v>1.484717339784642</v>
      </c>
      <c r="O21" s="82">
        <f>('Light Vehicle Supporting Data'!O58+'Light Vehicle Supporting Data'!O79)/'Light Vehicle Supporting Data'!O58</f>
        <v>1.4788853708640992</v>
      </c>
      <c r="P21" s="159">
        <f>('Light Vehicle Supporting Data'!P58+'Light Vehicle Supporting Data'!P79)/'Light Vehicle Supporting Data'!P58</f>
        <v>1.4794132184610134</v>
      </c>
      <c r="Q21" s="159">
        <f>('Light Vehicle Supporting Data'!Q58+'Light Vehicle Supporting Data'!Q79)/'Light Vehicle Supporting Data'!Q58</f>
        <v>1.4799433797774786</v>
      </c>
      <c r="R21" s="160">
        <f>('Light Vehicle Supporting Data'!R58+'Light Vehicle Supporting Data'!R79)/'Light Vehicle Supporting Data'!R58</f>
        <v>1.4804755755157557</v>
      </c>
    </row>
    <row r="22" spans="3:22" ht="16" x14ac:dyDescent="0.2">
      <c r="C22" s="24" t="s">
        <v>12</v>
      </c>
      <c r="D22" s="81">
        <f>('Light Vehicle Supporting Data'!D59+'Light Vehicle Supporting Data'!D80)/'Light Vehicle Supporting Data'!D59</f>
        <v>1.7124125676570066</v>
      </c>
      <c r="E22" s="82">
        <f>('Light Vehicle Supporting Data'!E59+'Light Vehicle Supporting Data'!E80)/'Light Vehicle Supporting Data'!E59</f>
        <v>1.7061641860477981</v>
      </c>
      <c r="F22" s="82">
        <f>('Light Vehicle Supporting Data'!F59+'Light Vehicle Supporting Data'!F80)/'Light Vehicle Supporting Data'!F59</f>
        <v>1.7001860764127081</v>
      </c>
      <c r="G22" s="82">
        <f>('Light Vehicle Supporting Data'!G59+'Light Vehicle Supporting Data'!G80)/'Light Vehicle Supporting Data'!G59</f>
        <v>1.694461074169932</v>
      </c>
      <c r="H22" s="82">
        <f>('Light Vehicle Supporting Data'!H59+'Light Vehicle Supporting Data'!H80)/'Light Vehicle Supporting Data'!H59</f>
        <v>1.6889734380700576</v>
      </c>
      <c r="I22" s="82">
        <f>('Light Vehicle Supporting Data'!I59+'Light Vehicle Supporting Data'!I80)/'Light Vehicle Supporting Data'!I59</f>
        <v>1.6837087056593174</v>
      </c>
      <c r="J22" s="82">
        <f>('Light Vehicle Supporting Data'!J59+'Light Vehicle Supporting Data'!J80)/'Light Vehicle Supporting Data'!J59</f>
        <v>1.6803968131196081</v>
      </c>
      <c r="K22" s="82">
        <f>('Light Vehicle Supporting Data'!K59+'Light Vehicle Supporting Data'!K80)/'Light Vehicle Supporting Data'!K59</f>
        <v>1.6678939584576187</v>
      </c>
      <c r="L22" s="82">
        <f>('Light Vehicle Supporting Data'!L59+'Light Vehicle Supporting Data'!L80)/'Light Vehicle Supporting Data'!L59</f>
        <v>1.65872134583514</v>
      </c>
      <c r="M22" s="82">
        <f>('Light Vehicle Supporting Data'!M59+'Light Vehicle Supporting Data'!M80)/'Light Vehicle Supporting Data'!M59</f>
        <v>1.6484920122599138</v>
      </c>
      <c r="N22" s="82">
        <f>('Light Vehicle Supporting Data'!N59+'Light Vehicle Supporting Data'!N80)/'Light Vehicle Supporting Data'!N59</f>
        <v>1.6413313890879266</v>
      </c>
      <c r="O22" s="82">
        <f>('Light Vehicle Supporting Data'!O59+'Light Vehicle Supporting Data'!O80)/'Light Vehicle Supporting Data'!O59</f>
        <v>1.6336150884278529</v>
      </c>
      <c r="P22" s="159">
        <f>('Light Vehicle Supporting Data'!P59+'Light Vehicle Supporting Data'!P80)/'Light Vehicle Supporting Data'!P59</f>
        <v>1.6343134856271488</v>
      </c>
      <c r="Q22" s="159">
        <f>('Light Vehicle Supporting Data'!Q59+'Light Vehicle Supporting Data'!Q80)/'Light Vehicle Supporting Data'!Q59</f>
        <v>1.6350149441177411</v>
      </c>
      <c r="R22" s="160">
        <f>('Light Vehicle Supporting Data'!R59+'Light Vehicle Supporting Data'!R80)/'Light Vehicle Supporting Data'!R59</f>
        <v>1.6357190943597104</v>
      </c>
    </row>
    <row r="23" spans="3:22" ht="17" thickBot="1" x14ac:dyDescent="0.25">
      <c r="C23" s="25" t="s">
        <v>13</v>
      </c>
      <c r="D23" s="76">
        <f>('Light Vehicle Supporting Data'!D60+'Light Vehicle Supporting Data'!D81)/'Light Vehicle Supporting Data'!D60</f>
        <v>1.5788035894729133</v>
      </c>
      <c r="E23" s="77">
        <f>('Light Vehicle Supporting Data'!E60+'Light Vehicle Supporting Data'!E81)/'Light Vehicle Supporting Data'!E60</f>
        <v>1.5739053697816814</v>
      </c>
      <c r="F23" s="77">
        <f>('Light Vehicle Supporting Data'!F60+'Light Vehicle Supporting Data'!F81)/'Light Vehicle Supporting Data'!F60</f>
        <v>1.5691285500384888</v>
      </c>
      <c r="G23" s="77">
        <f>('Light Vehicle Supporting Data'!G60+'Light Vehicle Supporting Data'!G81)/'Light Vehicle Supporting Data'!G60</f>
        <v>1.5644686722317991</v>
      </c>
      <c r="H23" s="77">
        <f>('Light Vehicle Supporting Data'!H60+'Light Vehicle Supporting Data'!H81)/'Light Vehicle Supporting Data'!H60</f>
        <v>1.5599214939848878</v>
      </c>
      <c r="I23" s="77">
        <f>('Light Vehicle Supporting Data'!I60+'Light Vehicle Supporting Data'!I81)/'Light Vehicle Supporting Data'!I60</f>
        <v>1.5554829756737525</v>
      </c>
      <c r="J23" s="77">
        <f>('Light Vehicle Supporting Data'!J60+'Light Vehicle Supporting Data'!J81)/'Light Vehicle Supporting Data'!J60</f>
        <v>1.5528662210113169</v>
      </c>
      <c r="K23" s="77">
        <f>('Light Vehicle Supporting Data'!K60+'Light Vehicle Supporting Data'!K81)/'Light Vehicle Supporting Data'!K60</f>
        <v>1.5426341955391534</v>
      </c>
      <c r="L23" s="77">
        <f>('Light Vehicle Supporting Data'!L60+'Light Vehicle Supporting Data'!L81)/'Light Vehicle Supporting Data'!L60</f>
        <v>1.5351818549267522</v>
      </c>
      <c r="M23" s="77">
        <f>('Light Vehicle Supporting Data'!M60+'Light Vehicle Supporting Data'!M81)/'Light Vehicle Supporting Data'!M60</f>
        <v>1.5268709754447565</v>
      </c>
      <c r="N23" s="77">
        <f>('Light Vehicle Supporting Data'!N60+'Light Vehicle Supporting Data'!N81)/'Light Vehicle Supporting Data'!N60</f>
        <v>1.5210532869550095</v>
      </c>
      <c r="O23" s="77">
        <f>('Light Vehicle Supporting Data'!O60+'Light Vehicle Supporting Data'!O81)/'Light Vehicle Supporting Data'!O60</f>
        <v>1.514784135170965</v>
      </c>
      <c r="P23" s="162">
        <f>('Light Vehicle Supporting Data'!P60+'Light Vehicle Supporting Data'!P81)/'Light Vehicle Supporting Data'!P60</f>
        <v>1.5153515518957423</v>
      </c>
      <c r="Q23" s="162">
        <f>('Light Vehicle Supporting Data'!Q60+'Light Vehicle Supporting Data'!Q81)/'Light Vehicle Supporting Data'!Q60</f>
        <v>1.515921455783817</v>
      </c>
      <c r="R23" s="163">
        <f>('Light Vehicle Supporting Data'!R60+'Light Vehicle Supporting Data'!R81)/'Light Vehicle Supporting Data'!R60</f>
        <v>1.5164935466004075</v>
      </c>
    </row>
    <row r="24" spans="3:22" ht="18" customHeight="1" thickTop="1" thickBot="1" x14ac:dyDescent="0.25">
      <c r="C24" s="20" t="s">
        <v>24</v>
      </c>
      <c r="D24" s="125">
        <f>('Light Vehicle Supporting Data'!D61+'Light Vehicle Supporting Data'!D82)/'Light Vehicle Supporting Data'!D61</f>
        <v>1.5631292663732956</v>
      </c>
      <c r="E24" s="125">
        <f>('Light Vehicle Supporting Data'!E61+'Light Vehicle Supporting Data'!E82)/'Light Vehicle Supporting Data'!E61</f>
        <v>1.5577942065806709</v>
      </c>
      <c r="F24" s="125">
        <f>('Light Vehicle Supporting Data'!F61+'Light Vehicle Supporting Data'!F82)/'Light Vehicle Supporting Data'!F61</f>
        <v>1.5527118919831568</v>
      </c>
      <c r="G24" s="125">
        <f>('Light Vehicle Supporting Data'!G61+'Light Vehicle Supporting Data'!G82)/'Light Vehicle Supporting Data'!G61</f>
        <v>1.5478647776962557</v>
      </c>
      <c r="H24" s="125">
        <f>('Light Vehicle Supporting Data'!H61+'Light Vehicle Supporting Data'!H82)/'Light Vehicle Supporting Data'!H61</f>
        <v>1.5432369060008297</v>
      </c>
      <c r="I24" s="125">
        <f>('Light Vehicle Supporting Data'!I61+'Light Vehicle Supporting Data'!I82)/'Light Vehicle Supporting Data'!I61</f>
        <v>1.5388137308373455</v>
      </c>
      <c r="J24" s="125">
        <f>('Light Vehicle Supporting Data'!J61+'Light Vehicle Supporting Data'!J82)/'Light Vehicle Supporting Data'!J61</f>
        <v>1.5355918348510802</v>
      </c>
      <c r="K24" s="125">
        <f>('Light Vehicle Supporting Data'!K61+'Light Vehicle Supporting Data'!K82)/'Light Vehicle Supporting Data'!K61</f>
        <v>1.5235380894504036</v>
      </c>
      <c r="L24" s="125">
        <f>('Light Vehicle Supporting Data'!L61+'Light Vehicle Supporting Data'!L82)/'Light Vehicle Supporting Data'!L61</f>
        <v>1.5138290238795207</v>
      </c>
      <c r="M24" s="125">
        <f>('Light Vehicle Supporting Data'!M61+'Light Vehicle Supporting Data'!M82)/'Light Vehicle Supporting Data'!M61</f>
        <v>1.5042430415638295</v>
      </c>
      <c r="N24" s="125">
        <f>('Light Vehicle Supporting Data'!N61+'Light Vehicle Supporting Data'!N82)/'Light Vehicle Supporting Data'!N61</f>
        <v>1.4971109783296987</v>
      </c>
      <c r="O24" s="125">
        <f>('Light Vehicle Supporting Data'!O61+'Light Vehicle Supporting Data'!O82)/'Light Vehicle Supporting Data'!O61</f>
        <v>1.4895415294781835</v>
      </c>
      <c r="P24" s="125">
        <f>('Light Vehicle Supporting Data'!P61+'Light Vehicle Supporting Data'!P82)/'Light Vehicle Supporting Data'!P61</f>
        <v>1.4887303376274967</v>
      </c>
      <c r="Q24" s="125">
        <f>('Light Vehicle Supporting Data'!Q61+'Light Vehicle Supporting Data'!Q82)/'Light Vehicle Supporting Data'!Q61</f>
        <v>1.4878559212567237</v>
      </c>
      <c r="R24" s="126">
        <f>('Light Vehicle Supporting Data'!R61+'Light Vehicle Supporting Data'!R82)/'Light Vehicle Supporting Data'!R61</f>
        <v>1.4868815367597834</v>
      </c>
    </row>
    <row r="25" spans="3:22" ht="17" thickTop="1" x14ac:dyDescent="0.2">
      <c r="C25" s="154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</row>
    <row r="27" spans="3:22" ht="14" thickBot="1" x14ac:dyDescent="0.2"/>
    <row r="28" spans="3:22" ht="17" thickTop="1" x14ac:dyDescent="0.2">
      <c r="C28" s="32" t="s">
        <v>164</v>
      </c>
      <c r="D28" s="34"/>
      <c r="E28" s="33"/>
      <c r="F28" s="33"/>
      <c r="G28" s="33"/>
      <c r="H28" s="33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3:22" ht="14" thickBot="1" x14ac:dyDescent="0.2">
      <c r="C29" s="18"/>
      <c r="D29" s="65" t="s">
        <v>25</v>
      </c>
      <c r="E29" s="65" t="s">
        <v>37</v>
      </c>
      <c r="F29" s="65" t="s">
        <v>38</v>
      </c>
      <c r="G29" s="37" t="s">
        <v>177</v>
      </c>
      <c r="H29" s="37" t="s">
        <v>178</v>
      </c>
      <c r="I29" s="65" t="s">
        <v>26</v>
      </c>
      <c r="J29" s="65"/>
      <c r="K29" s="65" t="s">
        <v>27</v>
      </c>
      <c r="L29" s="65" t="s">
        <v>28</v>
      </c>
      <c r="M29" s="65" t="s">
        <v>29</v>
      </c>
      <c r="N29" s="65" t="s">
        <v>30</v>
      </c>
      <c r="O29" s="65" t="s">
        <v>31</v>
      </c>
      <c r="P29" s="37" t="s">
        <v>174</v>
      </c>
      <c r="Q29" s="37" t="s">
        <v>175</v>
      </c>
      <c r="R29" s="38" t="s">
        <v>176</v>
      </c>
    </row>
    <row r="30" spans="3:22" ht="15" thickTop="1" thickBot="1" x14ac:dyDescent="0.2">
      <c r="C30" s="70"/>
      <c r="D30" s="71" t="s">
        <v>39</v>
      </c>
      <c r="E30" s="71" t="s">
        <v>39</v>
      </c>
      <c r="F30" s="71" t="s">
        <v>39</v>
      </c>
      <c r="G30" s="65" t="s">
        <v>39</v>
      </c>
      <c r="H30" s="65" t="s">
        <v>39</v>
      </c>
      <c r="I30" s="71" t="s">
        <v>39</v>
      </c>
      <c r="J30" s="71"/>
      <c r="K30" s="71" t="s">
        <v>32</v>
      </c>
      <c r="L30" s="71" t="s">
        <v>32</v>
      </c>
      <c r="M30" s="71" t="s">
        <v>32</v>
      </c>
      <c r="N30" s="71" t="s">
        <v>32</v>
      </c>
      <c r="O30" s="71" t="s">
        <v>32</v>
      </c>
      <c r="P30" s="65" t="s">
        <v>32</v>
      </c>
      <c r="Q30" s="65" t="s">
        <v>32</v>
      </c>
      <c r="R30" s="66" t="s">
        <v>32</v>
      </c>
    </row>
    <row r="31" spans="3:22" ht="17" thickTop="1" x14ac:dyDescent="0.2">
      <c r="C31" s="24" t="s">
        <v>0</v>
      </c>
      <c r="D31" s="153">
        <f>D10</f>
        <v>1.6587105725502904</v>
      </c>
      <c r="E31" s="156">
        <f t="shared" ref="D31:F44" si="0">E10</f>
        <v>1.6529843153556174</v>
      </c>
      <c r="F31" s="156">
        <f t="shared" si="0"/>
        <v>1.6474792901645228</v>
      </c>
      <c r="G31" s="156">
        <f t="shared" ref="G31:H31" si="1">G10</f>
        <v>1.6421829191126873</v>
      </c>
      <c r="H31" s="156">
        <f t="shared" si="1"/>
        <v>1.6370835600671683</v>
      </c>
      <c r="I31" s="156">
        <v>1.6275615032577166</v>
      </c>
      <c r="J31" s="156">
        <v>1.6275615032577166</v>
      </c>
      <c r="K31" s="156">
        <v>1.6075849407174667</v>
      </c>
      <c r="L31" s="156">
        <v>1.5936200508709952</v>
      </c>
      <c r="M31" s="156">
        <v>1.5769148663480468</v>
      </c>
      <c r="N31" s="156">
        <v>1.5660410356635825</v>
      </c>
      <c r="O31" s="156">
        <v>1.555734158183574</v>
      </c>
      <c r="P31" s="156">
        <v>1.5864986361315778</v>
      </c>
      <c r="Q31" s="156">
        <v>1.5871472183505546</v>
      </c>
      <c r="R31" s="157">
        <v>1.5877982894154219</v>
      </c>
      <c r="S31" s="43"/>
      <c r="T31" s="43"/>
      <c r="U31" s="43"/>
      <c r="V31" s="43"/>
    </row>
    <row r="32" spans="3:22" ht="16" x14ac:dyDescent="0.2">
      <c r="C32" s="24" t="s">
        <v>1</v>
      </c>
      <c r="D32" s="158">
        <f t="shared" si="0"/>
        <v>1.5135908407438097</v>
      </c>
      <c r="E32" s="159">
        <f t="shared" si="0"/>
        <v>1.5085119673436074</v>
      </c>
      <c r="F32" s="159">
        <f t="shared" si="0"/>
        <v>1.5037521741653568</v>
      </c>
      <c r="G32" s="159">
        <f t="shared" ref="G32:H32" si="2">G11</f>
        <v>1.4992823076720685</v>
      </c>
      <c r="H32" s="159">
        <f t="shared" si="2"/>
        <v>1.4950766609354895</v>
      </c>
      <c r="I32" s="159">
        <v>1.4919853178926559</v>
      </c>
      <c r="J32" s="159">
        <v>1.4919853178926559</v>
      </c>
      <c r="K32" s="159">
        <v>1.4808193656889841</v>
      </c>
      <c r="L32" s="159">
        <v>1.4770262598122381</v>
      </c>
      <c r="M32" s="159">
        <v>1.4679238148723237</v>
      </c>
      <c r="N32" s="159">
        <v>1.4610974828652314</v>
      </c>
      <c r="O32" s="159">
        <v>1.45445616662189</v>
      </c>
      <c r="P32" s="159">
        <v>1.4327485775117685</v>
      </c>
      <c r="Q32" s="159">
        <v>1.4309455835644769</v>
      </c>
      <c r="R32" s="160">
        <v>1.4286972377996043</v>
      </c>
      <c r="S32" s="43"/>
      <c r="T32" s="43"/>
      <c r="U32" s="43"/>
      <c r="V32" s="43"/>
    </row>
    <row r="33" spans="3:22" ht="16" x14ac:dyDescent="0.2">
      <c r="C33" s="24" t="s">
        <v>2</v>
      </c>
      <c r="D33" s="158">
        <f t="shared" si="0"/>
        <v>1.5269744114686463</v>
      </c>
      <c r="E33" s="159">
        <f t="shared" si="0"/>
        <v>1.5222894640869806</v>
      </c>
      <c r="F33" s="159">
        <f t="shared" si="0"/>
        <v>1.5178403053062621</v>
      </c>
      <c r="G33" s="159">
        <f t="shared" ref="G33:H33" si="3">G12</f>
        <v>1.5136095715734068</v>
      </c>
      <c r="H33" s="159">
        <f t="shared" si="3"/>
        <v>1.5095815633660368</v>
      </c>
      <c r="I33" s="159">
        <v>1.5077306709585929</v>
      </c>
      <c r="J33" s="159">
        <v>1.5077306709585929</v>
      </c>
      <c r="K33" s="159">
        <v>1.4942840716146135</v>
      </c>
      <c r="L33" s="159">
        <v>1.4814652066732081</v>
      </c>
      <c r="M33" s="159">
        <v>1.4724678495598098</v>
      </c>
      <c r="N33" s="159">
        <v>1.464833535786338</v>
      </c>
      <c r="O33" s="159">
        <v>1.4572962010537565</v>
      </c>
      <c r="P33" s="159">
        <v>1.4692042096819469</v>
      </c>
      <c r="Q33" s="159">
        <v>1.4697230813190167</v>
      </c>
      <c r="R33" s="160">
        <v>1.470243944055293</v>
      </c>
      <c r="S33" s="43"/>
      <c r="T33" s="43"/>
      <c r="U33" s="43"/>
      <c r="V33" s="43"/>
    </row>
    <row r="34" spans="3:22" ht="16" x14ac:dyDescent="0.2">
      <c r="C34" s="24" t="s">
        <v>3</v>
      </c>
      <c r="D34" s="158">
        <f t="shared" si="0"/>
        <v>1.7024241867236372</v>
      </c>
      <c r="E34" s="159">
        <f t="shared" si="0"/>
        <v>1.6962470503653453</v>
      </c>
      <c r="F34" s="159">
        <f t="shared" si="0"/>
        <v>1.690345643326137</v>
      </c>
      <c r="G34" s="159">
        <f t="shared" ref="G34:H34" si="4">G13</f>
        <v>1.6847019070204667</v>
      </c>
      <c r="H34" s="159">
        <f t="shared" si="4"/>
        <v>1.6792993261403786</v>
      </c>
      <c r="I34" s="159">
        <v>1.7013793533174582</v>
      </c>
      <c r="J34" s="159">
        <v>1.7013793533174582</v>
      </c>
      <c r="K34" s="159">
        <v>1.6912610564766528</v>
      </c>
      <c r="L34" s="159">
        <v>1.6796363781063846</v>
      </c>
      <c r="M34" s="159">
        <v>1.6694394572411517</v>
      </c>
      <c r="N34" s="159">
        <v>1.6678203993120375</v>
      </c>
      <c r="O34" s="159">
        <v>1.6668959093936071</v>
      </c>
      <c r="P34" s="159">
        <v>1.6254200929313203</v>
      </c>
      <c r="Q34" s="159">
        <v>1.6261117166226247</v>
      </c>
      <c r="R34" s="160">
        <v>1.6268059943256039</v>
      </c>
      <c r="S34" s="43"/>
      <c r="T34" s="43"/>
      <c r="U34" s="43"/>
      <c r="V34" s="43"/>
    </row>
    <row r="35" spans="3:22" ht="16" x14ac:dyDescent="0.2">
      <c r="C35" s="24" t="s">
        <v>4</v>
      </c>
      <c r="D35" s="158">
        <f t="shared" si="0"/>
        <v>1.7238662822313953</v>
      </c>
      <c r="E35" s="159">
        <f t="shared" si="0"/>
        <v>1.717747090439175</v>
      </c>
      <c r="F35" s="159">
        <f t="shared" si="0"/>
        <v>1.7117761594206748</v>
      </c>
      <c r="G35" s="159">
        <f t="shared" ref="G35:H35" si="5">G14</f>
        <v>1.7059481653957682</v>
      </c>
      <c r="H35" s="159">
        <f t="shared" si="5"/>
        <v>1.7002580364594722</v>
      </c>
      <c r="I35" s="159">
        <v>1.6591732961032399</v>
      </c>
      <c r="J35" s="159">
        <v>1.6591732961032399</v>
      </c>
      <c r="K35" s="159">
        <v>1.6221187091079685</v>
      </c>
      <c r="L35" s="159">
        <v>1.6060131453787043</v>
      </c>
      <c r="M35" s="159">
        <v>1.5855993990580257</v>
      </c>
      <c r="N35" s="159">
        <v>1.568953112913446</v>
      </c>
      <c r="O35" s="159">
        <v>1.5541798593479628</v>
      </c>
      <c r="P35" s="159">
        <v>1.6445115730064224</v>
      </c>
      <c r="Q35" s="159">
        <v>1.6452243090989294</v>
      </c>
      <c r="R35" s="160">
        <v>1.6459397802190741</v>
      </c>
      <c r="S35" s="43"/>
      <c r="T35" s="43"/>
      <c r="U35" s="43"/>
      <c r="V35" s="43"/>
    </row>
    <row r="36" spans="3:22" ht="16" x14ac:dyDescent="0.2">
      <c r="C36" s="24" t="s">
        <v>5</v>
      </c>
      <c r="D36" s="158">
        <f t="shared" si="0"/>
        <v>1.6067598207277274</v>
      </c>
      <c r="E36" s="159">
        <f t="shared" si="0"/>
        <v>1.6016043351929552</v>
      </c>
      <c r="F36" s="159">
        <f t="shared" si="0"/>
        <v>1.5965872497498168</v>
      </c>
      <c r="G36" s="159">
        <f t="shared" ref="G36:H36" si="6">G15</f>
        <v>1.5917030651433612</v>
      </c>
      <c r="H36" s="159">
        <f t="shared" si="6"/>
        <v>1.5869465696569192</v>
      </c>
      <c r="I36" s="159">
        <v>1.5901465191446771</v>
      </c>
      <c r="J36" s="159">
        <v>1.5901465191446771</v>
      </c>
      <c r="K36" s="159">
        <v>1.5801718709976404</v>
      </c>
      <c r="L36" s="159">
        <v>1.5666385503870253</v>
      </c>
      <c r="M36" s="159">
        <v>1.5480570715521644</v>
      </c>
      <c r="N36" s="159">
        <v>1.5356337348975948</v>
      </c>
      <c r="O36" s="159">
        <v>1.5233892766271615</v>
      </c>
      <c r="P36" s="159">
        <v>1.5402430477751039</v>
      </c>
      <c r="Q36" s="159">
        <v>1.5408404780385809</v>
      </c>
      <c r="R36" s="160">
        <v>1.5414402008592887</v>
      </c>
      <c r="S36" s="43"/>
      <c r="T36" s="43"/>
      <c r="U36" s="43"/>
      <c r="V36" s="43"/>
    </row>
    <row r="37" spans="3:22" ht="16" x14ac:dyDescent="0.2">
      <c r="C37" s="24" t="s">
        <v>6</v>
      </c>
      <c r="D37" s="158">
        <f t="shared" si="0"/>
        <v>1.7031076632918158</v>
      </c>
      <c r="E37" s="159">
        <f t="shared" si="0"/>
        <v>1.6970891044351886</v>
      </c>
      <c r="F37" s="159">
        <f t="shared" si="0"/>
        <v>1.6912550396064265</v>
      </c>
      <c r="G37" s="159">
        <f t="shared" ref="G37:H37" si="7">G16</f>
        <v>1.6855971135950134</v>
      </c>
      <c r="H37" s="159">
        <f t="shared" si="7"/>
        <v>1.680107468199395</v>
      </c>
      <c r="I37" s="159">
        <v>1.6504948587884576</v>
      </c>
      <c r="J37" s="159">
        <v>1.6504948587884576</v>
      </c>
      <c r="K37" s="159">
        <v>1.6049777362863964</v>
      </c>
      <c r="L37" s="159">
        <v>1.5818960399039637</v>
      </c>
      <c r="M37" s="159">
        <v>1.5728943244664624</v>
      </c>
      <c r="N37" s="159">
        <v>1.55140025704483</v>
      </c>
      <c r="O37" s="159">
        <v>1.5310833070469891</v>
      </c>
      <c r="P37" s="159">
        <v>1.626028642561111</v>
      </c>
      <c r="Q37" s="159">
        <v>1.6267209392198274</v>
      </c>
      <c r="R37" s="160">
        <v>1.6274158924726396</v>
      </c>
      <c r="S37" s="43"/>
      <c r="U37" s="43"/>
      <c r="V37" s="43"/>
    </row>
    <row r="38" spans="3:22" ht="16" x14ac:dyDescent="0.2">
      <c r="C38" s="24" t="s">
        <v>7</v>
      </c>
      <c r="D38" s="158">
        <f t="shared" si="0"/>
        <v>1.4968686379367222</v>
      </c>
      <c r="E38" s="159">
        <f t="shared" si="0"/>
        <v>1.4926416840847587</v>
      </c>
      <c r="F38" s="159">
        <f t="shared" si="0"/>
        <v>1.488530867347593</v>
      </c>
      <c r="G38" s="159">
        <f t="shared" ref="G38:H38" si="8">G17</f>
        <v>1.4845314662226945</v>
      </c>
      <c r="H38" s="159">
        <f t="shared" si="8"/>
        <v>1.4806390117197112</v>
      </c>
      <c r="I38" s="159">
        <v>1.4713274519482145</v>
      </c>
      <c r="J38" s="159">
        <v>1.4713274519482145</v>
      </c>
      <c r="K38" s="159">
        <v>1.4520885840760815</v>
      </c>
      <c r="L38" s="159">
        <v>1.4388605400476375</v>
      </c>
      <c r="M38" s="159">
        <v>1.4334251972783514</v>
      </c>
      <c r="N38" s="159">
        <v>1.4307691747025193</v>
      </c>
      <c r="O38" s="159">
        <v>1.4290949763359644</v>
      </c>
      <c r="P38" s="159">
        <v>1.4423988176752602</v>
      </c>
      <c r="Q38" s="159">
        <v>1.4428880464460776</v>
      </c>
      <c r="R38" s="160">
        <v>1.4433791525656408</v>
      </c>
      <c r="S38" s="43"/>
      <c r="U38" s="43"/>
      <c r="V38" s="43"/>
    </row>
    <row r="39" spans="3:22" ht="16" x14ac:dyDescent="0.2">
      <c r="C39" s="24" t="s">
        <v>8</v>
      </c>
      <c r="D39" s="158">
        <f t="shared" si="0"/>
        <v>1.5761670451525365</v>
      </c>
      <c r="E39" s="159">
        <f t="shared" si="0"/>
        <v>1.5711910280792518</v>
      </c>
      <c r="F39" s="159">
        <f t="shared" si="0"/>
        <v>1.566386846243091</v>
      </c>
      <c r="G39" s="159">
        <f t="shared" ref="G39:H39" si="9">G18</f>
        <v>1.5617457498229335</v>
      </c>
      <c r="H39" s="159">
        <f t="shared" si="9"/>
        <v>1.557259573135469</v>
      </c>
      <c r="I39" s="159">
        <v>1.5480129356406107</v>
      </c>
      <c r="J39" s="159">
        <v>1.5480129356406107</v>
      </c>
      <c r="K39" s="159">
        <v>1.525317066059015</v>
      </c>
      <c r="L39" s="159">
        <v>1.5061749934198168</v>
      </c>
      <c r="M39" s="159">
        <v>1.4907177016477329</v>
      </c>
      <c r="N39" s="159">
        <v>1.4771334533894842</v>
      </c>
      <c r="O39" s="159">
        <v>1.464609583469846</v>
      </c>
      <c r="P39" s="159">
        <v>1.5090208088609476</v>
      </c>
      <c r="Q39" s="159">
        <v>1.5087972436101666</v>
      </c>
      <c r="R39" s="160">
        <v>1.5082815531551872</v>
      </c>
      <c r="S39" s="43"/>
      <c r="U39" s="43"/>
      <c r="V39" s="43"/>
    </row>
    <row r="40" spans="3:22" ht="16" x14ac:dyDescent="0.2">
      <c r="C40" s="24" t="s">
        <v>9</v>
      </c>
      <c r="D40" s="158">
        <f t="shared" si="0"/>
        <v>1.5223311720305397</v>
      </c>
      <c r="E40" s="159">
        <f t="shared" si="0"/>
        <v>1.5178596871888785</v>
      </c>
      <c r="F40" s="159">
        <f t="shared" si="0"/>
        <v>1.5135254583880413</v>
      </c>
      <c r="G40" s="159">
        <f t="shared" ref="G40:H40" si="10">G19</f>
        <v>1.5093222613706203</v>
      </c>
      <c r="H40" s="159">
        <f t="shared" si="10"/>
        <v>1.5052442426168775</v>
      </c>
      <c r="I40" s="159">
        <v>1.5033321479701527</v>
      </c>
      <c r="J40" s="159">
        <v>1.5033321479701527</v>
      </c>
      <c r="K40" s="159">
        <v>1.4912416622149325</v>
      </c>
      <c r="L40" s="159">
        <v>1.488577728805841</v>
      </c>
      <c r="M40" s="159">
        <v>1.4826908285607339</v>
      </c>
      <c r="N40" s="159">
        <v>1.4736968813742013</v>
      </c>
      <c r="O40" s="159">
        <v>1.4645004550296519</v>
      </c>
      <c r="P40" s="159">
        <v>1.4650699909352545</v>
      </c>
      <c r="Q40" s="159">
        <v>1.4655842907274756</v>
      </c>
      <c r="R40" s="160">
        <v>1.4661005640750713</v>
      </c>
      <c r="S40" s="43"/>
      <c r="U40" s="43"/>
      <c r="V40" s="43"/>
    </row>
    <row r="41" spans="3:22" ht="16" x14ac:dyDescent="0.2">
      <c r="C41" s="24" t="s">
        <v>10</v>
      </c>
      <c r="D41" s="158">
        <f t="shared" si="0"/>
        <v>1.708901248114826</v>
      </c>
      <c r="E41" s="159">
        <f t="shared" si="0"/>
        <v>1.7031266330353896</v>
      </c>
      <c r="F41" s="159">
        <f t="shared" si="0"/>
        <v>1.6973833395533644</v>
      </c>
      <c r="G41" s="159">
        <f t="shared" ref="G41:H41" si="11">G20</f>
        <v>1.6916711135247808</v>
      </c>
      <c r="H41" s="159">
        <f t="shared" si="11"/>
        <v>1.6859897035477569</v>
      </c>
      <c r="I41" s="159">
        <v>1.6933838571399633</v>
      </c>
      <c r="J41" s="159">
        <v>1.6933838571399633</v>
      </c>
      <c r="K41" s="159">
        <v>1.6733777850714218</v>
      </c>
      <c r="L41" s="159">
        <v>1.6803553918789138</v>
      </c>
      <c r="M41" s="159">
        <v>1.6700862158789547</v>
      </c>
      <c r="N41" s="159">
        <v>1.6430324095322726</v>
      </c>
      <c r="O41" s="159">
        <v>1.6151863435110796</v>
      </c>
      <c r="P41" s="159">
        <v>1.6311870987004324</v>
      </c>
      <c r="Q41" s="159">
        <v>1.631885099861637</v>
      </c>
      <c r="R41" s="160">
        <v>1.6325857795071888</v>
      </c>
      <c r="S41" s="43"/>
      <c r="U41" s="43"/>
      <c r="V41" s="43"/>
    </row>
    <row r="42" spans="3:22" ht="16" x14ac:dyDescent="0.2">
      <c r="C42" s="24" t="s">
        <v>11</v>
      </c>
      <c r="D42" s="158">
        <f t="shared" si="0"/>
        <v>1.5384403921269905</v>
      </c>
      <c r="E42" s="159">
        <f t="shared" si="0"/>
        <v>1.5336305050701657</v>
      </c>
      <c r="F42" s="159">
        <f t="shared" si="0"/>
        <v>1.5290747960243773</v>
      </c>
      <c r="G42" s="159">
        <f t="shared" ref="G42:H42" si="12">G21</f>
        <v>1.5247536356272953</v>
      </c>
      <c r="H42" s="159">
        <f t="shared" si="12"/>
        <v>1.5206493650095469</v>
      </c>
      <c r="I42" s="159">
        <v>1.5107449600722338</v>
      </c>
      <c r="J42" s="159">
        <v>1.5107449600722338</v>
      </c>
      <c r="K42" s="159">
        <v>1.4940673121932373</v>
      </c>
      <c r="L42" s="159">
        <v>1.4832812931206023</v>
      </c>
      <c r="M42" s="159">
        <v>1.4725368041433726</v>
      </c>
      <c r="N42" s="159">
        <v>1.4655308014608404</v>
      </c>
      <c r="O42" s="159">
        <v>1.4587439314049018</v>
      </c>
      <c r="P42" s="159">
        <v>1.4794132184610134</v>
      </c>
      <c r="Q42" s="159">
        <v>1.4799433797774786</v>
      </c>
      <c r="R42" s="160">
        <v>1.4804755755157557</v>
      </c>
      <c r="S42" s="43"/>
      <c r="U42" s="43"/>
      <c r="V42" s="43"/>
    </row>
    <row r="43" spans="3:22" ht="16" x14ac:dyDescent="0.2">
      <c r="C43" s="24" t="s">
        <v>12</v>
      </c>
      <c r="D43" s="158">
        <f t="shared" si="0"/>
        <v>1.7124125676570066</v>
      </c>
      <c r="E43" s="159">
        <f t="shared" si="0"/>
        <v>1.7061641860477981</v>
      </c>
      <c r="F43" s="159">
        <f t="shared" si="0"/>
        <v>1.7001860764127081</v>
      </c>
      <c r="G43" s="159">
        <f t="shared" ref="G43:H43" si="13">G22</f>
        <v>1.694461074169932</v>
      </c>
      <c r="H43" s="159">
        <f t="shared" si="13"/>
        <v>1.6889734380700576</v>
      </c>
      <c r="I43" s="159">
        <v>1.6850071051892075</v>
      </c>
      <c r="J43" s="159">
        <v>1.6850071051892075</v>
      </c>
      <c r="K43" s="159">
        <v>1.660259636222049</v>
      </c>
      <c r="L43" s="159">
        <v>1.6481747900836208</v>
      </c>
      <c r="M43" s="159">
        <v>1.627584316065025</v>
      </c>
      <c r="N43" s="159">
        <v>1.6124895350517412</v>
      </c>
      <c r="O43" s="159">
        <v>1.5967858956901462</v>
      </c>
      <c r="P43" s="159">
        <v>1.6343134856271488</v>
      </c>
      <c r="Q43" s="159">
        <v>1.6350149441177411</v>
      </c>
      <c r="R43" s="160">
        <v>1.6357190943597104</v>
      </c>
      <c r="S43" s="43"/>
      <c r="U43" s="43"/>
      <c r="V43" s="43"/>
    </row>
    <row r="44" spans="3:22" ht="17" thickBot="1" x14ac:dyDescent="0.25">
      <c r="C44" s="25" t="s">
        <v>13</v>
      </c>
      <c r="D44" s="161">
        <f t="shared" si="0"/>
        <v>1.5788035894729133</v>
      </c>
      <c r="E44" s="162">
        <f t="shared" si="0"/>
        <v>1.5739053697816814</v>
      </c>
      <c r="F44" s="162">
        <f t="shared" si="0"/>
        <v>1.5691285500384888</v>
      </c>
      <c r="G44" s="162">
        <f t="shared" ref="G44:H44" si="14">G23</f>
        <v>1.5644686722317991</v>
      </c>
      <c r="H44" s="162">
        <f t="shared" si="14"/>
        <v>1.5599214939848878</v>
      </c>
      <c r="I44" s="162">
        <v>1.5517228268607033</v>
      </c>
      <c r="J44" s="162">
        <v>1.5517228268607033</v>
      </c>
      <c r="K44" s="162">
        <v>1.5387623191104789</v>
      </c>
      <c r="L44" s="162">
        <v>1.5310256855774882</v>
      </c>
      <c r="M44" s="162">
        <v>1.5169545242495406</v>
      </c>
      <c r="N44" s="162">
        <v>1.5021928364597563</v>
      </c>
      <c r="O44" s="162">
        <v>1.4862752197995954</v>
      </c>
      <c r="P44" s="162">
        <v>1.5153515518957423</v>
      </c>
      <c r="Q44" s="162">
        <v>1.515921455783817</v>
      </c>
      <c r="R44" s="163">
        <v>1.5164935466004075</v>
      </c>
      <c r="S44" s="43"/>
      <c r="U44" s="43"/>
      <c r="V44" s="43"/>
    </row>
    <row r="45" spans="3:22" ht="19.5" customHeight="1" thickTop="1" x14ac:dyDescent="0.2">
      <c r="C45" s="130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43"/>
      <c r="U45" s="43"/>
      <c r="V45" s="43"/>
    </row>
    <row r="47" spans="3:22" ht="14" thickBot="1" x14ac:dyDescent="0.2"/>
    <row r="48" spans="3:22" ht="17" thickTop="1" x14ac:dyDescent="0.2">
      <c r="C48" s="32" t="s">
        <v>165</v>
      </c>
      <c r="D48" s="34"/>
      <c r="E48" s="33"/>
      <c r="F48" s="33"/>
      <c r="G48" s="33"/>
      <c r="H48" s="33"/>
      <c r="I48" s="34"/>
      <c r="J48" s="34"/>
      <c r="K48" s="34"/>
      <c r="L48" s="34"/>
      <c r="M48" s="34"/>
      <c r="N48" s="34"/>
      <c r="O48" s="34"/>
      <c r="P48" s="34"/>
      <c r="Q48" s="34"/>
      <c r="R48" s="35"/>
    </row>
    <row r="49" spans="3:19" ht="14" thickBot="1" x14ac:dyDescent="0.2">
      <c r="C49" s="18"/>
      <c r="D49" s="65" t="s">
        <v>25</v>
      </c>
      <c r="E49" s="65" t="s">
        <v>37</v>
      </c>
      <c r="F49" s="65" t="s">
        <v>38</v>
      </c>
      <c r="G49" s="37" t="s">
        <v>177</v>
      </c>
      <c r="H49" s="37" t="s">
        <v>178</v>
      </c>
      <c r="I49" s="65" t="s">
        <v>26</v>
      </c>
      <c r="J49" s="65"/>
      <c r="K49" s="65" t="s">
        <v>27</v>
      </c>
      <c r="L49" s="65" t="s">
        <v>28</v>
      </c>
      <c r="M49" s="65" t="s">
        <v>29</v>
      </c>
      <c r="N49" s="65" t="s">
        <v>30</v>
      </c>
      <c r="O49" s="65" t="s">
        <v>31</v>
      </c>
      <c r="P49" s="37" t="s">
        <v>174</v>
      </c>
      <c r="Q49" s="37" t="s">
        <v>175</v>
      </c>
      <c r="R49" s="38" t="s">
        <v>176</v>
      </c>
    </row>
    <row r="50" spans="3:19" ht="15" thickTop="1" thickBot="1" x14ac:dyDescent="0.2">
      <c r="C50" s="70"/>
      <c r="D50" s="71" t="s">
        <v>39</v>
      </c>
      <c r="E50" s="71" t="s">
        <v>39</v>
      </c>
      <c r="F50" s="71" t="s">
        <v>39</v>
      </c>
      <c r="G50" s="65" t="s">
        <v>39</v>
      </c>
      <c r="H50" s="65" t="s">
        <v>39</v>
      </c>
      <c r="I50" s="71" t="s">
        <v>39</v>
      </c>
      <c r="J50" s="71"/>
      <c r="K50" s="71" t="s">
        <v>32</v>
      </c>
      <c r="L50" s="71" t="s">
        <v>32</v>
      </c>
      <c r="M50" s="71" t="s">
        <v>32</v>
      </c>
      <c r="N50" s="71" t="s">
        <v>32</v>
      </c>
      <c r="O50" s="71" t="s">
        <v>32</v>
      </c>
      <c r="P50" s="65" t="s">
        <v>32</v>
      </c>
      <c r="Q50" s="65" t="s">
        <v>32</v>
      </c>
      <c r="R50" s="66" t="s">
        <v>32</v>
      </c>
      <c r="S50" s="176"/>
    </row>
    <row r="51" spans="3:19" ht="17" thickTop="1" x14ac:dyDescent="0.2">
      <c r="C51" s="24" t="s">
        <v>0</v>
      </c>
      <c r="D51" s="79">
        <f>D10</f>
        <v>1.6587105725502904</v>
      </c>
      <c r="E51" s="80">
        <f t="shared" ref="E51:F64" si="15">E10</f>
        <v>1.6529843153556174</v>
      </c>
      <c r="F51" s="80">
        <f t="shared" si="15"/>
        <v>1.6474792901645228</v>
      </c>
      <c r="G51" s="80">
        <f t="shared" ref="G51:H51" si="16">G10</f>
        <v>1.6421829191126873</v>
      </c>
      <c r="H51" s="80">
        <f t="shared" si="16"/>
        <v>1.6370835600671683</v>
      </c>
      <c r="I51" s="164">
        <v>1.6275615032577166</v>
      </c>
      <c r="J51" s="164">
        <v>1.6275615032577166</v>
      </c>
      <c r="K51" s="164">
        <v>1.6075849407174667</v>
      </c>
      <c r="L51" s="164">
        <v>1.5936200508709952</v>
      </c>
      <c r="M51" s="164">
        <v>1.5769148663480468</v>
      </c>
      <c r="N51" s="164">
        <v>1.5660410356635825</v>
      </c>
      <c r="O51" s="156">
        <v>1.555734158183574</v>
      </c>
      <c r="P51" s="156">
        <v>1.5864986361315778</v>
      </c>
      <c r="Q51" s="156">
        <v>1.5871472183505546</v>
      </c>
      <c r="R51" s="157">
        <v>1.5877982894154219</v>
      </c>
      <c r="S51" s="176"/>
    </row>
    <row r="52" spans="3:19" ht="16" x14ac:dyDescent="0.2">
      <c r="C52" s="24" t="s">
        <v>1</v>
      </c>
      <c r="D52" s="81">
        <f t="shared" ref="D52" si="17">D11</f>
        <v>1.5135908407438097</v>
      </c>
      <c r="E52" s="82">
        <f t="shared" si="15"/>
        <v>1.5085119673436074</v>
      </c>
      <c r="F52" s="82">
        <f t="shared" si="15"/>
        <v>1.5037521741653568</v>
      </c>
      <c r="G52" s="82">
        <f t="shared" ref="G52:H52" si="18">G11</f>
        <v>1.4992823076720685</v>
      </c>
      <c r="H52" s="82">
        <f t="shared" si="18"/>
        <v>1.4950766609354895</v>
      </c>
      <c r="I52" s="165">
        <v>1.4919853178926559</v>
      </c>
      <c r="J52" s="165">
        <v>1.4919853178926559</v>
      </c>
      <c r="K52" s="165">
        <v>1.4808193656889841</v>
      </c>
      <c r="L52" s="165">
        <v>1.4770262598122381</v>
      </c>
      <c r="M52" s="165">
        <v>1.4679238148723237</v>
      </c>
      <c r="N52" s="165">
        <v>1.4610974828652314</v>
      </c>
      <c r="O52" s="159">
        <v>1.45445616662189</v>
      </c>
      <c r="P52" s="159">
        <v>1.4327485775117685</v>
      </c>
      <c r="Q52" s="159">
        <v>1.4309455835644769</v>
      </c>
      <c r="R52" s="160">
        <v>1.4286972377996043</v>
      </c>
      <c r="S52" s="176"/>
    </row>
    <row r="53" spans="3:19" ht="16" x14ac:dyDescent="0.2">
      <c r="C53" s="24" t="s">
        <v>2</v>
      </c>
      <c r="D53" s="81">
        <f t="shared" ref="D53" si="19">D12</f>
        <v>1.5269744114686463</v>
      </c>
      <c r="E53" s="82">
        <f t="shared" si="15"/>
        <v>1.5222894640869806</v>
      </c>
      <c r="F53" s="82">
        <f t="shared" si="15"/>
        <v>1.5178403053062621</v>
      </c>
      <c r="G53" s="82">
        <f t="shared" ref="G53:H53" si="20">G12</f>
        <v>1.5136095715734068</v>
      </c>
      <c r="H53" s="82">
        <f t="shared" si="20"/>
        <v>1.5095815633660368</v>
      </c>
      <c r="I53" s="165">
        <v>1.5077306709585929</v>
      </c>
      <c r="J53" s="165">
        <v>1.5077306709585929</v>
      </c>
      <c r="K53" s="165">
        <v>1.4942840716146135</v>
      </c>
      <c r="L53" s="165">
        <v>1.4814652066732081</v>
      </c>
      <c r="M53" s="165">
        <v>1.4724678495598098</v>
      </c>
      <c r="N53" s="165">
        <v>1.464833535786338</v>
      </c>
      <c r="O53" s="159">
        <v>1.4572962010537565</v>
      </c>
      <c r="P53" s="159">
        <v>1.4692042096819469</v>
      </c>
      <c r="Q53" s="159">
        <v>1.4697230813190167</v>
      </c>
      <c r="R53" s="160">
        <v>1.470243944055293</v>
      </c>
      <c r="S53" s="176"/>
    </row>
    <row r="54" spans="3:19" ht="16" x14ac:dyDescent="0.2">
      <c r="C54" s="24" t="s">
        <v>3</v>
      </c>
      <c r="D54" s="81">
        <f t="shared" ref="D54" si="21">D13</f>
        <v>1.7024241867236372</v>
      </c>
      <c r="E54" s="82">
        <f t="shared" si="15"/>
        <v>1.6962470503653453</v>
      </c>
      <c r="F54" s="82">
        <f t="shared" si="15"/>
        <v>1.690345643326137</v>
      </c>
      <c r="G54" s="82">
        <f t="shared" ref="G54:H54" si="22">G13</f>
        <v>1.6847019070204667</v>
      </c>
      <c r="H54" s="82">
        <f t="shared" si="22"/>
        <v>1.6792993261403786</v>
      </c>
      <c r="I54" s="165">
        <v>1.7013793533174582</v>
      </c>
      <c r="J54" s="165">
        <v>1.7013793533174582</v>
      </c>
      <c r="K54" s="165">
        <v>1.6912610564766528</v>
      </c>
      <c r="L54" s="165">
        <v>1.6796363781063846</v>
      </c>
      <c r="M54" s="165">
        <v>1.6694394572411517</v>
      </c>
      <c r="N54" s="165">
        <v>1.6678203993120375</v>
      </c>
      <c r="O54" s="159">
        <v>1.6668959093936071</v>
      </c>
      <c r="P54" s="159">
        <v>1.6254200929313203</v>
      </c>
      <c r="Q54" s="159">
        <v>1.6261117166226247</v>
      </c>
      <c r="R54" s="160">
        <v>1.6268059943256039</v>
      </c>
      <c r="S54" s="176"/>
    </row>
    <row r="55" spans="3:19" ht="16" x14ac:dyDescent="0.2">
      <c r="C55" s="24" t="s">
        <v>4</v>
      </c>
      <c r="D55" s="81">
        <f t="shared" ref="D55" si="23">D14</f>
        <v>1.7238662822313953</v>
      </c>
      <c r="E55" s="82">
        <f t="shared" si="15"/>
        <v>1.717747090439175</v>
      </c>
      <c r="F55" s="82">
        <f t="shared" si="15"/>
        <v>1.7117761594206748</v>
      </c>
      <c r="G55" s="82">
        <f t="shared" ref="G55:H55" si="24">G14</f>
        <v>1.7059481653957682</v>
      </c>
      <c r="H55" s="82">
        <f t="shared" si="24"/>
        <v>1.7002580364594722</v>
      </c>
      <c r="I55" s="165">
        <v>1.6591732961032399</v>
      </c>
      <c r="J55" s="165">
        <v>1.6591732961032399</v>
      </c>
      <c r="K55" s="165">
        <v>1.6221187091079685</v>
      </c>
      <c r="L55" s="165">
        <v>1.6060131453787043</v>
      </c>
      <c r="M55" s="165">
        <v>1.5855993990580257</v>
      </c>
      <c r="N55" s="165">
        <v>1.568953112913446</v>
      </c>
      <c r="O55" s="159">
        <v>1.5541798593479628</v>
      </c>
      <c r="P55" s="159">
        <v>1.6445115730064224</v>
      </c>
      <c r="Q55" s="159">
        <v>1.6452243090989294</v>
      </c>
      <c r="R55" s="160">
        <v>1.6459397802190741</v>
      </c>
      <c r="S55" s="176"/>
    </row>
    <row r="56" spans="3:19" ht="16" x14ac:dyDescent="0.2">
      <c r="C56" s="24" t="s">
        <v>5</v>
      </c>
      <c r="D56" s="81">
        <f t="shared" ref="D56" si="25">D15</f>
        <v>1.6067598207277274</v>
      </c>
      <c r="E56" s="82">
        <f t="shared" si="15"/>
        <v>1.6016043351929552</v>
      </c>
      <c r="F56" s="82">
        <f t="shared" si="15"/>
        <v>1.5965872497498168</v>
      </c>
      <c r="G56" s="82">
        <f t="shared" ref="G56:H56" si="26">G15</f>
        <v>1.5917030651433612</v>
      </c>
      <c r="H56" s="82">
        <f t="shared" si="26"/>
        <v>1.5869465696569192</v>
      </c>
      <c r="I56" s="165">
        <v>1.5901465191446771</v>
      </c>
      <c r="J56" s="165">
        <v>1.5901465191446771</v>
      </c>
      <c r="K56" s="165">
        <v>1.5801718709976404</v>
      </c>
      <c r="L56" s="165">
        <v>1.5666385503870253</v>
      </c>
      <c r="M56" s="165">
        <v>1.5480570715521644</v>
      </c>
      <c r="N56" s="165">
        <v>1.5356337348975948</v>
      </c>
      <c r="O56" s="159">
        <v>1.5233892766271615</v>
      </c>
      <c r="P56" s="159">
        <v>1.5402430477751039</v>
      </c>
      <c r="Q56" s="159">
        <v>1.5408404780385809</v>
      </c>
      <c r="R56" s="160">
        <v>1.5414402008592887</v>
      </c>
      <c r="S56" s="176"/>
    </row>
    <row r="57" spans="3:19" ht="16" x14ac:dyDescent="0.2">
      <c r="C57" s="24" t="s">
        <v>6</v>
      </c>
      <c r="D57" s="81">
        <f t="shared" ref="D57" si="27">D16</f>
        <v>1.7031076632918158</v>
      </c>
      <c r="E57" s="82">
        <f t="shared" si="15"/>
        <v>1.6970891044351886</v>
      </c>
      <c r="F57" s="82">
        <f t="shared" si="15"/>
        <v>1.6912550396064265</v>
      </c>
      <c r="G57" s="82">
        <f t="shared" ref="G57:H57" si="28">G16</f>
        <v>1.6855971135950134</v>
      </c>
      <c r="H57" s="82">
        <f t="shared" si="28"/>
        <v>1.680107468199395</v>
      </c>
      <c r="I57" s="165">
        <v>1.6504948587884576</v>
      </c>
      <c r="J57" s="165">
        <v>1.6504948587884576</v>
      </c>
      <c r="K57" s="165">
        <v>1.6049777362863964</v>
      </c>
      <c r="L57" s="165">
        <v>1.5818960399039637</v>
      </c>
      <c r="M57" s="165">
        <v>1.5728943244664624</v>
      </c>
      <c r="N57" s="165">
        <v>1.55140025704483</v>
      </c>
      <c r="O57" s="159">
        <v>1.5310833070469891</v>
      </c>
      <c r="P57" s="159">
        <v>1.626028642561111</v>
      </c>
      <c r="Q57" s="159">
        <v>1.6267209392198274</v>
      </c>
      <c r="R57" s="160">
        <v>1.6274158924726396</v>
      </c>
      <c r="S57" s="176"/>
    </row>
    <row r="58" spans="3:19" ht="16" x14ac:dyDescent="0.2">
      <c r="C58" s="24" t="s">
        <v>7</v>
      </c>
      <c r="D58" s="81">
        <f t="shared" ref="D58" si="29">D17</f>
        <v>1.4968686379367222</v>
      </c>
      <c r="E58" s="82">
        <f t="shared" si="15"/>
        <v>1.4926416840847587</v>
      </c>
      <c r="F58" s="82">
        <f t="shared" si="15"/>
        <v>1.488530867347593</v>
      </c>
      <c r="G58" s="82">
        <f t="shared" ref="G58:H58" si="30">G17</f>
        <v>1.4845314662226945</v>
      </c>
      <c r="H58" s="82">
        <f t="shared" si="30"/>
        <v>1.4806390117197112</v>
      </c>
      <c r="I58" s="165">
        <v>1.4713274519482145</v>
      </c>
      <c r="J58" s="165">
        <v>1.4713274519482145</v>
      </c>
      <c r="K58" s="165">
        <v>1.4520885840760815</v>
      </c>
      <c r="L58" s="165">
        <v>1.4388605400476375</v>
      </c>
      <c r="M58" s="165">
        <v>1.4334251972783514</v>
      </c>
      <c r="N58" s="165">
        <v>1.4307691747025193</v>
      </c>
      <c r="O58" s="159">
        <v>1.4290949763359644</v>
      </c>
      <c r="P58" s="159">
        <v>1.4423988176752602</v>
      </c>
      <c r="Q58" s="159">
        <v>1.4428880464460776</v>
      </c>
      <c r="R58" s="160">
        <v>1.4433791525656408</v>
      </c>
      <c r="S58" s="176"/>
    </row>
    <row r="59" spans="3:19" ht="16" x14ac:dyDescent="0.2">
      <c r="C59" s="24" t="s">
        <v>8</v>
      </c>
      <c r="D59" s="81">
        <f t="shared" ref="D59" si="31">D18</f>
        <v>1.5761670451525365</v>
      </c>
      <c r="E59" s="82">
        <f t="shared" si="15"/>
        <v>1.5711910280792518</v>
      </c>
      <c r="F59" s="82">
        <f t="shared" si="15"/>
        <v>1.566386846243091</v>
      </c>
      <c r="G59" s="82">
        <f t="shared" ref="G59:H59" si="32">G18</f>
        <v>1.5617457498229335</v>
      </c>
      <c r="H59" s="82">
        <f t="shared" si="32"/>
        <v>1.557259573135469</v>
      </c>
      <c r="I59" s="165">
        <v>1.5480129356406107</v>
      </c>
      <c r="J59" s="165">
        <v>1.5480129356406107</v>
      </c>
      <c r="K59" s="165">
        <v>1.525317066059015</v>
      </c>
      <c r="L59" s="165">
        <v>1.5061749934198168</v>
      </c>
      <c r="M59" s="165">
        <v>1.4907177016477329</v>
      </c>
      <c r="N59" s="165">
        <v>1.4771334533894842</v>
      </c>
      <c r="O59" s="159">
        <v>1.464609583469846</v>
      </c>
      <c r="P59" s="159">
        <v>1.5090208088609476</v>
      </c>
      <c r="Q59" s="159">
        <v>1.5087972436101666</v>
      </c>
      <c r="R59" s="160">
        <v>1.5082815531551872</v>
      </c>
    </row>
    <row r="60" spans="3:19" ht="16" x14ac:dyDescent="0.2">
      <c r="C60" s="24" t="s">
        <v>9</v>
      </c>
      <c r="D60" s="81">
        <f t="shared" ref="D60" si="33">D19</f>
        <v>1.5223311720305397</v>
      </c>
      <c r="E60" s="82">
        <f t="shared" si="15"/>
        <v>1.5178596871888785</v>
      </c>
      <c r="F60" s="82">
        <f t="shared" si="15"/>
        <v>1.5135254583880413</v>
      </c>
      <c r="G60" s="82">
        <f t="shared" ref="G60:H60" si="34">G19</f>
        <v>1.5093222613706203</v>
      </c>
      <c r="H60" s="82">
        <f t="shared" si="34"/>
        <v>1.5052442426168775</v>
      </c>
      <c r="I60" s="165">
        <v>1.5033321479701527</v>
      </c>
      <c r="J60" s="165">
        <v>1.5033321479701527</v>
      </c>
      <c r="K60" s="165">
        <v>1.4912416622149325</v>
      </c>
      <c r="L60" s="165">
        <v>1.488577728805841</v>
      </c>
      <c r="M60" s="165">
        <v>1.4826908285607339</v>
      </c>
      <c r="N60" s="165">
        <v>1.4736968813742013</v>
      </c>
      <c r="O60" s="159">
        <v>1.4645004550296519</v>
      </c>
      <c r="P60" s="159">
        <v>1.4650699909352545</v>
      </c>
      <c r="Q60" s="159">
        <v>1.4655842907274756</v>
      </c>
      <c r="R60" s="160">
        <v>1.4661005640750713</v>
      </c>
    </row>
    <row r="61" spans="3:19" ht="16" x14ac:dyDescent="0.2">
      <c r="C61" s="24" t="s">
        <v>10</v>
      </c>
      <c r="D61" s="81">
        <f t="shared" ref="D61" si="35">D20</f>
        <v>1.708901248114826</v>
      </c>
      <c r="E61" s="82">
        <f t="shared" si="15"/>
        <v>1.7031266330353896</v>
      </c>
      <c r="F61" s="82">
        <f t="shared" si="15"/>
        <v>1.6973833395533644</v>
      </c>
      <c r="G61" s="82">
        <f t="shared" ref="G61:H61" si="36">G20</f>
        <v>1.6916711135247808</v>
      </c>
      <c r="H61" s="82">
        <f t="shared" si="36"/>
        <v>1.6859897035477569</v>
      </c>
      <c r="I61" s="165">
        <v>1.6933838571399633</v>
      </c>
      <c r="J61" s="165">
        <v>1.6933838571399633</v>
      </c>
      <c r="K61" s="165">
        <v>1.6733777850714218</v>
      </c>
      <c r="L61" s="165">
        <v>1.6803553918789138</v>
      </c>
      <c r="M61" s="165">
        <v>1.6700862158789547</v>
      </c>
      <c r="N61" s="165">
        <v>1.6430324095322726</v>
      </c>
      <c r="O61" s="159">
        <v>1.6151863435110796</v>
      </c>
      <c r="P61" s="159">
        <v>1.6311870987004324</v>
      </c>
      <c r="Q61" s="159">
        <v>1.631885099861637</v>
      </c>
      <c r="R61" s="160">
        <v>1.6325857795071888</v>
      </c>
    </row>
    <row r="62" spans="3:19" ht="16" x14ac:dyDescent="0.2">
      <c r="C62" s="24" t="s">
        <v>11</v>
      </c>
      <c r="D62" s="81">
        <f t="shared" ref="D62" si="37">D21</f>
        <v>1.5384403921269905</v>
      </c>
      <c r="E62" s="82">
        <f t="shared" si="15"/>
        <v>1.5336305050701657</v>
      </c>
      <c r="F62" s="82">
        <f t="shared" si="15"/>
        <v>1.5290747960243773</v>
      </c>
      <c r="G62" s="82">
        <f t="shared" ref="G62:H62" si="38">G21</f>
        <v>1.5247536356272953</v>
      </c>
      <c r="H62" s="82">
        <f t="shared" si="38"/>
        <v>1.5206493650095469</v>
      </c>
      <c r="I62" s="165">
        <v>1.5107449600722338</v>
      </c>
      <c r="J62" s="165">
        <v>1.5107449600722338</v>
      </c>
      <c r="K62" s="165">
        <v>1.4940673121932373</v>
      </c>
      <c r="L62" s="165">
        <v>1.4832812931206023</v>
      </c>
      <c r="M62" s="165">
        <v>1.4725368041433726</v>
      </c>
      <c r="N62" s="165">
        <v>1.4655308014608404</v>
      </c>
      <c r="O62" s="159">
        <v>1.4587439314049018</v>
      </c>
      <c r="P62" s="159">
        <v>1.4794132184610134</v>
      </c>
      <c r="Q62" s="159">
        <v>1.4799433797774786</v>
      </c>
      <c r="R62" s="160">
        <v>1.4804755755157557</v>
      </c>
    </row>
    <row r="63" spans="3:19" ht="16" x14ac:dyDescent="0.2">
      <c r="C63" s="24" t="s">
        <v>12</v>
      </c>
      <c r="D63" s="81">
        <f t="shared" ref="D63" si="39">D22</f>
        <v>1.7124125676570066</v>
      </c>
      <c r="E63" s="82">
        <f t="shared" si="15"/>
        <v>1.7061641860477981</v>
      </c>
      <c r="F63" s="82">
        <f t="shared" si="15"/>
        <v>1.7001860764127081</v>
      </c>
      <c r="G63" s="82">
        <f t="shared" ref="G63:H63" si="40">G22</f>
        <v>1.694461074169932</v>
      </c>
      <c r="H63" s="82">
        <f t="shared" si="40"/>
        <v>1.6889734380700576</v>
      </c>
      <c r="I63" s="165">
        <v>1.6850071051892075</v>
      </c>
      <c r="J63" s="165">
        <v>1.6850071051892075</v>
      </c>
      <c r="K63" s="165">
        <v>1.660259636222049</v>
      </c>
      <c r="L63" s="165">
        <v>1.6481747900836208</v>
      </c>
      <c r="M63" s="165">
        <v>1.627584316065025</v>
      </c>
      <c r="N63" s="165">
        <v>1.6124895350517412</v>
      </c>
      <c r="O63" s="159">
        <v>1.5967858956901462</v>
      </c>
      <c r="P63" s="159">
        <v>1.6343134856271488</v>
      </c>
      <c r="Q63" s="159">
        <v>1.6350149441177411</v>
      </c>
      <c r="R63" s="160">
        <v>1.6357190943597104</v>
      </c>
    </row>
    <row r="64" spans="3:19" ht="17" thickBot="1" x14ac:dyDescent="0.25">
      <c r="C64" s="25" t="s">
        <v>13</v>
      </c>
      <c r="D64" s="76">
        <f t="shared" ref="D64" si="41">D23</f>
        <v>1.5788035894729133</v>
      </c>
      <c r="E64" s="77">
        <f t="shared" si="15"/>
        <v>1.5739053697816814</v>
      </c>
      <c r="F64" s="77">
        <f t="shared" si="15"/>
        <v>1.5691285500384888</v>
      </c>
      <c r="G64" s="77">
        <f t="shared" ref="G64:H64" si="42">G23</f>
        <v>1.5644686722317991</v>
      </c>
      <c r="H64" s="77">
        <f t="shared" si="42"/>
        <v>1.5599214939848878</v>
      </c>
      <c r="I64" s="166">
        <v>1.5517228268607033</v>
      </c>
      <c r="J64" s="166">
        <v>1.5517228268607033</v>
      </c>
      <c r="K64" s="166">
        <v>1.5387623191104789</v>
      </c>
      <c r="L64" s="166">
        <v>1.5310256855774882</v>
      </c>
      <c r="M64" s="166">
        <v>1.5169545242495406</v>
      </c>
      <c r="N64" s="166">
        <v>1.5021928364597563</v>
      </c>
      <c r="O64" s="162">
        <v>1.4862752197995954</v>
      </c>
      <c r="P64" s="162">
        <v>1.5153515518957423</v>
      </c>
      <c r="Q64" s="162">
        <v>1.515921455783817</v>
      </c>
      <c r="R64" s="163">
        <v>1.5164935466004075</v>
      </c>
    </row>
    <row r="65" spans="3:18" ht="14" thickTop="1" x14ac:dyDescent="0.15">
      <c r="P65" s="155"/>
      <c r="Q65" s="155"/>
      <c r="R65" s="155"/>
    </row>
    <row r="66" spans="3:18" ht="14" thickBot="1" x14ac:dyDescent="0.2"/>
    <row r="67" spans="3:18" ht="17" thickTop="1" x14ac:dyDescent="0.2">
      <c r="C67" s="32" t="s">
        <v>156</v>
      </c>
      <c r="D67" s="34"/>
      <c r="E67" s="33"/>
      <c r="F67" s="33"/>
      <c r="G67" s="33"/>
      <c r="H67" s="33"/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3:18" ht="14" thickBot="1" x14ac:dyDescent="0.2">
      <c r="C68" s="18"/>
      <c r="D68" s="65" t="s">
        <v>25</v>
      </c>
      <c r="E68" s="65" t="s">
        <v>37</v>
      </c>
      <c r="F68" s="65" t="s">
        <v>38</v>
      </c>
      <c r="G68" s="37" t="s">
        <v>177</v>
      </c>
      <c r="H68" s="37" t="s">
        <v>178</v>
      </c>
      <c r="I68" s="65" t="s">
        <v>26</v>
      </c>
      <c r="J68" s="65"/>
      <c r="K68" s="65" t="s">
        <v>27</v>
      </c>
      <c r="L68" s="65" t="s">
        <v>28</v>
      </c>
      <c r="M68" s="65" t="s">
        <v>29</v>
      </c>
      <c r="N68" s="65" t="s">
        <v>30</v>
      </c>
      <c r="O68" s="65" t="s">
        <v>31</v>
      </c>
      <c r="P68" s="37" t="s">
        <v>174</v>
      </c>
      <c r="Q68" s="37" t="s">
        <v>175</v>
      </c>
      <c r="R68" s="38" t="s">
        <v>176</v>
      </c>
    </row>
    <row r="69" spans="3:18" ht="15" thickTop="1" thickBot="1" x14ac:dyDescent="0.2">
      <c r="C69" s="70"/>
      <c r="D69" s="71" t="s">
        <v>39</v>
      </c>
      <c r="E69" s="71" t="s">
        <v>39</v>
      </c>
      <c r="F69" s="71" t="s">
        <v>39</v>
      </c>
      <c r="G69" s="65" t="s">
        <v>39</v>
      </c>
      <c r="H69" s="65" t="s">
        <v>39</v>
      </c>
      <c r="I69" s="71" t="s">
        <v>39</v>
      </c>
      <c r="J69" s="71"/>
      <c r="K69" s="71" t="s">
        <v>32</v>
      </c>
      <c r="L69" s="71" t="s">
        <v>32</v>
      </c>
      <c r="M69" s="71" t="s">
        <v>32</v>
      </c>
      <c r="N69" s="71" t="s">
        <v>32</v>
      </c>
      <c r="O69" s="71" t="s">
        <v>32</v>
      </c>
      <c r="P69" s="65" t="s">
        <v>32</v>
      </c>
      <c r="Q69" s="65" t="s">
        <v>32</v>
      </c>
      <c r="R69" s="66" t="s">
        <v>32</v>
      </c>
    </row>
    <row r="70" spans="3:18" ht="17" thickTop="1" x14ac:dyDescent="0.2">
      <c r="C70" s="24" t="s">
        <v>0</v>
      </c>
      <c r="D70" s="153">
        <v>1.6587105725502904</v>
      </c>
      <c r="E70" s="156">
        <v>1.6529843153556174</v>
      </c>
      <c r="F70" s="156">
        <v>1.6474792901645228</v>
      </c>
      <c r="G70" s="156">
        <v>1.6421829191126873</v>
      </c>
      <c r="H70" s="156">
        <v>1.6370835600671683</v>
      </c>
      <c r="I70" s="156">
        <v>1.6321704211979837</v>
      </c>
      <c r="J70" s="156">
        <v>1.6321704211979837</v>
      </c>
      <c r="K70" s="156">
        <v>1.6175477970937659</v>
      </c>
      <c r="L70" s="156">
        <v>1.6090666203337793</v>
      </c>
      <c r="M70" s="156">
        <v>1.5996083787444912</v>
      </c>
      <c r="N70" s="156">
        <v>1.5929875267219764</v>
      </c>
      <c r="O70" s="156">
        <v>1.5858528844423163</v>
      </c>
      <c r="P70" s="156">
        <v>1.5864986361315778</v>
      </c>
      <c r="Q70" s="156">
        <v>1.5871472183505546</v>
      </c>
      <c r="R70" s="157">
        <v>1.5877982894154219</v>
      </c>
    </row>
    <row r="71" spans="3:18" ht="16" x14ac:dyDescent="0.2">
      <c r="C71" s="24" t="s">
        <v>1</v>
      </c>
      <c r="D71" s="158">
        <v>1.5133501102776525</v>
      </c>
      <c r="E71" s="159">
        <v>1.5076484162767796</v>
      </c>
      <c r="F71" s="159">
        <v>1.5022918578776741</v>
      </c>
      <c r="G71" s="159">
        <v>1.4972500180030182</v>
      </c>
      <c r="H71" s="159">
        <v>1.492495951813666</v>
      </c>
      <c r="I71" s="159">
        <v>1.4880057049927586</v>
      </c>
      <c r="J71" s="159">
        <v>1.4880057049927586</v>
      </c>
      <c r="K71" s="159">
        <v>1.472164113741746</v>
      </c>
      <c r="L71" s="159">
        <v>1.461740320036945</v>
      </c>
      <c r="M71" s="159">
        <v>1.4509987458705094</v>
      </c>
      <c r="N71" s="159">
        <v>1.4426752438289732</v>
      </c>
      <c r="O71" s="159">
        <v>1.4341255782862159</v>
      </c>
      <c r="P71" s="159">
        <v>1.4327485775117685</v>
      </c>
      <c r="Q71" s="159">
        <v>1.4309455835644769</v>
      </c>
      <c r="R71" s="160">
        <v>1.4286972377996043</v>
      </c>
    </row>
    <row r="72" spans="3:18" ht="16" x14ac:dyDescent="0.2">
      <c r="C72" s="24" t="s">
        <v>2</v>
      </c>
      <c r="D72" s="158">
        <v>1.5269744114686463</v>
      </c>
      <c r="E72" s="159">
        <v>1.5222894640869806</v>
      </c>
      <c r="F72" s="159">
        <v>1.5178403053062621</v>
      </c>
      <c r="G72" s="159">
        <v>1.5136095715734068</v>
      </c>
      <c r="H72" s="159">
        <v>1.5095815633660368</v>
      </c>
      <c r="I72" s="159">
        <v>1.505742050516822</v>
      </c>
      <c r="J72" s="159">
        <v>1.505742050516822</v>
      </c>
      <c r="K72" s="159">
        <v>1.4940438190741208</v>
      </c>
      <c r="L72" s="159">
        <v>1.4872588010132268</v>
      </c>
      <c r="M72" s="159">
        <v>1.4796921222581763</v>
      </c>
      <c r="N72" s="159">
        <v>1.4743953808008814</v>
      </c>
      <c r="O72" s="159">
        <v>1.4686876024942317</v>
      </c>
      <c r="P72" s="159">
        <v>1.4692042096819469</v>
      </c>
      <c r="Q72" s="159">
        <v>1.4697230813190167</v>
      </c>
      <c r="R72" s="160">
        <v>1.470243944055293</v>
      </c>
    </row>
    <row r="73" spans="3:18" ht="16" x14ac:dyDescent="0.2">
      <c r="C73" s="24" t="s">
        <v>3</v>
      </c>
      <c r="D73" s="158">
        <v>1.7024241867236372</v>
      </c>
      <c r="E73" s="159">
        <v>1.6962470503653453</v>
      </c>
      <c r="F73" s="159">
        <v>1.690345643326137</v>
      </c>
      <c r="G73" s="159">
        <v>1.6847019070204667</v>
      </c>
      <c r="H73" s="159">
        <v>1.6792993261403786</v>
      </c>
      <c r="I73" s="159">
        <v>1.6741227672443819</v>
      </c>
      <c r="J73" s="159">
        <v>1.6741227672443819</v>
      </c>
      <c r="K73" s="159">
        <v>1.6585297507175571</v>
      </c>
      <c r="L73" s="159">
        <v>1.6494857427171572</v>
      </c>
      <c r="M73" s="159">
        <v>1.6393998295209118</v>
      </c>
      <c r="N73" s="159">
        <v>1.6323396018714194</v>
      </c>
      <c r="O73" s="159">
        <v>1.6247314876104753</v>
      </c>
      <c r="P73" s="159">
        <v>1.6254200929313203</v>
      </c>
      <c r="Q73" s="159">
        <v>1.6261117166226247</v>
      </c>
      <c r="R73" s="160">
        <v>1.6268059943256039</v>
      </c>
    </row>
    <row r="74" spans="3:18" ht="16" x14ac:dyDescent="0.2">
      <c r="C74" s="24" t="s">
        <v>4</v>
      </c>
      <c r="D74" s="158">
        <v>1.7238662822313953</v>
      </c>
      <c r="E74" s="159">
        <v>1.717747090439175</v>
      </c>
      <c r="F74" s="159">
        <v>1.7117761594206748</v>
      </c>
      <c r="G74" s="159">
        <v>1.7059481653957682</v>
      </c>
      <c r="H74" s="159">
        <v>1.7002580364594722</v>
      </c>
      <c r="I74" s="159">
        <v>1.6947009378603877</v>
      </c>
      <c r="J74" s="159">
        <v>1.6947009378603877</v>
      </c>
      <c r="K74" s="159">
        <v>1.6786319312467441</v>
      </c>
      <c r="L74" s="159">
        <v>1.6693118472128263</v>
      </c>
      <c r="M74" s="159">
        <v>1.6589180529411223</v>
      </c>
      <c r="N74" s="159">
        <v>1.6516423058399534</v>
      </c>
      <c r="O74" s="159">
        <v>1.6438019474226997</v>
      </c>
      <c r="P74" s="159">
        <v>1.6445115730064224</v>
      </c>
      <c r="Q74" s="159">
        <v>1.6452243090989294</v>
      </c>
      <c r="R74" s="160">
        <v>1.6459397802190741</v>
      </c>
    </row>
    <row r="75" spans="3:18" ht="16" x14ac:dyDescent="0.2">
      <c r="C75" s="24" t="s">
        <v>5</v>
      </c>
      <c r="D75" s="158">
        <v>1.6067598207277274</v>
      </c>
      <c r="E75" s="159">
        <v>1.6016043351929552</v>
      </c>
      <c r="F75" s="159">
        <v>1.5965872497498168</v>
      </c>
      <c r="G75" s="159">
        <v>1.5917030651433612</v>
      </c>
      <c r="H75" s="159">
        <v>1.5869465696569192</v>
      </c>
      <c r="I75" s="159">
        <v>1.5823128205615311</v>
      </c>
      <c r="J75" s="159">
        <v>1.5823128205615311</v>
      </c>
      <c r="K75" s="159">
        <v>1.5688434439494425</v>
      </c>
      <c r="L75" s="159">
        <v>1.5610311550552078</v>
      </c>
      <c r="M75" s="159">
        <v>1.5523188598374507</v>
      </c>
      <c r="N75" s="159">
        <v>1.5462201768139001</v>
      </c>
      <c r="O75" s="159">
        <v>1.5396482248049883</v>
      </c>
      <c r="P75" s="159">
        <v>1.5402430477751039</v>
      </c>
      <c r="Q75" s="159">
        <v>1.5408404780385809</v>
      </c>
      <c r="R75" s="160">
        <v>1.5414402008592887</v>
      </c>
    </row>
    <row r="76" spans="3:18" ht="16" x14ac:dyDescent="0.2">
      <c r="C76" s="24" t="s">
        <v>6</v>
      </c>
      <c r="D76" s="158">
        <v>1.7031076632918158</v>
      </c>
      <c r="E76" s="159">
        <v>1.6970891044351886</v>
      </c>
      <c r="F76" s="159">
        <v>1.6912550396064265</v>
      </c>
      <c r="G76" s="159">
        <v>1.6855971135950134</v>
      </c>
      <c r="H76" s="159">
        <v>1.680107468199395</v>
      </c>
      <c r="I76" s="159">
        <v>1.6747787058128365</v>
      </c>
      <c r="J76" s="159">
        <v>1.6747787058128365</v>
      </c>
      <c r="K76" s="159">
        <v>1.6591705168850259</v>
      </c>
      <c r="L76" s="159">
        <v>1.6501177088352148</v>
      </c>
      <c r="M76" s="159">
        <v>1.6400219817893489</v>
      </c>
      <c r="N76" s="159">
        <v>1.6329548843590951</v>
      </c>
      <c r="O76" s="159">
        <v>1.6253393672098053</v>
      </c>
      <c r="P76" s="159">
        <v>1.626028642561111</v>
      </c>
      <c r="Q76" s="159">
        <v>1.6267209392198274</v>
      </c>
      <c r="R76" s="160">
        <v>1.6274158924726396</v>
      </c>
    </row>
    <row r="77" spans="3:18" ht="16" x14ac:dyDescent="0.2">
      <c r="C77" s="24" t="s">
        <v>7</v>
      </c>
      <c r="D77" s="158">
        <v>1.4968686379367222</v>
      </c>
      <c r="E77" s="159">
        <v>1.4926416840847587</v>
      </c>
      <c r="F77" s="159">
        <v>1.488530867347593</v>
      </c>
      <c r="G77" s="159">
        <v>1.4845314662226945</v>
      </c>
      <c r="H77" s="159">
        <v>1.4806390117197112</v>
      </c>
      <c r="I77" s="159">
        <v>1.4768492707023391</v>
      </c>
      <c r="J77" s="159">
        <v>1.4768492707023391</v>
      </c>
      <c r="K77" s="159">
        <v>1.4658193531262569</v>
      </c>
      <c r="L77" s="159">
        <v>1.4594219596116518</v>
      </c>
      <c r="M77" s="159">
        <v>1.4522875612710402</v>
      </c>
      <c r="N77" s="159">
        <v>1.4472934198931802</v>
      </c>
      <c r="O77" s="159">
        <v>1.4419117239869859</v>
      </c>
      <c r="P77" s="159">
        <v>1.4423988176752602</v>
      </c>
      <c r="Q77" s="159">
        <v>1.4428880464460776</v>
      </c>
      <c r="R77" s="160">
        <v>1.4433791525656408</v>
      </c>
    </row>
    <row r="78" spans="3:18" ht="16" x14ac:dyDescent="0.2">
      <c r="C78" s="24" t="s">
        <v>8</v>
      </c>
      <c r="D78" s="158">
        <v>1.5747257050371999</v>
      </c>
      <c r="E78" s="159">
        <v>1.569818719253008</v>
      </c>
      <c r="F78" s="159">
        <v>1.5650830446392807</v>
      </c>
      <c r="G78" s="159">
        <v>1.56050986396433</v>
      </c>
      <c r="H78" s="159">
        <v>1.5560909548771118</v>
      </c>
      <c r="I78" s="159">
        <v>1.5518186405701631</v>
      </c>
      <c r="J78" s="159">
        <v>1.5518186405701631</v>
      </c>
      <c r="K78" s="159">
        <v>1.5388640242403662</v>
      </c>
      <c r="L78" s="159">
        <v>1.5311118700566693</v>
      </c>
      <c r="M78" s="159">
        <v>1.5221094167932143</v>
      </c>
      <c r="N78" s="159">
        <v>1.5158407446679645</v>
      </c>
      <c r="O78" s="159">
        <v>1.5089791144564573</v>
      </c>
      <c r="P78" s="159">
        <v>1.5090208088609476</v>
      </c>
      <c r="Q78" s="159">
        <v>1.5087972436101666</v>
      </c>
      <c r="R78" s="160">
        <v>1.5082815531551872</v>
      </c>
    </row>
    <row r="79" spans="3:18" ht="16" x14ac:dyDescent="0.2">
      <c r="C79" s="24" t="s">
        <v>9</v>
      </c>
      <c r="D79" s="158">
        <v>1.5223311720305397</v>
      </c>
      <c r="E79" s="159">
        <v>1.5178596871888785</v>
      </c>
      <c r="F79" s="159">
        <v>1.5135254583880413</v>
      </c>
      <c r="G79" s="159">
        <v>1.5093222613706203</v>
      </c>
      <c r="H79" s="159">
        <v>1.5052442426168775</v>
      </c>
      <c r="I79" s="159">
        <v>1.5012858921467709</v>
      </c>
      <c r="J79" s="159">
        <v>1.5012858921467709</v>
      </c>
      <c r="K79" s="159">
        <v>1.4896907353285842</v>
      </c>
      <c r="L79" s="159">
        <v>1.4829655009360487</v>
      </c>
      <c r="M79" s="159">
        <v>1.4754654931624469</v>
      </c>
      <c r="N79" s="159">
        <v>1.4702154219765973</v>
      </c>
      <c r="O79" s="159">
        <v>1.4645579356400329</v>
      </c>
      <c r="P79" s="159">
        <v>1.4650699909352545</v>
      </c>
      <c r="Q79" s="159">
        <v>1.4655842907274756</v>
      </c>
      <c r="R79" s="160">
        <v>1.4661005640750713</v>
      </c>
    </row>
    <row r="80" spans="3:18" ht="16" x14ac:dyDescent="0.2">
      <c r="C80" s="24" t="s">
        <v>10</v>
      </c>
      <c r="D80" s="158">
        <v>1.708901248114826</v>
      </c>
      <c r="E80" s="159">
        <v>1.7031266330353896</v>
      </c>
      <c r="F80" s="159">
        <v>1.6973833395533644</v>
      </c>
      <c r="G80" s="159">
        <v>1.6916711135247808</v>
      </c>
      <c r="H80" s="159">
        <v>1.6859897035477569</v>
      </c>
      <c r="I80" s="159">
        <v>1.6803388609256171</v>
      </c>
      <c r="J80" s="159">
        <v>1.6803388609256171</v>
      </c>
      <c r="K80" s="159">
        <v>1.6646020610165759</v>
      </c>
      <c r="L80" s="159">
        <v>1.6554746581158462</v>
      </c>
      <c r="M80" s="159">
        <v>1.6452957425996451</v>
      </c>
      <c r="N80" s="159">
        <v>1.6381704125109346</v>
      </c>
      <c r="O80" s="159">
        <v>1.6304921437421152</v>
      </c>
      <c r="P80" s="159">
        <v>1.6311870987004324</v>
      </c>
      <c r="Q80" s="159">
        <v>1.631885099861637</v>
      </c>
      <c r="R80" s="160">
        <v>1.6325857795071888</v>
      </c>
    </row>
    <row r="81" spans="3:18" ht="16" x14ac:dyDescent="0.2">
      <c r="C81" s="24" t="s">
        <v>11</v>
      </c>
      <c r="D81" s="158">
        <v>1.5384403921269905</v>
      </c>
      <c r="E81" s="159">
        <v>1.5336305050701657</v>
      </c>
      <c r="F81" s="159">
        <v>1.5290747960243773</v>
      </c>
      <c r="G81" s="159">
        <v>1.5247536356272953</v>
      </c>
      <c r="H81" s="159">
        <v>1.5206493650095469</v>
      </c>
      <c r="I81" s="159">
        <v>1.5167460545882459</v>
      </c>
      <c r="J81" s="159">
        <v>1.5167460545882459</v>
      </c>
      <c r="K81" s="159">
        <v>1.5047932914405135</v>
      </c>
      <c r="L81" s="159">
        <v>1.4978606440371705</v>
      </c>
      <c r="M81" s="159">
        <v>1.4901293284603594</v>
      </c>
      <c r="N81" s="159">
        <v>1.484717339784642</v>
      </c>
      <c r="O81" s="159">
        <v>1.4788853708640992</v>
      </c>
      <c r="P81" s="159">
        <v>1.4794132184610134</v>
      </c>
      <c r="Q81" s="159">
        <v>1.4799433797774786</v>
      </c>
      <c r="R81" s="160">
        <v>1.4804755755157557</v>
      </c>
    </row>
    <row r="82" spans="3:18" ht="16" x14ac:dyDescent="0.2">
      <c r="C82" s="24" t="s">
        <v>12</v>
      </c>
      <c r="D82" s="158">
        <v>1.7124125676570066</v>
      </c>
      <c r="E82" s="159">
        <v>1.7061641860477981</v>
      </c>
      <c r="F82" s="159">
        <v>1.7001860764127081</v>
      </c>
      <c r="G82" s="159">
        <v>1.694461074169932</v>
      </c>
      <c r="H82" s="159">
        <v>1.6889734380700576</v>
      </c>
      <c r="I82" s="159">
        <v>1.6837087056593174</v>
      </c>
      <c r="J82" s="159">
        <v>1.6837087056593174</v>
      </c>
      <c r="K82" s="159">
        <v>1.6678939584576187</v>
      </c>
      <c r="L82" s="159">
        <v>1.65872134583514</v>
      </c>
      <c r="M82" s="159">
        <v>1.6484920122599138</v>
      </c>
      <c r="N82" s="159">
        <v>1.6413313890879266</v>
      </c>
      <c r="O82" s="159">
        <v>1.6336150884278529</v>
      </c>
      <c r="P82" s="159">
        <v>1.6343134856271488</v>
      </c>
      <c r="Q82" s="159">
        <v>1.6350149441177411</v>
      </c>
      <c r="R82" s="160">
        <v>1.6357190943597104</v>
      </c>
    </row>
    <row r="83" spans="3:18" ht="17" thickBot="1" x14ac:dyDescent="0.25">
      <c r="C83" s="25" t="s">
        <v>13</v>
      </c>
      <c r="D83" s="161">
        <v>1.5788035894729133</v>
      </c>
      <c r="E83" s="162">
        <v>1.5739053697816814</v>
      </c>
      <c r="F83" s="162">
        <v>1.5691285500384888</v>
      </c>
      <c r="G83" s="162">
        <v>1.5644686722317991</v>
      </c>
      <c r="H83" s="162">
        <v>1.5599214939848878</v>
      </c>
      <c r="I83" s="162">
        <v>1.5554829756737525</v>
      </c>
      <c r="J83" s="162">
        <v>1.5554829756737525</v>
      </c>
      <c r="K83" s="162">
        <v>1.5426341955391534</v>
      </c>
      <c r="L83" s="162">
        <v>1.5351818549267522</v>
      </c>
      <c r="M83" s="162">
        <v>1.5268709754447565</v>
      </c>
      <c r="N83" s="162">
        <v>1.5210532869550095</v>
      </c>
      <c r="O83" s="162">
        <v>1.514784135170965</v>
      </c>
      <c r="P83" s="162">
        <v>1.5153515518957423</v>
      </c>
      <c r="Q83" s="162">
        <v>1.515921455783817</v>
      </c>
      <c r="R83" s="163">
        <v>1.5164935466004075</v>
      </c>
    </row>
    <row r="84" spans="3:18" ht="18" customHeight="1" thickTop="1" x14ac:dyDescent="0.2">
      <c r="C84" s="131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55"/>
      <c r="Q84" s="155"/>
      <c r="R84" s="155"/>
    </row>
    <row r="85" spans="3:18" ht="14" thickBot="1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</row>
    <row r="86" spans="3:18" ht="17" thickTop="1" x14ac:dyDescent="0.2">
      <c r="C86" s="32" t="s">
        <v>147</v>
      </c>
      <c r="D86" s="34"/>
      <c r="E86" s="33"/>
      <c r="F86" s="33"/>
      <c r="G86" s="33"/>
      <c r="H86" s="33"/>
      <c r="I86" s="34"/>
      <c r="J86" s="34"/>
      <c r="K86" s="34"/>
      <c r="L86" s="34"/>
      <c r="M86" s="34"/>
      <c r="N86" s="34"/>
      <c r="O86" s="34"/>
      <c r="P86" s="34"/>
      <c r="Q86" s="34"/>
      <c r="R86" s="35"/>
    </row>
    <row r="87" spans="3:18" ht="14" thickBot="1" x14ac:dyDescent="0.2">
      <c r="C87" s="18"/>
      <c r="D87" s="65" t="s">
        <v>25</v>
      </c>
      <c r="E87" s="65" t="s">
        <v>37</v>
      </c>
      <c r="F87" s="65" t="s">
        <v>38</v>
      </c>
      <c r="G87" s="37" t="s">
        <v>177</v>
      </c>
      <c r="H87" s="37" t="s">
        <v>178</v>
      </c>
      <c r="I87" s="65" t="s">
        <v>26</v>
      </c>
      <c r="J87" s="65"/>
      <c r="K87" s="65" t="s">
        <v>27</v>
      </c>
      <c r="L87" s="65" t="s">
        <v>28</v>
      </c>
      <c r="M87" s="65" t="s">
        <v>29</v>
      </c>
      <c r="N87" s="65" t="s">
        <v>30</v>
      </c>
      <c r="O87" s="65" t="s">
        <v>31</v>
      </c>
      <c r="P87" s="37" t="s">
        <v>174</v>
      </c>
      <c r="Q87" s="37" t="s">
        <v>175</v>
      </c>
      <c r="R87" s="38" t="s">
        <v>176</v>
      </c>
    </row>
    <row r="88" spans="3:18" ht="15" thickTop="1" thickBot="1" x14ac:dyDescent="0.2">
      <c r="C88" s="70"/>
      <c r="D88" s="71" t="s">
        <v>39</v>
      </c>
      <c r="E88" s="71" t="s">
        <v>39</v>
      </c>
      <c r="F88" s="71" t="s">
        <v>39</v>
      </c>
      <c r="G88" s="65" t="s">
        <v>39</v>
      </c>
      <c r="H88" s="65" t="s">
        <v>39</v>
      </c>
      <c r="I88" s="71" t="s">
        <v>39</v>
      </c>
      <c r="J88" s="71"/>
      <c r="K88" s="71" t="s">
        <v>32</v>
      </c>
      <c r="L88" s="71" t="s">
        <v>32</v>
      </c>
      <c r="M88" s="71" t="s">
        <v>32</v>
      </c>
      <c r="N88" s="71" t="s">
        <v>32</v>
      </c>
      <c r="O88" s="71" t="s">
        <v>32</v>
      </c>
      <c r="P88" s="65" t="s">
        <v>32</v>
      </c>
      <c r="Q88" s="65" t="s">
        <v>32</v>
      </c>
      <c r="R88" s="66" t="s">
        <v>32</v>
      </c>
    </row>
    <row r="89" spans="3:18" ht="17" thickTop="1" x14ac:dyDescent="0.2">
      <c r="C89" s="24" t="s">
        <v>0</v>
      </c>
      <c r="D89" s="153">
        <f>IF(NOT($C$4),D70,D10)</f>
        <v>1.6587105725502904</v>
      </c>
      <c r="E89" s="156">
        <f t="shared" ref="E89:O89" si="43">IF(NOT($C$4),E70,E10)</f>
        <v>1.6529843153556174</v>
      </c>
      <c r="F89" s="156">
        <f t="shared" si="43"/>
        <v>1.6474792901645228</v>
      </c>
      <c r="G89" s="156">
        <f t="shared" ref="G89:H89" si="44">IF(NOT($C$4),G70,G10)</f>
        <v>1.6421829191126873</v>
      </c>
      <c r="H89" s="156">
        <f t="shared" si="44"/>
        <v>1.6370835600671683</v>
      </c>
      <c r="I89" s="156">
        <f t="shared" si="43"/>
        <v>1.6321704211979837</v>
      </c>
      <c r="J89" s="156">
        <f t="shared" ref="J89" si="45">IF(NOT($C$4),J70,J10)</f>
        <v>1.6291181189432222</v>
      </c>
      <c r="K89" s="156">
        <f t="shared" si="43"/>
        <v>1.6175477970937659</v>
      </c>
      <c r="L89" s="156">
        <f t="shared" si="43"/>
        <v>1.6090666203337793</v>
      </c>
      <c r="M89" s="156">
        <f t="shared" si="43"/>
        <v>1.5996083787444912</v>
      </c>
      <c r="N89" s="156">
        <f t="shared" si="43"/>
        <v>1.5929875267219764</v>
      </c>
      <c r="O89" s="156">
        <f t="shared" si="43"/>
        <v>1.5858528844423163</v>
      </c>
      <c r="P89" s="156">
        <f t="shared" ref="P89:R89" si="46">IF(NOT($C$4),P70,P10)</f>
        <v>1.5864986361315778</v>
      </c>
      <c r="Q89" s="156">
        <f t="shared" si="46"/>
        <v>1.5871472183505546</v>
      </c>
      <c r="R89" s="157">
        <f t="shared" si="46"/>
        <v>1.5877982894154219</v>
      </c>
    </row>
    <row r="90" spans="3:18" ht="16" x14ac:dyDescent="0.2">
      <c r="C90" s="24" t="s">
        <v>1</v>
      </c>
      <c r="D90" s="158">
        <f t="shared" ref="D90:O90" si="47">IF(NOT($C$4),D71,D11)</f>
        <v>1.5135908407438097</v>
      </c>
      <c r="E90" s="159">
        <f t="shared" si="47"/>
        <v>1.5085119673436074</v>
      </c>
      <c r="F90" s="159">
        <f t="shared" si="47"/>
        <v>1.5037521741653568</v>
      </c>
      <c r="G90" s="159">
        <f t="shared" ref="G90:H90" si="48">IF(NOT($C$4),G71,G11)</f>
        <v>1.4992823076720685</v>
      </c>
      <c r="H90" s="159">
        <f t="shared" si="48"/>
        <v>1.4950766609354895</v>
      </c>
      <c r="I90" s="159">
        <f t="shared" si="47"/>
        <v>1.4911124789235861</v>
      </c>
      <c r="J90" s="159">
        <f t="shared" ref="J90" si="49">IF(NOT($C$4),J71,J11)</f>
        <v>1.4873763791759802</v>
      </c>
      <c r="K90" s="159">
        <f t="shared" si="47"/>
        <v>1.4737452590924041</v>
      </c>
      <c r="L90" s="159">
        <f t="shared" si="47"/>
        <v>1.4617308919075762</v>
      </c>
      <c r="M90" s="159">
        <f t="shared" si="47"/>
        <v>1.4519767813777804</v>
      </c>
      <c r="N90" s="159">
        <f t="shared" si="47"/>
        <v>1.444502753836568</v>
      </c>
      <c r="O90" s="159">
        <f t="shared" si="47"/>
        <v>1.436636988405394</v>
      </c>
      <c r="P90" s="159">
        <f t="shared" ref="P90:R90" si="50">IF(NOT($C$4),P71,P11)</f>
        <v>1.4353470027856461</v>
      </c>
      <c r="Q90" s="159">
        <f t="shared" si="50"/>
        <v>1.4339665102458945</v>
      </c>
      <c r="R90" s="160">
        <f t="shared" si="50"/>
        <v>1.4323869252522163</v>
      </c>
    </row>
    <row r="91" spans="3:18" ht="16" x14ac:dyDescent="0.2">
      <c r="C91" s="24" t="s">
        <v>2</v>
      </c>
      <c r="D91" s="158">
        <f t="shared" ref="D91:O91" si="51">IF(NOT($C$4),D72,D12)</f>
        <v>1.5269744114686463</v>
      </c>
      <c r="E91" s="159">
        <f t="shared" si="51"/>
        <v>1.5222894640869806</v>
      </c>
      <c r="F91" s="159">
        <f t="shared" si="51"/>
        <v>1.5178403053062621</v>
      </c>
      <c r="G91" s="159">
        <f t="shared" ref="G91:H91" si="52">IF(NOT($C$4),G72,G12)</f>
        <v>1.5136095715734068</v>
      </c>
      <c r="H91" s="159">
        <f t="shared" si="52"/>
        <v>1.5095815633660368</v>
      </c>
      <c r="I91" s="159">
        <f t="shared" si="51"/>
        <v>1.505742050516822</v>
      </c>
      <c r="J91" s="159">
        <f t="shared" ref="J91" si="53">IF(NOT($C$4),J72,J12)</f>
        <v>1.5032716698741493</v>
      </c>
      <c r="K91" s="159">
        <f t="shared" si="51"/>
        <v>1.4940438190741208</v>
      </c>
      <c r="L91" s="159">
        <f t="shared" si="51"/>
        <v>1.4872588010132268</v>
      </c>
      <c r="M91" s="159">
        <f t="shared" si="51"/>
        <v>1.4796921222581763</v>
      </c>
      <c r="N91" s="159">
        <f t="shared" si="51"/>
        <v>1.4743953808008814</v>
      </c>
      <c r="O91" s="159">
        <f t="shared" si="51"/>
        <v>1.4686876024942317</v>
      </c>
      <c r="P91" s="159">
        <f t="shared" ref="P91:R91" si="54">IF(NOT($C$4),P72,P12)</f>
        <v>1.4692042096819469</v>
      </c>
      <c r="Q91" s="159">
        <f t="shared" si="54"/>
        <v>1.4697230813190167</v>
      </c>
      <c r="R91" s="160">
        <f t="shared" si="54"/>
        <v>1.470243944055293</v>
      </c>
    </row>
    <row r="92" spans="3:18" ht="16" x14ac:dyDescent="0.2">
      <c r="C92" s="24" t="s">
        <v>3</v>
      </c>
      <c r="D92" s="158">
        <f t="shared" ref="D92:O92" si="55">IF(NOT($C$4),D73,D13)</f>
        <v>1.7024241867236372</v>
      </c>
      <c r="E92" s="159">
        <f t="shared" si="55"/>
        <v>1.6962470503653453</v>
      </c>
      <c r="F92" s="159">
        <f t="shared" si="55"/>
        <v>1.690345643326137</v>
      </c>
      <c r="G92" s="159">
        <f t="shared" ref="G92:H92" si="56">IF(NOT($C$4),G73,G13)</f>
        <v>1.6847019070204667</v>
      </c>
      <c r="H92" s="159">
        <f t="shared" si="56"/>
        <v>1.6792993261403786</v>
      </c>
      <c r="I92" s="159">
        <f t="shared" si="55"/>
        <v>1.6741227672443819</v>
      </c>
      <c r="J92" s="159">
        <f t="shared" ref="J92" si="57">IF(NOT($C$4),J73,J13)</f>
        <v>1.6708476312381058</v>
      </c>
      <c r="K92" s="159">
        <f t="shared" si="55"/>
        <v>1.6585297507175571</v>
      </c>
      <c r="L92" s="159">
        <f t="shared" si="55"/>
        <v>1.6494857427171572</v>
      </c>
      <c r="M92" s="159">
        <f t="shared" si="55"/>
        <v>1.6393998295209118</v>
      </c>
      <c r="N92" s="159">
        <f t="shared" si="55"/>
        <v>1.6323396018714194</v>
      </c>
      <c r="O92" s="159">
        <f t="shared" si="55"/>
        <v>1.6247314876104753</v>
      </c>
      <c r="P92" s="159">
        <f t="shared" ref="P92:R92" si="58">IF(NOT($C$4),P73,P13)</f>
        <v>1.6254200929313203</v>
      </c>
      <c r="Q92" s="159">
        <f t="shared" si="58"/>
        <v>1.6261117166226247</v>
      </c>
      <c r="R92" s="160">
        <f t="shared" si="58"/>
        <v>1.6268059943256039</v>
      </c>
    </row>
    <row r="93" spans="3:18" ht="16" x14ac:dyDescent="0.2">
      <c r="C93" s="24" t="s">
        <v>4</v>
      </c>
      <c r="D93" s="158">
        <f t="shared" ref="D93:O93" si="59">IF(NOT($C$4),D74,D14)</f>
        <v>1.7238662822313953</v>
      </c>
      <c r="E93" s="159">
        <f t="shared" si="59"/>
        <v>1.717747090439175</v>
      </c>
      <c r="F93" s="159">
        <f t="shared" si="59"/>
        <v>1.7117761594206748</v>
      </c>
      <c r="G93" s="159">
        <f t="shared" ref="G93:H93" si="60">IF(NOT($C$4),G74,G14)</f>
        <v>1.7059481653957682</v>
      </c>
      <c r="H93" s="159">
        <f t="shared" si="60"/>
        <v>1.7002580364594722</v>
      </c>
      <c r="I93" s="159">
        <f t="shared" si="59"/>
        <v>1.6947009378603877</v>
      </c>
      <c r="J93" s="159">
        <f t="shared" ref="J93" si="61">IF(NOT($C$4),J74,J14)</f>
        <v>1.6914039113914165</v>
      </c>
      <c r="K93" s="159">
        <f t="shared" si="59"/>
        <v>1.6786319312467441</v>
      </c>
      <c r="L93" s="159">
        <f t="shared" si="59"/>
        <v>1.6693118472128263</v>
      </c>
      <c r="M93" s="159">
        <f t="shared" si="59"/>
        <v>1.6589180529411223</v>
      </c>
      <c r="N93" s="159">
        <f t="shared" si="59"/>
        <v>1.6516423058399534</v>
      </c>
      <c r="O93" s="159">
        <f t="shared" si="59"/>
        <v>1.6438019474226997</v>
      </c>
      <c r="P93" s="159">
        <f t="shared" ref="P93:R93" si="62">IF(NOT($C$4),P74,P14)</f>
        <v>1.6445115730064224</v>
      </c>
      <c r="Q93" s="159">
        <f t="shared" si="62"/>
        <v>1.6452243090989294</v>
      </c>
      <c r="R93" s="160">
        <f t="shared" si="62"/>
        <v>1.6459397802190741</v>
      </c>
    </row>
    <row r="94" spans="3:18" ht="16" x14ac:dyDescent="0.2">
      <c r="C94" s="24" t="s">
        <v>5</v>
      </c>
      <c r="D94" s="158">
        <f t="shared" ref="D94:O94" si="63">IF(NOT($C$4),D75,D15)</f>
        <v>1.6067598207277274</v>
      </c>
      <c r="E94" s="159">
        <f t="shared" si="63"/>
        <v>1.6016043351929552</v>
      </c>
      <c r="F94" s="159">
        <f t="shared" si="63"/>
        <v>1.5965872497498168</v>
      </c>
      <c r="G94" s="159">
        <f t="shared" ref="G94:H94" si="64">IF(NOT($C$4),G75,G15)</f>
        <v>1.5917030651433612</v>
      </c>
      <c r="H94" s="159">
        <f t="shared" si="64"/>
        <v>1.5869465696569192</v>
      </c>
      <c r="I94" s="159">
        <f t="shared" si="63"/>
        <v>1.5823128205615311</v>
      </c>
      <c r="J94" s="159">
        <f t="shared" ref="J94" si="65">IF(NOT($C$4),J75,J15)</f>
        <v>1.5795458360944732</v>
      </c>
      <c r="K94" s="159">
        <f t="shared" si="63"/>
        <v>1.5688434439494425</v>
      </c>
      <c r="L94" s="159">
        <f t="shared" si="63"/>
        <v>1.5610311550552078</v>
      </c>
      <c r="M94" s="159">
        <f t="shared" si="63"/>
        <v>1.5523188598374507</v>
      </c>
      <c r="N94" s="159">
        <f t="shared" si="63"/>
        <v>1.5462201768139001</v>
      </c>
      <c r="O94" s="159">
        <f t="shared" si="63"/>
        <v>1.5396482248049883</v>
      </c>
      <c r="P94" s="159">
        <f t="shared" ref="P94:R94" si="66">IF(NOT($C$4),P75,P15)</f>
        <v>1.5402430477751039</v>
      </c>
      <c r="Q94" s="159">
        <f t="shared" si="66"/>
        <v>1.5408404780385809</v>
      </c>
      <c r="R94" s="160">
        <f t="shared" si="66"/>
        <v>1.5414402008592887</v>
      </c>
    </row>
    <row r="95" spans="3:18" ht="16" x14ac:dyDescent="0.2">
      <c r="C95" s="24" t="s">
        <v>6</v>
      </c>
      <c r="D95" s="158">
        <f t="shared" ref="D95:O95" si="67">IF(NOT($C$4),D76,D16)</f>
        <v>1.7031076632918158</v>
      </c>
      <c r="E95" s="159">
        <f t="shared" si="67"/>
        <v>1.6970891044351886</v>
      </c>
      <c r="F95" s="159">
        <f t="shared" si="67"/>
        <v>1.6912550396064265</v>
      </c>
      <c r="G95" s="159">
        <f t="shared" ref="G95:H95" si="68">IF(NOT($C$4),G76,G16)</f>
        <v>1.6855971135950134</v>
      </c>
      <c r="H95" s="159">
        <f t="shared" si="68"/>
        <v>1.680107468199395</v>
      </c>
      <c r="I95" s="159">
        <f t="shared" si="67"/>
        <v>1.6747787058128365</v>
      </c>
      <c r="J95" s="159">
        <f t="shared" ref="J95" si="69">IF(NOT($C$4),J76,J16)</f>
        <v>1.6715513126454244</v>
      </c>
      <c r="K95" s="159">
        <f t="shared" si="67"/>
        <v>1.6591705168850259</v>
      </c>
      <c r="L95" s="159">
        <f t="shared" si="67"/>
        <v>1.6501177088352148</v>
      </c>
      <c r="M95" s="159">
        <f t="shared" si="67"/>
        <v>1.6400219817893489</v>
      </c>
      <c r="N95" s="159">
        <f t="shared" si="67"/>
        <v>1.6329548843590951</v>
      </c>
      <c r="O95" s="159">
        <f t="shared" si="67"/>
        <v>1.6253393672098053</v>
      </c>
      <c r="P95" s="159">
        <f t="shared" ref="P95:R95" si="70">IF(NOT($C$4),P76,P16)</f>
        <v>1.626028642561111</v>
      </c>
      <c r="Q95" s="159">
        <f t="shared" si="70"/>
        <v>1.6267209392198274</v>
      </c>
      <c r="R95" s="160">
        <f t="shared" si="70"/>
        <v>1.6274158924726396</v>
      </c>
    </row>
    <row r="96" spans="3:18" ht="16" x14ac:dyDescent="0.2">
      <c r="C96" s="24" t="s">
        <v>7</v>
      </c>
      <c r="D96" s="158">
        <f t="shared" ref="D96:O96" si="71">IF(NOT($C$4),D77,D17)</f>
        <v>1.4968686379367222</v>
      </c>
      <c r="E96" s="159">
        <f t="shared" si="71"/>
        <v>1.4926416840847587</v>
      </c>
      <c r="F96" s="159">
        <f t="shared" si="71"/>
        <v>1.488530867347593</v>
      </c>
      <c r="G96" s="159">
        <f t="shared" ref="G96:H96" si="72">IF(NOT($C$4),G77,G17)</f>
        <v>1.4845314662226945</v>
      </c>
      <c r="H96" s="159">
        <f t="shared" si="72"/>
        <v>1.4806390117197112</v>
      </c>
      <c r="I96" s="159">
        <f t="shared" si="71"/>
        <v>1.4768492707023391</v>
      </c>
      <c r="J96" s="159">
        <f t="shared" ref="J96" si="73">IF(NOT($C$4),J77,J17)</f>
        <v>1.474588826155373</v>
      </c>
      <c r="K96" s="159">
        <f t="shared" si="71"/>
        <v>1.4658193531262569</v>
      </c>
      <c r="L96" s="159">
        <f t="shared" si="71"/>
        <v>1.4594219596116518</v>
      </c>
      <c r="M96" s="159">
        <f t="shared" si="71"/>
        <v>1.4522875612710402</v>
      </c>
      <c r="N96" s="159">
        <f t="shared" si="71"/>
        <v>1.4472934198931802</v>
      </c>
      <c r="O96" s="159">
        <f t="shared" si="71"/>
        <v>1.4419117239869859</v>
      </c>
      <c r="P96" s="159">
        <f t="shared" ref="P96:R96" si="74">IF(NOT($C$4),P77,P17)</f>
        <v>1.4423988176752602</v>
      </c>
      <c r="Q96" s="159">
        <f t="shared" si="74"/>
        <v>1.4428880464460776</v>
      </c>
      <c r="R96" s="160">
        <f t="shared" si="74"/>
        <v>1.4433791525656408</v>
      </c>
    </row>
    <row r="97" spans="3:18" ht="16" x14ac:dyDescent="0.2">
      <c r="C97" s="24" t="s">
        <v>8</v>
      </c>
      <c r="D97" s="158">
        <f t="shared" ref="D97:O97" si="75">IF(NOT($C$4),D78,D18)</f>
        <v>1.5761670451525365</v>
      </c>
      <c r="E97" s="159">
        <f t="shared" si="75"/>
        <v>1.5711910280792518</v>
      </c>
      <c r="F97" s="159">
        <f t="shared" si="75"/>
        <v>1.566386846243091</v>
      </c>
      <c r="G97" s="159">
        <f t="shared" ref="G97:H97" si="76">IF(NOT($C$4),G78,G18)</f>
        <v>1.5617457498229335</v>
      </c>
      <c r="H97" s="159">
        <f t="shared" si="76"/>
        <v>1.557259573135469</v>
      </c>
      <c r="I97" s="159">
        <f t="shared" si="75"/>
        <v>1.5529206866891367</v>
      </c>
      <c r="J97" s="159">
        <f t="shared" ref="J97" si="77">IF(NOT($C$4),J78,J18)</f>
        <v>1.5499660239346154</v>
      </c>
      <c r="K97" s="159">
        <f t="shared" si="75"/>
        <v>1.5386503657633024</v>
      </c>
      <c r="L97" s="159">
        <f t="shared" si="75"/>
        <v>1.5301113010896781</v>
      </c>
      <c r="M97" s="159">
        <f t="shared" si="75"/>
        <v>1.5210614518548773</v>
      </c>
      <c r="N97" s="159">
        <f t="shared" si="75"/>
        <v>1.5144670961173918</v>
      </c>
      <c r="O97" s="159">
        <f t="shared" si="75"/>
        <v>1.507303107903101</v>
      </c>
      <c r="P97" s="159">
        <f t="shared" ref="P97:R97" si="78">IF(NOT($C$4),P78,P18)</f>
        <v>1.5069859412205866</v>
      </c>
      <c r="Q97" s="159">
        <f t="shared" si="78"/>
        <v>1.506555630578859</v>
      </c>
      <c r="R97" s="160">
        <f t="shared" si="78"/>
        <v>1.5060216381434757</v>
      </c>
    </row>
    <row r="98" spans="3:18" ht="16" x14ac:dyDescent="0.2">
      <c r="C98" s="24" t="s">
        <v>9</v>
      </c>
      <c r="D98" s="158">
        <f t="shared" ref="D98:O98" si="79">IF(NOT($C$4),D79,D19)</f>
        <v>1.5223311720305397</v>
      </c>
      <c r="E98" s="159">
        <f t="shared" si="79"/>
        <v>1.5178596871888785</v>
      </c>
      <c r="F98" s="159">
        <f t="shared" si="79"/>
        <v>1.5135254583880413</v>
      </c>
      <c r="G98" s="159">
        <f t="shared" ref="G98:H98" si="80">IF(NOT($C$4),G79,G19)</f>
        <v>1.5093222613706203</v>
      </c>
      <c r="H98" s="159">
        <f t="shared" si="80"/>
        <v>1.5052442426168775</v>
      </c>
      <c r="I98" s="159">
        <f t="shared" si="79"/>
        <v>1.5012858921467709</v>
      </c>
      <c r="J98" s="159">
        <f t="shared" ref="J98" si="81">IF(NOT($C$4),J79,J19)</f>
        <v>1.4988852765423197</v>
      </c>
      <c r="K98" s="159">
        <f t="shared" si="79"/>
        <v>1.4896907353285842</v>
      </c>
      <c r="L98" s="159">
        <f t="shared" si="79"/>
        <v>1.4829655009360487</v>
      </c>
      <c r="M98" s="159">
        <f t="shared" si="79"/>
        <v>1.4754654931624469</v>
      </c>
      <c r="N98" s="159">
        <f t="shared" si="79"/>
        <v>1.4702154219765973</v>
      </c>
      <c r="O98" s="159">
        <f t="shared" si="79"/>
        <v>1.4645579356400329</v>
      </c>
      <c r="P98" s="159">
        <f t="shared" ref="P98:R98" si="82">IF(NOT($C$4),P79,P19)</f>
        <v>1.4650699909352545</v>
      </c>
      <c r="Q98" s="159">
        <f t="shared" si="82"/>
        <v>1.4655842907274756</v>
      </c>
      <c r="R98" s="160">
        <f t="shared" si="82"/>
        <v>1.4661005640750713</v>
      </c>
    </row>
    <row r="99" spans="3:18" ht="16" x14ac:dyDescent="0.2">
      <c r="C99" s="24" t="s">
        <v>10</v>
      </c>
      <c r="D99" s="158">
        <f t="shared" ref="D99:O99" si="83">IF(NOT($C$4),D80,D20)</f>
        <v>1.708901248114826</v>
      </c>
      <c r="E99" s="159">
        <f t="shared" si="83"/>
        <v>1.7031266330353896</v>
      </c>
      <c r="F99" s="159">
        <f t="shared" si="83"/>
        <v>1.6973833395533644</v>
      </c>
      <c r="G99" s="159">
        <f t="shared" ref="G99:H99" si="84">IF(NOT($C$4),G80,G20)</f>
        <v>1.6916711135247808</v>
      </c>
      <c r="H99" s="159">
        <f t="shared" si="84"/>
        <v>1.6859897035477569</v>
      </c>
      <c r="I99" s="159">
        <f t="shared" si="83"/>
        <v>1.6803388609256171</v>
      </c>
      <c r="J99" s="159">
        <f t="shared" ref="J99" si="85">IF(NOT($C$4),J80,J20)</f>
        <v>1.6771569275095033</v>
      </c>
      <c r="K99" s="159">
        <f t="shared" si="83"/>
        <v>1.6646020610165759</v>
      </c>
      <c r="L99" s="159">
        <f t="shared" si="83"/>
        <v>1.6554746581158462</v>
      </c>
      <c r="M99" s="159">
        <f t="shared" si="83"/>
        <v>1.6452957425996451</v>
      </c>
      <c r="N99" s="159">
        <f t="shared" si="83"/>
        <v>1.6381704125109346</v>
      </c>
      <c r="O99" s="159">
        <f t="shared" si="83"/>
        <v>1.6304921437421152</v>
      </c>
      <c r="P99" s="159">
        <f t="shared" ref="P99:R99" si="86">IF(NOT($C$4),P80,P20)</f>
        <v>1.6311870987004324</v>
      </c>
      <c r="Q99" s="159">
        <f t="shared" si="86"/>
        <v>1.631885099861637</v>
      </c>
      <c r="R99" s="160">
        <f t="shared" si="86"/>
        <v>1.6325857795071888</v>
      </c>
    </row>
    <row r="100" spans="3:18" ht="16" x14ac:dyDescent="0.2">
      <c r="C100" s="24" t="s">
        <v>11</v>
      </c>
      <c r="D100" s="158">
        <f t="shared" ref="D100:O100" si="87">IF(NOT($C$4),D81,D21)</f>
        <v>1.5384403921269905</v>
      </c>
      <c r="E100" s="159">
        <f t="shared" si="87"/>
        <v>1.5336305050701657</v>
      </c>
      <c r="F100" s="159">
        <f t="shared" si="87"/>
        <v>1.5290747960243773</v>
      </c>
      <c r="G100" s="159">
        <f t="shared" ref="G100:H100" si="88">IF(NOT($C$4),G81,G21)</f>
        <v>1.5247536356272953</v>
      </c>
      <c r="H100" s="159">
        <f t="shared" si="88"/>
        <v>1.5206493650095469</v>
      </c>
      <c r="I100" s="159">
        <f t="shared" si="87"/>
        <v>1.5167460545882459</v>
      </c>
      <c r="J100" s="159">
        <f t="shared" ref="J100" si="89">IF(NOT($C$4),J81,J21)</f>
        <v>1.514204055914502</v>
      </c>
      <c r="K100" s="159">
        <f t="shared" si="87"/>
        <v>1.5047932914405135</v>
      </c>
      <c r="L100" s="159">
        <f t="shared" si="87"/>
        <v>1.4978606440371705</v>
      </c>
      <c r="M100" s="159">
        <f t="shared" si="87"/>
        <v>1.4901293284603594</v>
      </c>
      <c r="N100" s="159">
        <f t="shared" si="87"/>
        <v>1.484717339784642</v>
      </c>
      <c r="O100" s="159">
        <f t="shared" si="87"/>
        <v>1.4788853708640992</v>
      </c>
      <c r="P100" s="159">
        <f t="shared" ref="P100:R100" si="90">IF(NOT($C$4),P81,P21)</f>
        <v>1.4794132184610134</v>
      </c>
      <c r="Q100" s="159">
        <f t="shared" si="90"/>
        <v>1.4799433797774786</v>
      </c>
      <c r="R100" s="160">
        <f t="shared" si="90"/>
        <v>1.4804755755157557</v>
      </c>
    </row>
    <row r="101" spans="3:18" ht="16" x14ac:dyDescent="0.2">
      <c r="C101" s="24" t="s">
        <v>12</v>
      </c>
      <c r="D101" s="158">
        <f t="shared" ref="D101:O101" si="91">IF(NOT($C$4),D82,D22)</f>
        <v>1.7124125676570066</v>
      </c>
      <c r="E101" s="159">
        <f t="shared" si="91"/>
        <v>1.7061641860477981</v>
      </c>
      <c r="F101" s="159">
        <f t="shared" si="91"/>
        <v>1.7001860764127081</v>
      </c>
      <c r="G101" s="159">
        <f t="shared" ref="G101:H101" si="92">IF(NOT($C$4),G82,G22)</f>
        <v>1.694461074169932</v>
      </c>
      <c r="H101" s="159">
        <f t="shared" si="92"/>
        <v>1.6889734380700576</v>
      </c>
      <c r="I101" s="159">
        <f t="shared" si="91"/>
        <v>1.6837087056593174</v>
      </c>
      <c r="J101" s="159">
        <f t="shared" ref="J101" si="93">IF(NOT($C$4),J82,J22)</f>
        <v>1.6803968131196081</v>
      </c>
      <c r="K101" s="159">
        <f t="shared" si="91"/>
        <v>1.6678939584576187</v>
      </c>
      <c r="L101" s="159">
        <f t="shared" si="91"/>
        <v>1.65872134583514</v>
      </c>
      <c r="M101" s="159">
        <f t="shared" si="91"/>
        <v>1.6484920122599138</v>
      </c>
      <c r="N101" s="159">
        <f t="shared" si="91"/>
        <v>1.6413313890879266</v>
      </c>
      <c r="O101" s="159">
        <f t="shared" si="91"/>
        <v>1.6336150884278529</v>
      </c>
      <c r="P101" s="159">
        <f t="shared" ref="P101:R101" si="94">IF(NOT($C$4),P82,P22)</f>
        <v>1.6343134856271488</v>
      </c>
      <c r="Q101" s="159">
        <f t="shared" si="94"/>
        <v>1.6350149441177411</v>
      </c>
      <c r="R101" s="160">
        <f t="shared" si="94"/>
        <v>1.6357190943597104</v>
      </c>
    </row>
    <row r="102" spans="3:18" ht="17" thickBot="1" x14ac:dyDescent="0.25">
      <c r="C102" s="25" t="s">
        <v>13</v>
      </c>
      <c r="D102" s="161">
        <f t="shared" ref="D102:O102" si="95">IF(NOT($C$4),D83,D23)</f>
        <v>1.5788035894729133</v>
      </c>
      <c r="E102" s="162">
        <f t="shared" si="95"/>
        <v>1.5739053697816814</v>
      </c>
      <c r="F102" s="162">
        <f t="shared" si="95"/>
        <v>1.5691285500384888</v>
      </c>
      <c r="G102" s="162">
        <f t="shared" ref="G102:H102" si="96">IF(NOT($C$4),G83,G23)</f>
        <v>1.5644686722317991</v>
      </c>
      <c r="H102" s="162">
        <f t="shared" si="96"/>
        <v>1.5599214939848878</v>
      </c>
      <c r="I102" s="162">
        <f t="shared" si="95"/>
        <v>1.5554829756737525</v>
      </c>
      <c r="J102" s="162">
        <f t="shared" ref="J102" si="97">IF(NOT($C$4),J83,J23)</f>
        <v>1.5528662210113169</v>
      </c>
      <c r="K102" s="162">
        <f t="shared" si="95"/>
        <v>1.5426341955391534</v>
      </c>
      <c r="L102" s="162">
        <f t="shared" si="95"/>
        <v>1.5351818549267522</v>
      </c>
      <c r="M102" s="162">
        <f t="shared" si="95"/>
        <v>1.5268709754447565</v>
      </c>
      <c r="N102" s="162">
        <f t="shared" si="95"/>
        <v>1.5210532869550095</v>
      </c>
      <c r="O102" s="162">
        <f t="shared" si="95"/>
        <v>1.514784135170965</v>
      </c>
      <c r="P102" s="162">
        <f t="shared" ref="P102:R102" si="98">IF(NOT($C$4),P83,P23)</f>
        <v>1.5153515518957423</v>
      </c>
      <c r="Q102" s="162">
        <f t="shared" si="98"/>
        <v>1.515921455783817</v>
      </c>
      <c r="R102" s="163">
        <f t="shared" si="98"/>
        <v>1.5164935466004075</v>
      </c>
    </row>
    <row r="103" spans="3:18" ht="17" thickTop="1" x14ac:dyDescent="0.2">
      <c r="C103" s="128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55"/>
      <c r="O103" s="155"/>
      <c r="P103" s="155"/>
    </row>
    <row r="104" spans="3:18" ht="18" customHeight="1" x14ac:dyDescent="0.2">
      <c r="C104" s="131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</row>
    <row r="105" spans="3:18" x14ac:dyDescent="0.1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</row>
    <row r="106" spans="3:18" x14ac:dyDescent="0.1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</row>
    <row r="107" spans="3:18" ht="16" x14ac:dyDescent="0.2">
      <c r="C107" s="128"/>
      <c r="D107" s="73"/>
      <c r="E107" s="168"/>
      <c r="F107" s="168"/>
      <c r="G107" s="73"/>
      <c r="H107" s="73"/>
      <c r="I107" s="73"/>
      <c r="J107" s="73"/>
      <c r="K107" s="73"/>
      <c r="L107" s="73"/>
      <c r="M107" s="73"/>
    </row>
    <row r="108" spans="3:18" x14ac:dyDescent="0.15">
      <c r="C108" s="73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</row>
    <row r="109" spans="3:18" x14ac:dyDescent="0.15">
      <c r="C109" s="73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</row>
    <row r="110" spans="3:18" ht="16" x14ac:dyDescent="0.2">
      <c r="C110" s="128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</row>
    <row r="111" spans="3:18" ht="16" x14ac:dyDescent="0.2">
      <c r="C111" s="128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</row>
    <row r="112" spans="3:18" ht="16" x14ac:dyDescent="0.2">
      <c r="C112" s="128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</row>
    <row r="113" spans="3:13" ht="16" x14ac:dyDescent="0.2">
      <c r="C113" s="128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</row>
    <row r="114" spans="3:13" ht="16" x14ac:dyDescent="0.2">
      <c r="C114" s="128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</row>
    <row r="115" spans="3:13" ht="16" x14ac:dyDescent="0.2">
      <c r="C115" s="128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</row>
    <row r="116" spans="3:13" ht="16" x14ac:dyDescent="0.2">
      <c r="C116" s="128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</row>
    <row r="117" spans="3:13" ht="16" x14ac:dyDescent="0.2">
      <c r="C117" s="128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</row>
    <row r="118" spans="3:13" ht="16" x14ac:dyDescent="0.2">
      <c r="C118" s="128"/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</row>
    <row r="119" spans="3:13" ht="16" x14ac:dyDescent="0.2">
      <c r="C119" s="128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</row>
    <row r="120" spans="3:13" ht="16" x14ac:dyDescent="0.2">
      <c r="C120" s="128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</row>
    <row r="121" spans="3:13" ht="16" x14ac:dyDescent="0.2">
      <c r="C121" s="128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</row>
    <row r="122" spans="3:13" ht="16" x14ac:dyDescent="0.2">
      <c r="C122" s="128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</row>
    <row r="123" spans="3:13" ht="16" x14ac:dyDescent="0.2">
      <c r="C123" s="128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</row>
    <row r="124" spans="3:13" x14ac:dyDescent="0.15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</row>
    <row r="125" spans="3:13" x14ac:dyDescent="0.15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</row>
    <row r="126" spans="3:13" x14ac:dyDescent="0.15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</row>
    <row r="127" spans="3:13" x14ac:dyDescent="0.15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</row>
    <row r="128" spans="3:13" x14ac:dyDescent="0.15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</row>
    <row r="129" spans="3:13" x14ac:dyDescent="0.15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</row>
    <row r="130" spans="3:13" x14ac:dyDescent="0.15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</row>
    <row r="131" spans="3:13" x14ac:dyDescent="0.15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</row>
    <row r="132" spans="3:13" x14ac:dyDescent="0.15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</row>
    <row r="133" spans="3:13" x14ac:dyDescent="0.15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</row>
    <row r="134" spans="3:13" x14ac:dyDescent="0.15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</row>
    <row r="135" spans="3:13" x14ac:dyDescent="0.15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</row>
    <row r="136" spans="3:13" x14ac:dyDescent="0.15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</row>
    <row r="137" spans="3:13" x14ac:dyDescent="0.15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</row>
    <row r="138" spans="3:13" x14ac:dyDescent="0.15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</row>
    <row r="139" spans="3:13" x14ac:dyDescent="0.15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</row>
    <row r="140" spans="3:13" x14ac:dyDescent="0.15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</row>
    <row r="141" spans="3:13" x14ac:dyDescent="0.15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</row>
    <row r="142" spans="3:13" x14ac:dyDescent="0.15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</row>
    <row r="143" spans="3:13" x14ac:dyDescent="0.15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</row>
  </sheetData>
  <conditionalFormatting sqref="I31:N44">
    <cfRule type="expression" dxfId="4" priority="8">
      <formula>NOT($C$2)</formula>
    </cfRule>
  </conditionalFormatting>
  <conditionalFormatting sqref="I51:O64">
    <cfRule type="expression" dxfId="3" priority="7">
      <formula>NOT($C$3)</formula>
    </cfRule>
  </conditionalFormatting>
  <conditionalFormatting sqref="D70:O83">
    <cfRule type="expression" dxfId="2" priority="6">
      <formula>NOT($C$4)</formula>
    </cfRule>
  </conditionalFormatting>
  <conditionalFormatting sqref="O31:O44">
    <cfRule type="expression" dxfId="1" priority="4">
      <formula>NOT($C$2)</formula>
    </cfRule>
  </conditionalFormatting>
  <conditionalFormatting sqref="O51:O64">
    <cfRule type="expression" dxfId="0" priority="3">
      <formula>NOT($C$2)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9"/>
  <dimension ref="C3:R195"/>
  <sheetViews>
    <sheetView topLeftCell="C149" zoomScale="90" zoomScaleNormal="90" workbookViewId="0">
      <selection activeCell="J149" sqref="J149"/>
    </sheetView>
  </sheetViews>
  <sheetFormatPr baseColWidth="10" defaultColWidth="8.83203125" defaultRowHeight="13" x14ac:dyDescent="0.15"/>
  <cols>
    <col min="3" max="3" width="27.6640625" customWidth="1"/>
    <col min="4" max="18" width="17.6640625" customWidth="1"/>
  </cols>
  <sheetData>
    <row r="3" spans="3:18" ht="14" thickBot="1" x14ac:dyDescent="0.2"/>
    <row r="4" spans="3:18" ht="17" thickTop="1" x14ac:dyDescent="0.2">
      <c r="C4" s="32" t="s">
        <v>158</v>
      </c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34"/>
      <c r="Q4" s="34"/>
      <c r="R4" s="35"/>
    </row>
    <row r="5" spans="3:18" ht="14" thickBot="1" x14ac:dyDescent="0.2">
      <c r="C5" s="36"/>
      <c r="D5" s="37" t="s">
        <v>25</v>
      </c>
      <c r="E5" s="37" t="s">
        <v>37</v>
      </c>
      <c r="F5" s="37" t="s">
        <v>38</v>
      </c>
      <c r="G5" s="37" t="s">
        <v>177</v>
      </c>
      <c r="H5" s="37" t="s">
        <v>178</v>
      </c>
      <c r="I5" s="37" t="s">
        <v>26</v>
      </c>
      <c r="J5" s="37"/>
      <c r="K5" s="37" t="s">
        <v>27</v>
      </c>
      <c r="L5" s="37" t="s">
        <v>28</v>
      </c>
      <c r="M5" s="37" t="s">
        <v>29</v>
      </c>
      <c r="N5" s="37" t="s">
        <v>30</v>
      </c>
      <c r="O5" s="37" t="s">
        <v>31</v>
      </c>
      <c r="P5" s="37" t="s">
        <v>174</v>
      </c>
      <c r="Q5" s="37" t="s">
        <v>175</v>
      </c>
      <c r="R5" s="38" t="s">
        <v>176</v>
      </c>
    </row>
    <row r="6" spans="3:18" ht="15" thickTop="1" thickBot="1" x14ac:dyDescent="0.2">
      <c r="C6" s="18"/>
      <c r="D6" s="65" t="s">
        <v>39</v>
      </c>
      <c r="E6" s="65" t="s">
        <v>39</v>
      </c>
      <c r="F6" s="65" t="s">
        <v>39</v>
      </c>
      <c r="G6" s="65" t="s">
        <v>39</v>
      </c>
      <c r="H6" s="65" t="s">
        <v>39</v>
      </c>
      <c r="I6" s="65" t="s">
        <v>39</v>
      </c>
      <c r="J6" s="65"/>
      <c r="K6" s="65" t="s">
        <v>32</v>
      </c>
      <c r="L6" s="65" t="s">
        <v>32</v>
      </c>
      <c r="M6" s="65" t="s">
        <v>32</v>
      </c>
      <c r="N6" s="65" t="s">
        <v>32</v>
      </c>
      <c r="O6" s="65" t="s">
        <v>32</v>
      </c>
      <c r="P6" s="65" t="s">
        <v>32</v>
      </c>
      <c r="Q6" s="65" t="s">
        <v>32</v>
      </c>
      <c r="R6" s="66" t="s">
        <v>32</v>
      </c>
    </row>
    <row r="7" spans="3:18" ht="17" thickTop="1" x14ac:dyDescent="0.2">
      <c r="C7" s="24" t="s">
        <v>0</v>
      </c>
      <c r="D7" s="52">
        <f>'Car+SUV'!D7+'Van+Ute'!D7</f>
        <v>1465.9001788699015</v>
      </c>
      <c r="E7" s="53">
        <f>'Car+SUV'!E7+'Van+Ute'!E7</f>
        <v>1542.577036066582</v>
      </c>
      <c r="F7" s="53">
        <f>'Car+SUV'!F7+'Van+Ute'!F7</f>
        <v>1594.2837917122906</v>
      </c>
      <c r="G7" s="53">
        <f>'Car+SUV'!G7+'Van+Ute'!G7</f>
        <v>1669.2193281241059</v>
      </c>
      <c r="H7" s="53">
        <f>'Car+SUV'!H7+'Van+Ute'!H7</f>
        <v>1708.0208376151754</v>
      </c>
      <c r="I7" s="53">
        <f>'Car+SUV'!I7+'Van+Ute'!I7</f>
        <v>1866.0344159903907</v>
      </c>
      <c r="J7" s="53">
        <f>'Car+SUV'!J7+'Van+Ute'!J7</f>
        <v>1916.907854149214</v>
      </c>
      <c r="K7" s="53">
        <f>'Car+SUV'!K7+'Van+Ute'!K7</f>
        <v>2067.5574665052741</v>
      </c>
      <c r="L7" s="53">
        <f>'Car+SUV'!L7+'Van+Ute'!L7</f>
        <v>2167.4363862988648</v>
      </c>
      <c r="M7" s="53">
        <f>'Car+SUV'!M7+'Van+Ute'!M7</f>
        <v>2243.9331557754149</v>
      </c>
      <c r="N7" s="53">
        <f>'Car+SUV'!N7+'Van+Ute'!N7</f>
        <v>2299.4956009326997</v>
      </c>
      <c r="O7" s="53">
        <f>'Car+SUV'!O7+'Van+Ute'!O7</f>
        <v>2348.5483335250237</v>
      </c>
      <c r="P7" s="53">
        <f>'Car+SUV'!P7+'Van+Ute'!P7</f>
        <v>2393.8941834881539</v>
      </c>
      <c r="Q7" s="53">
        <f>'Car+SUV'!Q7+'Van+Ute'!Q7</f>
        <v>2431.0122348965288</v>
      </c>
      <c r="R7" s="53">
        <f>'Car+SUV'!R7+'Van+Ute'!R7</f>
        <v>2459.8143534786491</v>
      </c>
    </row>
    <row r="8" spans="3:18" ht="16" x14ac:dyDescent="0.2">
      <c r="C8" s="24" t="s">
        <v>1</v>
      </c>
      <c r="D8" s="55">
        <f>'Car+SUV'!D8+'Van+Ute'!D8</f>
        <v>11456.032535185117</v>
      </c>
      <c r="E8" s="56">
        <f>'Car+SUV'!E8+'Van+Ute'!E8</f>
        <v>11658.602745396805</v>
      </c>
      <c r="F8" s="56">
        <f>'Car+SUV'!F8+'Van+Ute'!F8</f>
        <v>11886.231449157225</v>
      </c>
      <c r="G8" s="56">
        <f>'Car+SUV'!G8+'Van+Ute'!G8</f>
        <v>12217.713823559432</v>
      </c>
      <c r="H8" s="56">
        <f>'Car+SUV'!H8+'Van+Ute'!H8</f>
        <v>12750.927489676305</v>
      </c>
      <c r="I8" s="56">
        <f>'Car+SUV'!I8+'Van+Ute'!I8</f>
        <v>12595.707071180066</v>
      </c>
      <c r="J8" s="56">
        <f>'Car+SUV'!J8+'Van+Ute'!J8</f>
        <v>13157.586511004991</v>
      </c>
      <c r="K8" s="56">
        <f>'Car+SUV'!K8+'Van+Ute'!K8</f>
        <v>14621.486595606802</v>
      </c>
      <c r="L8" s="56">
        <f>'Car+SUV'!L8+'Van+Ute'!L8</f>
        <v>15972.929757158347</v>
      </c>
      <c r="M8" s="56">
        <f>'Car+SUV'!M8+'Van+Ute'!M8</f>
        <v>17254.300265263788</v>
      </c>
      <c r="N8" s="56">
        <f>'Car+SUV'!N8+'Van+Ute'!N8</f>
        <v>18428.638164079377</v>
      </c>
      <c r="O8" s="56">
        <f>'Car+SUV'!O8+'Van+Ute'!O8</f>
        <v>19624.182160739147</v>
      </c>
      <c r="P8" s="56">
        <f>'Car+SUV'!P8+'Van+Ute'!P8</f>
        <v>20857.141085191706</v>
      </c>
      <c r="Q8" s="56">
        <f>'Car+SUV'!Q8+'Van+Ute'!Q8</f>
        <v>22079.011116416888</v>
      </c>
      <c r="R8" s="56">
        <f>'Car+SUV'!R8+'Van+Ute'!R8</f>
        <v>23272.41106706081</v>
      </c>
    </row>
    <row r="9" spans="3:18" ht="16" x14ac:dyDescent="0.2">
      <c r="C9" s="24" t="s">
        <v>2</v>
      </c>
      <c r="D9" s="55">
        <f>'Car+SUV'!D9+'Van+Ute'!D9</f>
        <v>4736.0314982124992</v>
      </c>
      <c r="E9" s="56">
        <f>'Car+SUV'!E9+'Van+Ute'!E9</f>
        <v>4664.7571808219618</v>
      </c>
      <c r="F9" s="56">
        <f>'Car+SUV'!F9+'Van+Ute'!F9</f>
        <v>4887.2130310719922</v>
      </c>
      <c r="G9" s="56">
        <f>'Car+SUV'!G9+'Van+Ute'!G9</f>
        <v>5164.2455879200506</v>
      </c>
      <c r="H9" s="56">
        <f>'Car+SUV'!H9+'Van+Ute'!H9</f>
        <v>5467.3405339500432</v>
      </c>
      <c r="I9" s="56">
        <f>'Car+SUV'!I9+'Van+Ute'!I9</f>
        <v>5874.5254066518573</v>
      </c>
      <c r="J9" s="56">
        <f>'Car+SUV'!J9+'Van+Ute'!J9</f>
        <v>5980.7004167743289</v>
      </c>
      <c r="K9" s="56">
        <f>'Car+SUV'!K9+'Van+Ute'!K9</f>
        <v>6529.0708670834883</v>
      </c>
      <c r="L9" s="56">
        <f>'Car+SUV'!L9+'Van+Ute'!L9</f>
        <v>6966.1222782057739</v>
      </c>
      <c r="M9" s="56">
        <f>'Car+SUV'!M9+'Van+Ute'!M9</f>
        <v>7341.1962057317796</v>
      </c>
      <c r="N9" s="56">
        <f>'Car+SUV'!N9+'Van+Ute'!N9</f>
        <v>7662.2182200120287</v>
      </c>
      <c r="O9" s="56">
        <f>'Car+SUV'!O9+'Van+Ute'!O9</f>
        <v>7980.5799323211049</v>
      </c>
      <c r="P9" s="56">
        <f>'Car+SUV'!P9+'Van+Ute'!P9</f>
        <v>8295.7413545871241</v>
      </c>
      <c r="Q9" s="56">
        <f>'Car+SUV'!Q9+'Van+Ute'!Q9</f>
        <v>8589.640025638877</v>
      </c>
      <c r="R9" s="56">
        <f>'Car+SUV'!R9+'Van+Ute'!R9</f>
        <v>8859.0173853624437</v>
      </c>
    </row>
    <row r="10" spans="3:18" ht="16" x14ac:dyDescent="0.2">
      <c r="C10" s="24" t="s">
        <v>3</v>
      </c>
      <c r="D10" s="55">
        <f>'Car+SUV'!D10+'Van+Ute'!D10</f>
        <v>2367.2609167102046</v>
      </c>
      <c r="E10" s="56">
        <f>'Car+SUV'!E10+'Van+Ute'!E10</f>
        <v>2461.636221498175</v>
      </c>
      <c r="F10" s="56">
        <f>'Car+SUV'!F10+'Van+Ute'!F10</f>
        <v>2479.2661163010935</v>
      </c>
      <c r="G10" s="56">
        <f>'Car+SUV'!G10+'Van+Ute'!G10</f>
        <v>2578.5851118006385</v>
      </c>
      <c r="H10" s="56">
        <f>'Car+SUV'!H10+'Van+Ute'!H10</f>
        <v>2933.2001445744304</v>
      </c>
      <c r="I10" s="56">
        <f>'Car+SUV'!I10+'Van+Ute'!I10</f>
        <v>2896.0249983227359</v>
      </c>
      <c r="J10" s="56">
        <f>'Car+SUV'!J10+'Van+Ute'!J10</f>
        <v>2926.7269432834023</v>
      </c>
      <c r="K10" s="56">
        <f>'Car+SUV'!K10+'Van+Ute'!K10</f>
        <v>3198.0543065291304</v>
      </c>
      <c r="L10" s="56">
        <f>'Car+SUV'!L10+'Van+Ute'!L10</f>
        <v>3388.1607200141334</v>
      </c>
      <c r="M10" s="56">
        <f>'Car+SUV'!M10+'Van+Ute'!M10</f>
        <v>3546.6593538682241</v>
      </c>
      <c r="N10" s="56">
        <f>'Car+SUV'!N10+'Van+Ute'!N10</f>
        <v>3675.6371034997856</v>
      </c>
      <c r="O10" s="56">
        <f>'Car+SUV'!O10+'Van+Ute'!O10</f>
        <v>3801.5117214485681</v>
      </c>
      <c r="P10" s="56">
        <f>'Car+SUV'!P10+'Van+Ute'!P10</f>
        <v>3923.8427269323661</v>
      </c>
      <c r="Q10" s="56">
        <f>'Car+SUV'!Q10+'Van+Ute'!Q10</f>
        <v>4034.4332891079093</v>
      </c>
      <c r="R10" s="56">
        <f>'Car+SUV'!R10+'Van+Ute'!R10</f>
        <v>4132.0546259472212</v>
      </c>
    </row>
    <row r="11" spans="3:18" ht="16" x14ac:dyDescent="0.2">
      <c r="C11" s="24" t="s">
        <v>4</v>
      </c>
      <c r="D11" s="55">
        <f>'Car+SUV'!D11+'Van+Ute'!D11</f>
        <v>337.84405488217305</v>
      </c>
      <c r="E11" s="56">
        <f>'Car+SUV'!E11+'Van+Ute'!E11</f>
        <v>342.66695755799697</v>
      </c>
      <c r="F11" s="56">
        <f>'Car+SUV'!F11+'Van+Ute'!F11</f>
        <v>360.38298607666002</v>
      </c>
      <c r="G11" s="56">
        <f>'Car+SUV'!G11+'Van+Ute'!G11</f>
        <v>373.70726479904835</v>
      </c>
      <c r="H11" s="56">
        <f>'Car+SUV'!H11+'Van+Ute'!H11</f>
        <v>366.07324288196833</v>
      </c>
      <c r="I11" s="56">
        <f>'Car+SUV'!I11+'Van+Ute'!I11</f>
        <v>375.49782955812645</v>
      </c>
      <c r="J11" s="56">
        <f>'Car+SUV'!J11+'Van+Ute'!J11</f>
        <v>379.34159517160259</v>
      </c>
      <c r="K11" s="56">
        <f>'Car+SUV'!K11+'Van+Ute'!K11</f>
        <v>392.26403136268033</v>
      </c>
      <c r="L11" s="56">
        <f>'Car+SUV'!L11+'Van+Ute'!L11</f>
        <v>406.40506520794736</v>
      </c>
      <c r="M11" s="56">
        <f>'Car+SUV'!M11+'Van+Ute'!M11</f>
        <v>416.24504744192024</v>
      </c>
      <c r="N11" s="56">
        <f>'Car+SUV'!N11+'Van+Ute'!N11</f>
        <v>421.58665891842713</v>
      </c>
      <c r="O11" s="56">
        <f>'Car+SUV'!O11+'Van+Ute'!O11</f>
        <v>426.14754458906441</v>
      </c>
      <c r="P11" s="56">
        <f>'Car+SUV'!P11+'Van+Ute'!P11</f>
        <v>429.90613471965469</v>
      </c>
      <c r="Q11" s="56">
        <f>'Car+SUV'!Q11+'Van+Ute'!Q11</f>
        <v>432.00952041013454</v>
      </c>
      <c r="R11" s="56">
        <f>'Car+SUV'!R11+'Van+Ute'!R11</f>
        <v>432.44428793907969</v>
      </c>
    </row>
    <row r="12" spans="3:18" ht="16" x14ac:dyDescent="0.2">
      <c r="C12" s="24" t="s">
        <v>5</v>
      </c>
      <c r="D12" s="55">
        <f>'Car+SUV'!D12+'Van+Ute'!D12</f>
        <v>1299.1644269156866</v>
      </c>
      <c r="E12" s="56">
        <f>'Car+SUV'!E12+'Van+Ute'!E12</f>
        <v>1299.3447856024945</v>
      </c>
      <c r="F12" s="56">
        <f>'Car+SUV'!F12+'Van+Ute'!F12</f>
        <v>1364.7269388919879</v>
      </c>
      <c r="G12" s="56">
        <f>'Car+SUV'!G12+'Van+Ute'!G12</f>
        <v>1435.8468313325827</v>
      </c>
      <c r="H12" s="56">
        <f>'Car+SUV'!H12+'Van+Ute'!H12</f>
        <v>1492.4432562835455</v>
      </c>
      <c r="I12" s="56">
        <f>'Car+SUV'!I12+'Van+Ute'!I12</f>
        <v>1525.8385485047925</v>
      </c>
      <c r="J12" s="56">
        <f>'Car+SUV'!J12+'Van+Ute'!J12</f>
        <v>1578.1625005079397</v>
      </c>
      <c r="K12" s="56">
        <f>'Car+SUV'!K12+'Van+Ute'!K12</f>
        <v>1674.0155295959262</v>
      </c>
      <c r="L12" s="56">
        <f>'Car+SUV'!L12+'Van+Ute'!L12</f>
        <v>1735.5912502254973</v>
      </c>
      <c r="M12" s="56">
        <f>'Car+SUV'!M12+'Van+Ute'!M12</f>
        <v>1777.0665894167596</v>
      </c>
      <c r="N12" s="56">
        <f>'Car+SUV'!N12+'Van+Ute'!N12</f>
        <v>1802.1794529410638</v>
      </c>
      <c r="O12" s="56">
        <f>'Car+SUV'!O12+'Van+Ute'!O12</f>
        <v>1822.9529241630664</v>
      </c>
      <c r="P12" s="56">
        <f>'Car+SUV'!P12+'Van+Ute'!P12</f>
        <v>1840.368832125891</v>
      </c>
      <c r="Q12" s="56">
        <f>'Car+SUV'!Q12+'Van+Ute'!Q12</f>
        <v>1850.9048702132604</v>
      </c>
      <c r="R12" s="56">
        <f>'Car+SUV'!R12+'Van+Ute'!R12</f>
        <v>1854.4814918720649</v>
      </c>
    </row>
    <row r="13" spans="3:18" ht="16" x14ac:dyDescent="0.2">
      <c r="C13" s="24" t="s">
        <v>6</v>
      </c>
      <c r="D13" s="55">
        <f>'Car+SUV'!D13+'Van+Ute'!D13</f>
        <v>901.13286110877539</v>
      </c>
      <c r="E13" s="56">
        <f>'Car+SUV'!E13+'Van+Ute'!E13</f>
        <v>928.7783940585864</v>
      </c>
      <c r="F13" s="56">
        <f>'Car+SUV'!F13+'Van+Ute'!F13</f>
        <v>966.1067400862222</v>
      </c>
      <c r="G13" s="56">
        <f>'Car+SUV'!G13+'Van+Ute'!G13</f>
        <v>1004.8171384902989</v>
      </c>
      <c r="H13" s="56">
        <f>'Car+SUV'!H13+'Van+Ute'!H13</f>
        <v>1033.9423409358722</v>
      </c>
      <c r="I13" s="56">
        <f>'Car+SUV'!I13+'Van+Ute'!I13</f>
        <v>1078.246466385486</v>
      </c>
      <c r="J13" s="56">
        <f>'Car+SUV'!J13+'Van+Ute'!J13</f>
        <v>1036.3173180598001</v>
      </c>
      <c r="K13" s="56">
        <f>'Car+SUV'!K13+'Van+Ute'!K13</f>
        <v>1095.3699281615786</v>
      </c>
      <c r="L13" s="56">
        <f>'Car+SUV'!L13+'Van+Ute'!L13</f>
        <v>1146.1042799888901</v>
      </c>
      <c r="M13" s="56">
        <f>'Car+SUV'!M13+'Van+Ute'!M13</f>
        <v>1186.7586698408452</v>
      </c>
      <c r="N13" s="56">
        <f>'Car+SUV'!N13+'Van+Ute'!N13</f>
        <v>1218.8230997406913</v>
      </c>
      <c r="O13" s="56">
        <f>'Car+SUV'!O13+'Van+Ute'!O13</f>
        <v>1249.9474121306457</v>
      </c>
      <c r="P13" s="56">
        <f>'Car+SUV'!P13+'Van+Ute'!P13</f>
        <v>1279.2052910328789</v>
      </c>
      <c r="Q13" s="56">
        <f>'Car+SUV'!Q13+'Van+Ute'!Q13</f>
        <v>1304.2056954272628</v>
      </c>
      <c r="R13" s="56">
        <f>'Car+SUV'!R13+'Van+Ute'!R13</f>
        <v>1324.9024643938315</v>
      </c>
    </row>
    <row r="14" spans="3:18" ht="16" x14ac:dyDescent="0.2">
      <c r="C14" s="24" t="s">
        <v>7</v>
      </c>
      <c r="D14" s="55">
        <f>'Car+SUV'!D14+'Van+Ute'!D14</f>
        <v>2098.4702717037394</v>
      </c>
      <c r="E14" s="56">
        <f>'Car+SUV'!E14+'Van+Ute'!E14</f>
        <v>2132.7435761949328</v>
      </c>
      <c r="F14" s="56">
        <f>'Car+SUV'!F14+'Van+Ute'!F14</f>
        <v>2182.0577739367814</v>
      </c>
      <c r="G14" s="56">
        <f>'Car+SUV'!G14+'Van+Ute'!G14</f>
        <v>2296.8826558480814</v>
      </c>
      <c r="H14" s="56">
        <f>'Car+SUV'!H14+'Van+Ute'!H14</f>
        <v>2364.9601664571505</v>
      </c>
      <c r="I14" s="56">
        <f>'Car+SUV'!I14+'Van+Ute'!I14</f>
        <v>2365.6198771225004</v>
      </c>
      <c r="J14" s="56">
        <f>'Car+SUV'!J14+'Van+Ute'!J14</f>
        <v>2403.1280727090766</v>
      </c>
      <c r="K14" s="56">
        <f>'Car+SUV'!K14+'Van+Ute'!K14</f>
        <v>2526.5885026615679</v>
      </c>
      <c r="L14" s="56">
        <f>'Car+SUV'!L14+'Van+Ute'!L14</f>
        <v>2606.8004403876562</v>
      </c>
      <c r="M14" s="56">
        <f>'Car+SUV'!M14+'Van+Ute'!M14</f>
        <v>2660.8041018409876</v>
      </c>
      <c r="N14" s="56">
        <f>'Car+SUV'!N14+'Van+Ute'!N14</f>
        <v>2691.0240221436165</v>
      </c>
      <c r="O14" s="56">
        <f>'Car+SUV'!O14+'Van+Ute'!O14</f>
        <v>2714.7699166066304</v>
      </c>
      <c r="P14" s="56">
        <f>'Car+SUV'!P14+'Van+Ute'!P14</f>
        <v>2733.3428473054269</v>
      </c>
      <c r="Q14" s="56">
        <f>'Car+SUV'!Q14+'Van+Ute'!Q14</f>
        <v>2741.7502247597799</v>
      </c>
      <c r="R14" s="56">
        <f>'Car+SUV'!R14+'Van+Ute'!R14</f>
        <v>2740.216393179413</v>
      </c>
    </row>
    <row r="15" spans="3:18" ht="16" x14ac:dyDescent="0.2">
      <c r="C15" s="24" t="s">
        <v>8</v>
      </c>
      <c r="D15" s="55">
        <f>'Car+SUV'!D15+'Van+Ute'!D15</f>
        <v>3192.5352082107588</v>
      </c>
      <c r="E15" s="56">
        <f>'Car+SUV'!E15+'Van+Ute'!E15</f>
        <v>3262.1054527371243</v>
      </c>
      <c r="F15" s="56">
        <f>'Car+SUV'!F15+'Van+Ute'!F15</f>
        <v>3506.0921557604988</v>
      </c>
      <c r="G15" s="56">
        <f>'Car+SUV'!G15+'Van+Ute'!G15</f>
        <v>3433.8432317825359</v>
      </c>
      <c r="H15" s="56">
        <f>'Car+SUV'!H15+'Van+Ute'!H15</f>
        <v>3429.4907148351576</v>
      </c>
      <c r="I15" s="56">
        <f>'Car+SUV'!I15+'Van+Ute'!I15</f>
        <v>3607.7242781883961</v>
      </c>
      <c r="J15" s="56">
        <f>'Car+SUV'!J15+'Van+Ute'!J15</f>
        <v>3626.7178225812604</v>
      </c>
      <c r="K15" s="56">
        <f>'Car+SUV'!K15+'Van+Ute'!K15</f>
        <v>3881.5082125193167</v>
      </c>
      <c r="L15" s="56">
        <f>'Car+SUV'!L15+'Van+Ute'!L15</f>
        <v>4068.2893938448015</v>
      </c>
      <c r="M15" s="56">
        <f>'Car+SUV'!M15+'Van+Ute'!M15</f>
        <v>4222.8660493122989</v>
      </c>
      <c r="N15" s="56">
        <f>'Car+SUV'!N15+'Van+Ute'!N15</f>
        <v>4344.9625954437015</v>
      </c>
      <c r="O15" s="56">
        <f>'Car+SUV'!O15+'Van+Ute'!O15</f>
        <v>4459.4275869370922</v>
      </c>
      <c r="P15" s="56">
        <f>'Car+SUV'!P15+'Van+Ute'!P15</f>
        <v>4566.2328979378362</v>
      </c>
      <c r="Q15" s="56">
        <f>'Car+SUV'!Q15+'Van+Ute'!Q15</f>
        <v>4658.3226453741836</v>
      </c>
      <c r="R15" s="56">
        <f>'Car+SUV'!R15+'Van+Ute'!R15</f>
        <v>4735.2653995264236</v>
      </c>
    </row>
    <row r="16" spans="3:18" ht="16" x14ac:dyDescent="0.2">
      <c r="C16" s="24" t="s">
        <v>9</v>
      </c>
      <c r="D16" s="55">
        <f>'Car+SUV'!D16+'Van+Ute'!D16</f>
        <v>1147.899956867187</v>
      </c>
      <c r="E16" s="56">
        <f>'Car+SUV'!E16+'Van+Ute'!E16</f>
        <v>1169.8650359152093</v>
      </c>
      <c r="F16" s="56">
        <f>'Car+SUV'!F16+'Van+Ute'!F16</f>
        <v>1121.7235435958335</v>
      </c>
      <c r="G16" s="56">
        <f>'Car+SUV'!G16+'Van+Ute'!G16</f>
        <v>1312.1780976948098</v>
      </c>
      <c r="H16" s="56">
        <f>'Car+SUV'!H16+'Van+Ute'!H16</f>
        <v>1367.2767773768182</v>
      </c>
      <c r="I16" s="56">
        <f>'Car+SUV'!I16+'Van+Ute'!I16</f>
        <v>1460.4029623655169</v>
      </c>
      <c r="J16" s="56">
        <f>'Car+SUV'!J16+'Van+Ute'!J16</f>
        <v>1430.9588897222452</v>
      </c>
      <c r="K16" s="56">
        <f>'Car+SUV'!K16+'Van+Ute'!K16</f>
        <v>1552.1834332388812</v>
      </c>
      <c r="L16" s="56">
        <f>'Car+SUV'!L16+'Van+Ute'!L16</f>
        <v>1626.6165962725954</v>
      </c>
      <c r="M16" s="56">
        <f>'Car+SUV'!M16+'Van+Ute'!M16</f>
        <v>1682.8407126758411</v>
      </c>
      <c r="N16" s="56">
        <f>'Car+SUV'!N16+'Van+Ute'!N16</f>
        <v>1723.3090411849103</v>
      </c>
      <c r="O16" s="56">
        <f>'Car+SUV'!O16+'Van+Ute'!O16</f>
        <v>1757.5766698838252</v>
      </c>
      <c r="P16" s="56">
        <f>'Car+SUV'!P16+'Van+Ute'!P16</f>
        <v>1789.1160247611401</v>
      </c>
      <c r="Q16" s="56">
        <f>'Car+SUV'!Q16+'Van+Ute'!Q16</f>
        <v>1814.0793077665739</v>
      </c>
      <c r="R16" s="56">
        <f>'Car+SUV'!R16+'Van+Ute'!R16</f>
        <v>1832.0390404565442</v>
      </c>
    </row>
    <row r="17" spans="3:18" ht="16" x14ac:dyDescent="0.2">
      <c r="C17" s="24" t="s">
        <v>10</v>
      </c>
      <c r="D17" s="55">
        <f>'Car+SUV'!D17+'Van+Ute'!D17</f>
        <v>435.61913494904485</v>
      </c>
      <c r="E17" s="56">
        <f>'Car+SUV'!E17+'Van+Ute'!E17</f>
        <v>435.75887383333134</v>
      </c>
      <c r="F17" s="56">
        <f>'Car+SUV'!F17+'Van+Ute'!F17</f>
        <v>465.86554465516548</v>
      </c>
      <c r="G17" s="56">
        <f>'Car+SUV'!G17+'Van+Ute'!G17</f>
        <v>489.258827515083</v>
      </c>
      <c r="H17" s="56">
        <f>'Car+SUV'!H17+'Van+Ute'!H17</f>
        <v>505.67249632913251</v>
      </c>
      <c r="I17" s="56">
        <f>'Car+SUV'!I17+'Van+Ute'!I17</f>
        <v>555.16158886289736</v>
      </c>
      <c r="J17" s="56">
        <f>'Car+SUV'!J17+'Van+Ute'!J17</f>
        <v>546.63310344785623</v>
      </c>
      <c r="K17" s="56">
        <f>'Car+SUV'!K17+'Van+Ute'!K17</f>
        <v>564.59077683510907</v>
      </c>
      <c r="L17" s="56">
        <f>'Car+SUV'!L17+'Van+Ute'!L17</f>
        <v>575.06824740623756</v>
      </c>
      <c r="M17" s="56">
        <f>'Car+SUV'!M17+'Van+Ute'!M17</f>
        <v>578.73366702664475</v>
      </c>
      <c r="N17" s="56">
        <f>'Car+SUV'!N17+'Van+Ute'!N17</f>
        <v>576.81323562269972</v>
      </c>
      <c r="O17" s="56">
        <f>'Car+SUV'!O17+'Van+Ute'!O17</f>
        <v>574.04490845729981</v>
      </c>
      <c r="P17" s="56">
        <f>'Car+SUV'!P17+'Van+Ute'!P17</f>
        <v>570.15972550416222</v>
      </c>
      <c r="Q17" s="56">
        <f>'Car+SUV'!Q17+'Van+Ute'!Q17</f>
        <v>564.12345251135594</v>
      </c>
      <c r="R17" s="56">
        <f>'Car+SUV'!R17+'Van+Ute'!R17</f>
        <v>556.00542759671703</v>
      </c>
    </row>
    <row r="18" spans="3:18" ht="16" x14ac:dyDescent="0.2">
      <c r="C18" s="24" t="s">
        <v>11</v>
      </c>
      <c r="D18" s="55">
        <f>'Car+SUV'!D18+'Van+Ute'!D18</f>
        <v>4808.4737206601094</v>
      </c>
      <c r="E18" s="56">
        <f>'Car+SUV'!E18+'Van+Ute'!E18</f>
        <v>5072.3404656229986</v>
      </c>
      <c r="F18" s="56">
        <f>'Car+SUV'!F18+'Van+Ute'!F18</f>
        <v>5327.6388952680099</v>
      </c>
      <c r="G18" s="56">
        <f>'Car+SUV'!G18+'Van+Ute'!G18</f>
        <v>5655.8341077913246</v>
      </c>
      <c r="H18" s="56">
        <f>'Car+SUV'!H18+'Van+Ute'!H18</f>
        <v>5721.600354637043</v>
      </c>
      <c r="I18" s="56">
        <f>'Car+SUV'!I18+'Van+Ute'!I18</f>
        <v>6053.5785125896145</v>
      </c>
      <c r="J18" s="56">
        <f>'Car+SUV'!J18+'Van+Ute'!J18</f>
        <v>6109.547918209365</v>
      </c>
      <c r="K18" s="56">
        <f>'Car+SUV'!K18+'Van+Ute'!K18</f>
        <v>6704.1954855359054</v>
      </c>
      <c r="L18" s="56">
        <f>'Car+SUV'!L18+'Van+Ute'!L18</f>
        <v>7207.8801297801274</v>
      </c>
      <c r="M18" s="56">
        <f>'Car+SUV'!M18+'Van+Ute'!M18</f>
        <v>7651.3421206277872</v>
      </c>
      <c r="N18" s="56">
        <f>'Car+SUV'!N18+'Van+Ute'!N18</f>
        <v>8049.0167565571064</v>
      </c>
      <c r="O18" s="56">
        <f>'Car+SUV'!O18+'Van+Ute'!O18</f>
        <v>8449.711649179475</v>
      </c>
      <c r="P18" s="56">
        <f>'Car+SUV'!P18+'Van+Ute'!P18</f>
        <v>8852.0543223394634</v>
      </c>
      <c r="Q18" s="56">
        <f>'Car+SUV'!Q18+'Van+Ute'!Q18</f>
        <v>9235.6202128645418</v>
      </c>
      <c r="R18" s="56">
        <f>'Car+SUV'!R18+'Van+Ute'!R18</f>
        <v>9594.5921606427546</v>
      </c>
    </row>
    <row r="19" spans="3:18" ht="16" x14ac:dyDescent="0.2">
      <c r="C19" s="24" t="s">
        <v>12</v>
      </c>
      <c r="D19" s="55">
        <f>'Car+SUV'!D19+'Van+Ute'!D19</f>
        <v>1946.8984179757592</v>
      </c>
      <c r="E19" s="56">
        <f>'Car+SUV'!E19+'Van+Ute'!E19</f>
        <v>2019.9481582484379</v>
      </c>
      <c r="F19" s="56">
        <f>'Car+SUV'!F19+'Van+Ute'!F19</f>
        <v>2095.9214649838955</v>
      </c>
      <c r="G19" s="56">
        <f>'Car+SUV'!G19+'Van+Ute'!G19</f>
        <v>2191.9716709463282</v>
      </c>
      <c r="H19" s="56">
        <f>'Car+SUV'!H19+'Van+Ute'!H19</f>
        <v>2297.5275188095584</v>
      </c>
      <c r="I19" s="56">
        <f>'Car+SUV'!I19+'Van+Ute'!I19</f>
        <v>2515.7113252507861</v>
      </c>
      <c r="J19" s="56">
        <f>'Car+SUV'!J19+'Van+Ute'!J19</f>
        <v>2582.3176635392192</v>
      </c>
      <c r="K19" s="56">
        <f>'Car+SUV'!K19+'Van+Ute'!K19</f>
        <v>2816.8778905791378</v>
      </c>
      <c r="L19" s="56">
        <f>'Car+SUV'!L19+'Van+Ute'!L19</f>
        <v>2978.9554188733614</v>
      </c>
      <c r="M19" s="56">
        <f>'Car+SUV'!M19+'Van+Ute'!M19</f>
        <v>3111.5645566146063</v>
      </c>
      <c r="N19" s="56">
        <f>'Car+SUV'!N19+'Van+Ute'!N19</f>
        <v>3222.9989052387464</v>
      </c>
      <c r="O19" s="56">
        <f>'Car+SUV'!O19+'Van+Ute'!O19</f>
        <v>3332.5932721052973</v>
      </c>
      <c r="P19" s="56">
        <f>'Car+SUV'!P19+'Van+Ute'!P19</f>
        <v>3438.6741090652945</v>
      </c>
      <c r="Q19" s="56">
        <f>'Car+SUV'!Q19+'Van+Ute'!Q19</f>
        <v>3533.9529904734072</v>
      </c>
      <c r="R19" s="56">
        <f>'Car+SUV'!R19+'Van+Ute'!R19</f>
        <v>3616.6642253337009</v>
      </c>
    </row>
    <row r="20" spans="3:18" ht="17" thickBot="1" x14ac:dyDescent="0.25">
      <c r="C20" s="25" t="s">
        <v>13</v>
      </c>
      <c r="D20" s="58">
        <f>'Car+SUV'!D20+'Van+Ute'!D20</f>
        <v>981.04504886168922</v>
      </c>
      <c r="E20" s="59">
        <f>'Car+SUV'!E20+'Van+Ute'!E20</f>
        <v>1008.9021959660175</v>
      </c>
      <c r="F20" s="59">
        <f>'Car+SUV'!F20+'Van+Ute'!F20</f>
        <v>978.64398653703324</v>
      </c>
      <c r="G20" s="59">
        <f>'Car+SUV'!G20+'Van+Ute'!G20</f>
        <v>1100.5153143800753</v>
      </c>
      <c r="H20" s="59">
        <f>'Car+SUV'!H20+'Van+Ute'!H20</f>
        <v>1130.2836554633896</v>
      </c>
      <c r="I20" s="59">
        <f>'Car+SUV'!I20+'Van+Ute'!I20</f>
        <v>1167.5719145968237</v>
      </c>
      <c r="J20" s="59">
        <f>'Car+SUV'!J20+'Van+Ute'!J20</f>
        <v>1276.2677109085262</v>
      </c>
      <c r="K20" s="59">
        <f>'Car+SUV'!K20+'Van+Ute'!K20</f>
        <v>1334.0582486496899</v>
      </c>
      <c r="L20" s="59">
        <f>'Car+SUV'!L20+'Van+Ute'!L20</f>
        <v>1368.1364566639402</v>
      </c>
      <c r="M20" s="59">
        <f>'Car+SUV'!M20+'Van+Ute'!M20</f>
        <v>1388.3951991821489</v>
      </c>
      <c r="N20" s="59">
        <f>'Car+SUV'!N20+'Van+Ute'!N20</f>
        <v>1396.2417065884897</v>
      </c>
      <c r="O20" s="59">
        <f>'Car+SUV'!O20+'Van+Ute'!O20</f>
        <v>1401.5143040221947</v>
      </c>
      <c r="P20" s="59">
        <f>'Car+SUV'!P20+'Van+Ute'!P20</f>
        <v>1404.208965168121</v>
      </c>
      <c r="Q20" s="59">
        <f>'Car+SUV'!Q20+'Van+Ute'!Q20</f>
        <v>1401.5548026752572</v>
      </c>
      <c r="R20" s="59">
        <f>'Car+SUV'!R20+'Van+Ute'!R20</f>
        <v>1393.5299902279112</v>
      </c>
    </row>
    <row r="21" spans="3:18" ht="19" thickTop="1" thickBot="1" x14ac:dyDescent="0.25">
      <c r="C21" s="31" t="s">
        <v>24</v>
      </c>
      <c r="D21" s="61">
        <f t="shared" ref="D21:I21" si="0">SUM(D7:D20)</f>
        <v>37174.308231112649</v>
      </c>
      <c r="E21" s="62">
        <f t="shared" si="0"/>
        <v>38000.027079520652</v>
      </c>
      <c r="F21" s="62">
        <f t="shared" si="0"/>
        <v>39216.15441803469</v>
      </c>
      <c r="G21" s="62">
        <f t="shared" si="0"/>
        <v>40924.618991984396</v>
      </c>
      <c r="H21" s="62">
        <f t="shared" si="0"/>
        <v>42568.759529825598</v>
      </c>
      <c r="I21" s="62">
        <f t="shared" si="0"/>
        <v>43937.645195569981</v>
      </c>
      <c r="J21" s="62">
        <f t="shared" ref="J21:R21" si="1">SUM(J7:J20)</f>
        <v>44951.314320068828</v>
      </c>
      <c r="K21" s="62">
        <f t="shared" si="1"/>
        <v>48957.821274864502</v>
      </c>
      <c r="L21" s="62">
        <f t="shared" si="1"/>
        <v>52214.496420328163</v>
      </c>
      <c r="M21" s="62">
        <f t="shared" si="1"/>
        <v>55062.705694619042</v>
      </c>
      <c r="N21" s="62">
        <f t="shared" si="1"/>
        <v>57512.944562903343</v>
      </c>
      <c r="O21" s="62">
        <f t="shared" si="1"/>
        <v>59943.508336108425</v>
      </c>
      <c r="P21" s="62">
        <f t="shared" si="1"/>
        <v>62373.888500159228</v>
      </c>
      <c r="Q21" s="62">
        <f t="shared" si="1"/>
        <v>64670.62038853595</v>
      </c>
      <c r="R21" s="62">
        <f t="shared" si="1"/>
        <v>66803.438313017556</v>
      </c>
    </row>
    <row r="22" spans="3:18" ht="14" thickTop="1" x14ac:dyDescent="0.15"/>
    <row r="23" spans="3:18" ht="14" thickBot="1" x14ac:dyDescent="0.2"/>
    <row r="24" spans="3:18" ht="17" thickTop="1" x14ac:dyDescent="0.2">
      <c r="C24" s="32" t="s">
        <v>142</v>
      </c>
      <c r="D24" s="33"/>
      <c r="E24" s="33"/>
      <c r="F24" s="33"/>
      <c r="G24" s="33"/>
      <c r="H24" s="33"/>
      <c r="I24" s="33"/>
      <c r="J24" s="33"/>
      <c r="K24" s="34"/>
      <c r="L24" s="34"/>
      <c r="M24" s="34"/>
      <c r="N24" s="34"/>
      <c r="O24" s="34"/>
      <c r="P24" s="34"/>
      <c r="Q24" s="34"/>
      <c r="R24" s="35"/>
    </row>
    <row r="25" spans="3:18" ht="14" thickBot="1" x14ac:dyDescent="0.2">
      <c r="C25" s="36"/>
      <c r="D25" s="37" t="s">
        <v>25</v>
      </c>
      <c r="E25" s="37" t="s">
        <v>37</v>
      </c>
      <c r="F25" s="37" t="s">
        <v>38</v>
      </c>
      <c r="G25" s="37" t="s">
        <v>177</v>
      </c>
      <c r="H25" s="37" t="s">
        <v>178</v>
      </c>
      <c r="I25" s="37" t="s">
        <v>26</v>
      </c>
      <c r="J25" s="37"/>
      <c r="K25" s="37" t="s">
        <v>27</v>
      </c>
      <c r="L25" s="37" t="s">
        <v>28</v>
      </c>
      <c r="M25" s="37" t="s">
        <v>29</v>
      </c>
      <c r="N25" s="37" t="s">
        <v>30</v>
      </c>
      <c r="O25" s="37" t="s">
        <v>31</v>
      </c>
      <c r="P25" s="37" t="s">
        <v>174</v>
      </c>
      <c r="Q25" s="37" t="s">
        <v>175</v>
      </c>
      <c r="R25" s="38" t="s">
        <v>176</v>
      </c>
    </row>
    <row r="26" spans="3:18" ht="15" thickTop="1" thickBot="1" x14ac:dyDescent="0.2">
      <c r="C26" s="18"/>
      <c r="D26" s="65" t="s">
        <v>39</v>
      </c>
      <c r="E26" s="65" t="s">
        <v>39</v>
      </c>
      <c r="F26" s="65" t="s">
        <v>39</v>
      </c>
      <c r="G26" s="65" t="s">
        <v>39</v>
      </c>
      <c r="H26" s="65" t="s">
        <v>39</v>
      </c>
      <c r="I26" s="65" t="s">
        <v>39</v>
      </c>
      <c r="J26" s="65"/>
      <c r="K26" s="65" t="s">
        <v>32</v>
      </c>
      <c r="L26" s="65" t="s">
        <v>32</v>
      </c>
      <c r="M26" s="65" t="s">
        <v>32</v>
      </c>
      <c r="N26" s="65" t="s">
        <v>32</v>
      </c>
      <c r="O26" s="65" t="s">
        <v>32</v>
      </c>
      <c r="P26" s="65" t="s">
        <v>32</v>
      </c>
      <c r="Q26" s="65" t="s">
        <v>32</v>
      </c>
      <c r="R26" s="66" t="s">
        <v>32</v>
      </c>
    </row>
    <row r="27" spans="3:18" ht="17" thickTop="1" x14ac:dyDescent="0.2">
      <c r="C27" s="24" t="s">
        <v>0</v>
      </c>
      <c r="D27" s="86">
        <f>'All Light Vehicles'!D7-'Light Vehicle Supporting Data'!D7</f>
        <v>0</v>
      </c>
      <c r="E27" s="87">
        <f>'All Light Vehicles'!E7-'Light Vehicle Supporting Data'!E7</f>
        <v>0</v>
      </c>
      <c r="F27" s="87">
        <f>'All Light Vehicles'!F7-'Light Vehicle Supporting Data'!F7</f>
        <v>0</v>
      </c>
      <c r="G27" s="87">
        <f>'All Light Vehicles'!G7-'Light Vehicle Supporting Data'!G7</f>
        <v>0</v>
      </c>
      <c r="H27" s="87">
        <f>'All Light Vehicles'!H7-'Light Vehicle Supporting Data'!H7</f>
        <v>0</v>
      </c>
      <c r="I27" s="87">
        <f>'All Light Vehicles'!I7-'Light Vehicle Supporting Data'!I7</f>
        <v>0</v>
      </c>
      <c r="J27" s="87">
        <f>'All Light Vehicles'!J7-'Light Vehicle Supporting Data'!J7</f>
        <v>49.930940933136753</v>
      </c>
      <c r="K27" s="87">
        <f>'All Light Vehicles'!K7-'Light Vehicle Supporting Data'!K7</f>
        <v>0</v>
      </c>
      <c r="L27" s="87">
        <f>'All Light Vehicles'!L7-'Light Vehicle Supporting Data'!L7</f>
        <v>0</v>
      </c>
      <c r="M27" s="87">
        <f>'All Light Vehicles'!M7-'Light Vehicle Supporting Data'!M7</f>
        <v>0</v>
      </c>
      <c r="N27" s="87">
        <f>'All Light Vehicles'!N7-'Light Vehicle Supporting Data'!N7</f>
        <v>0</v>
      </c>
      <c r="O27" s="87">
        <f>'All Light Vehicles'!O7-'Light Vehicle Supporting Data'!O7</f>
        <v>0</v>
      </c>
      <c r="P27" s="53">
        <f>'All Light Vehicles'!P7-'Light Vehicle Supporting Data'!P7</f>
        <v>0</v>
      </c>
      <c r="Q27" s="53">
        <f>'All Light Vehicles'!Q7-'Light Vehicle Supporting Data'!Q7</f>
        <v>0</v>
      </c>
      <c r="R27" s="54">
        <f>'All Light Vehicles'!R7-'Light Vehicle Supporting Data'!R7</f>
        <v>0</v>
      </c>
    </row>
    <row r="28" spans="3:18" ht="16" x14ac:dyDescent="0.2">
      <c r="C28" s="24" t="s">
        <v>1</v>
      </c>
      <c r="D28" s="89">
        <f>'All Light Vehicles'!D8-'Light Vehicle Supporting Data'!D8</f>
        <v>0</v>
      </c>
      <c r="E28" s="90">
        <f>'All Light Vehicles'!E8-'Light Vehicle Supporting Data'!E8</f>
        <v>0</v>
      </c>
      <c r="F28" s="90">
        <f>'All Light Vehicles'!F8-'Light Vehicle Supporting Data'!F8</f>
        <v>0</v>
      </c>
      <c r="G28" s="90">
        <f>'All Light Vehicles'!G8-'Light Vehicle Supporting Data'!G8</f>
        <v>0</v>
      </c>
      <c r="H28" s="90">
        <f>'All Light Vehicles'!H8-'Light Vehicle Supporting Data'!H8</f>
        <v>0</v>
      </c>
      <c r="I28" s="90">
        <f>'All Light Vehicles'!I8-'Light Vehicle Supporting Data'!I8</f>
        <v>0</v>
      </c>
      <c r="J28" s="90">
        <f>'All Light Vehicles'!J8-'Light Vehicle Supporting Data'!J8</f>
        <v>212.23618427027395</v>
      </c>
      <c r="K28" s="90">
        <f>'All Light Vehicles'!K8-'Light Vehicle Supporting Data'!K8</f>
        <v>0</v>
      </c>
      <c r="L28" s="90">
        <f>'All Light Vehicles'!L8-'Light Vehicle Supporting Data'!L8</f>
        <v>0</v>
      </c>
      <c r="M28" s="90">
        <f>'All Light Vehicles'!M8-'Light Vehicle Supporting Data'!M8</f>
        <v>0</v>
      </c>
      <c r="N28" s="90">
        <f>'All Light Vehicles'!N8-'Light Vehicle Supporting Data'!N8</f>
        <v>0</v>
      </c>
      <c r="O28" s="90">
        <f>'All Light Vehicles'!O8-'Light Vehicle Supporting Data'!O8</f>
        <v>0</v>
      </c>
      <c r="P28" s="56">
        <f>'All Light Vehicles'!P8-'Light Vehicle Supporting Data'!P8</f>
        <v>0</v>
      </c>
      <c r="Q28" s="56">
        <f>'All Light Vehicles'!Q8-'Light Vehicle Supporting Data'!Q8</f>
        <v>0</v>
      </c>
      <c r="R28" s="57">
        <f>'All Light Vehicles'!R8-'Light Vehicle Supporting Data'!R8</f>
        <v>0</v>
      </c>
    </row>
    <row r="29" spans="3:18" ht="16" x14ac:dyDescent="0.2">
      <c r="C29" s="24" t="s">
        <v>2</v>
      </c>
      <c r="D29" s="89">
        <f>'All Light Vehicles'!D9-'Light Vehicle Supporting Data'!D9</f>
        <v>0</v>
      </c>
      <c r="E29" s="90">
        <f>'All Light Vehicles'!E9-'Light Vehicle Supporting Data'!E9</f>
        <v>0</v>
      </c>
      <c r="F29" s="90">
        <f>'All Light Vehicles'!F9-'Light Vehicle Supporting Data'!F9</f>
        <v>0</v>
      </c>
      <c r="G29" s="90">
        <f>'All Light Vehicles'!G9-'Light Vehicle Supporting Data'!G9</f>
        <v>0</v>
      </c>
      <c r="H29" s="90">
        <f>'All Light Vehicles'!H9-'Light Vehicle Supporting Data'!H9</f>
        <v>0</v>
      </c>
      <c r="I29" s="90">
        <f>'All Light Vehicles'!I9-'Light Vehicle Supporting Data'!I9</f>
        <v>0</v>
      </c>
      <c r="J29" s="90">
        <f>'All Light Vehicles'!J9-'Light Vehicle Supporting Data'!J9</f>
        <v>145.75861623293713</v>
      </c>
      <c r="K29" s="90">
        <f>'All Light Vehicles'!K9-'Light Vehicle Supporting Data'!K9</f>
        <v>0</v>
      </c>
      <c r="L29" s="90">
        <f>'All Light Vehicles'!L9-'Light Vehicle Supporting Data'!L9</f>
        <v>0</v>
      </c>
      <c r="M29" s="90">
        <f>'All Light Vehicles'!M9-'Light Vehicle Supporting Data'!M9</f>
        <v>0</v>
      </c>
      <c r="N29" s="90">
        <f>'All Light Vehicles'!N9-'Light Vehicle Supporting Data'!N9</f>
        <v>0</v>
      </c>
      <c r="O29" s="90">
        <f>'All Light Vehicles'!O9-'Light Vehicle Supporting Data'!O9</f>
        <v>0</v>
      </c>
      <c r="P29" s="56">
        <f>'All Light Vehicles'!P9-'Light Vehicle Supporting Data'!P9</f>
        <v>0</v>
      </c>
      <c r="Q29" s="56">
        <f>'All Light Vehicles'!Q9-'Light Vehicle Supporting Data'!Q9</f>
        <v>0</v>
      </c>
      <c r="R29" s="57">
        <f>'All Light Vehicles'!R9-'Light Vehicle Supporting Data'!R9</f>
        <v>0</v>
      </c>
    </row>
    <row r="30" spans="3:18" ht="16" x14ac:dyDescent="0.2">
      <c r="C30" s="24" t="s">
        <v>3</v>
      </c>
      <c r="D30" s="89">
        <f>'All Light Vehicles'!D10-'Light Vehicle Supporting Data'!D10</f>
        <v>0</v>
      </c>
      <c r="E30" s="90">
        <f>'All Light Vehicles'!E10-'Light Vehicle Supporting Data'!E10</f>
        <v>0</v>
      </c>
      <c r="F30" s="90">
        <f>'All Light Vehicles'!F10-'Light Vehicle Supporting Data'!F10</f>
        <v>0</v>
      </c>
      <c r="G30" s="90">
        <f>'All Light Vehicles'!G10-'Light Vehicle Supporting Data'!G10</f>
        <v>0</v>
      </c>
      <c r="H30" s="90">
        <f>'All Light Vehicles'!H10-'Light Vehicle Supporting Data'!H10</f>
        <v>0</v>
      </c>
      <c r="I30" s="90">
        <f>'All Light Vehicles'!I10-'Light Vehicle Supporting Data'!I10</f>
        <v>0</v>
      </c>
      <c r="J30" s="90">
        <f>'All Light Vehicles'!J10-'Light Vehicle Supporting Data'!J10</f>
        <v>91.240320588818577</v>
      </c>
      <c r="K30" s="90">
        <f>'All Light Vehicles'!K10-'Light Vehicle Supporting Data'!K10</f>
        <v>0</v>
      </c>
      <c r="L30" s="90">
        <f>'All Light Vehicles'!L10-'Light Vehicle Supporting Data'!L10</f>
        <v>0</v>
      </c>
      <c r="M30" s="90">
        <f>'All Light Vehicles'!M10-'Light Vehicle Supporting Data'!M10</f>
        <v>0</v>
      </c>
      <c r="N30" s="90">
        <f>'All Light Vehicles'!N10-'Light Vehicle Supporting Data'!N10</f>
        <v>0</v>
      </c>
      <c r="O30" s="90">
        <f>'All Light Vehicles'!O10-'Light Vehicle Supporting Data'!O10</f>
        <v>0</v>
      </c>
      <c r="P30" s="56">
        <f>'All Light Vehicles'!P10-'Light Vehicle Supporting Data'!P10</f>
        <v>0</v>
      </c>
      <c r="Q30" s="56">
        <f>'All Light Vehicles'!Q10-'Light Vehicle Supporting Data'!Q10</f>
        <v>0</v>
      </c>
      <c r="R30" s="57">
        <f>'All Light Vehicles'!R10-'Light Vehicle Supporting Data'!R10</f>
        <v>0</v>
      </c>
    </row>
    <row r="31" spans="3:18" ht="16" x14ac:dyDescent="0.2">
      <c r="C31" s="24" t="s">
        <v>4</v>
      </c>
      <c r="D31" s="89">
        <f>'All Light Vehicles'!D11-'Light Vehicle Supporting Data'!D11</f>
        <v>0</v>
      </c>
      <c r="E31" s="90">
        <f>'All Light Vehicles'!E11-'Light Vehicle Supporting Data'!E11</f>
        <v>0</v>
      </c>
      <c r="F31" s="90">
        <f>'All Light Vehicles'!F11-'Light Vehicle Supporting Data'!F11</f>
        <v>0</v>
      </c>
      <c r="G31" s="90">
        <f>'All Light Vehicles'!G11-'Light Vehicle Supporting Data'!G11</f>
        <v>0</v>
      </c>
      <c r="H31" s="90">
        <f>'All Light Vehicles'!H11-'Light Vehicle Supporting Data'!H11</f>
        <v>0</v>
      </c>
      <c r="I31" s="90">
        <f>'All Light Vehicles'!I11-'Light Vehicle Supporting Data'!I11</f>
        <v>0</v>
      </c>
      <c r="J31" s="90">
        <f>'All Light Vehicles'!J11-'Light Vehicle Supporting Data'!J11</f>
        <v>0.2527308092506928</v>
      </c>
      <c r="K31" s="90">
        <f>'All Light Vehicles'!K11-'Light Vehicle Supporting Data'!K11</f>
        <v>0</v>
      </c>
      <c r="L31" s="90">
        <f>'All Light Vehicles'!L11-'Light Vehicle Supporting Data'!L11</f>
        <v>0</v>
      </c>
      <c r="M31" s="90">
        <f>'All Light Vehicles'!M11-'Light Vehicle Supporting Data'!M11</f>
        <v>0</v>
      </c>
      <c r="N31" s="90">
        <f>'All Light Vehicles'!N11-'Light Vehicle Supporting Data'!N11</f>
        <v>0</v>
      </c>
      <c r="O31" s="90">
        <f>'All Light Vehicles'!O11-'Light Vehicle Supporting Data'!O11</f>
        <v>0</v>
      </c>
      <c r="P31" s="56">
        <f>'All Light Vehicles'!P11-'Light Vehicle Supporting Data'!P11</f>
        <v>0</v>
      </c>
      <c r="Q31" s="56">
        <f>'All Light Vehicles'!Q11-'Light Vehicle Supporting Data'!Q11</f>
        <v>0</v>
      </c>
      <c r="R31" s="57">
        <f>'All Light Vehicles'!R11-'Light Vehicle Supporting Data'!R11</f>
        <v>0</v>
      </c>
    </row>
    <row r="32" spans="3:18" ht="16" x14ac:dyDescent="0.2">
      <c r="C32" s="24" t="s">
        <v>5</v>
      </c>
      <c r="D32" s="89">
        <f>'All Light Vehicles'!D12-'Light Vehicle Supporting Data'!D12</f>
        <v>0</v>
      </c>
      <c r="E32" s="90">
        <f>'All Light Vehicles'!E12-'Light Vehicle Supporting Data'!E12</f>
        <v>0</v>
      </c>
      <c r="F32" s="90">
        <f>'All Light Vehicles'!F12-'Light Vehicle Supporting Data'!F12</f>
        <v>0</v>
      </c>
      <c r="G32" s="90">
        <f>'All Light Vehicles'!G12-'Light Vehicle Supporting Data'!G12</f>
        <v>0</v>
      </c>
      <c r="H32" s="90">
        <f>'All Light Vehicles'!H12-'Light Vehicle Supporting Data'!H12</f>
        <v>0</v>
      </c>
      <c r="I32" s="90">
        <f>'All Light Vehicles'!I12-'Light Vehicle Supporting Data'!I12</f>
        <v>0</v>
      </c>
      <c r="J32" s="90">
        <f>'All Light Vehicles'!J12-'Light Vehicle Supporting Data'!J12</f>
        <v>39.442419668871707</v>
      </c>
      <c r="K32" s="90">
        <f>'All Light Vehicles'!K12-'Light Vehicle Supporting Data'!K12</f>
        <v>0</v>
      </c>
      <c r="L32" s="90">
        <f>'All Light Vehicles'!L12-'Light Vehicle Supporting Data'!L12</f>
        <v>0</v>
      </c>
      <c r="M32" s="90">
        <f>'All Light Vehicles'!M12-'Light Vehicle Supporting Data'!M12</f>
        <v>0</v>
      </c>
      <c r="N32" s="90">
        <f>'All Light Vehicles'!N12-'Light Vehicle Supporting Data'!N12</f>
        <v>0</v>
      </c>
      <c r="O32" s="90">
        <f>'All Light Vehicles'!O12-'Light Vehicle Supporting Data'!O12</f>
        <v>0</v>
      </c>
      <c r="P32" s="56">
        <f>'All Light Vehicles'!P12-'Light Vehicle Supporting Data'!P12</f>
        <v>0</v>
      </c>
      <c r="Q32" s="56">
        <f>'All Light Vehicles'!Q12-'Light Vehicle Supporting Data'!Q12</f>
        <v>0</v>
      </c>
      <c r="R32" s="57">
        <f>'All Light Vehicles'!R12-'Light Vehicle Supporting Data'!R12</f>
        <v>0</v>
      </c>
    </row>
    <row r="33" spans="3:18" ht="16" x14ac:dyDescent="0.2">
      <c r="C33" s="24" t="s">
        <v>6</v>
      </c>
      <c r="D33" s="89">
        <f>'All Light Vehicles'!D13-'Light Vehicle Supporting Data'!D13</f>
        <v>0</v>
      </c>
      <c r="E33" s="90">
        <f>'All Light Vehicles'!E13-'Light Vehicle Supporting Data'!E13</f>
        <v>0</v>
      </c>
      <c r="F33" s="90">
        <f>'All Light Vehicles'!F13-'Light Vehicle Supporting Data'!F13</f>
        <v>0</v>
      </c>
      <c r="G33" s="90">
        <f>'All Light Vehicles'!G13-'Light Vehicle Supporting Data'!G13</f>
        <v>0</v>
      </c>
      <c r="H33" s="90">
        <f>'All Light Vehicles'!H13-'Light Vehicle Supporting Data'!H13</f>
        <v>0</v>
      </c>
      <c r="I33" s="90">
        <f>'All Light Vehicles'!I13-'Light Vehicle Supporting Data'!I13</f>
        <v>0</v>
      </c>
      <c r="J33" s="90">
        <f>'All Light Vehicles'!J13-'Light Vehicle Supporting Data'!J13</f>
        <v>16.207642089996398</v>
      </c>
      <c r="K33" s="90">
        <f>'All Light Vehicles'!K13-'Light Vehicle Supporting Data'!K13</f>
        <v>0</v>
      </c>
      <c r="L33" s="90">
        <f>'All Light Vehicles'!L13-'Light Vehicle Supporting Data'!L13</f>
        <v>0</v>
      </c>
      <c r="M33" s="90">
        <f>'All Light Vehicles'!M13-'Light Vehicle Supporting Data'!M13</f>
        <v>0</v>
      </c>
      <c r="N33" s="90">
        <f>'All Light Vehicles'!N13-'Light Vehicle Supporting Data'!N13</f>
        <v>0</v>
      </c>
      <c r="O33" s="90">
        <f>'All Light Vehicles'!O13-'Light Vehicle Supporting Data'!O13</f>
        <v>0</v>
      </c>
      <c r="P33" s="56">
        <f>'All Light Vehicles'!P13-'Light Vehicle Supporting Data'!P13</f>
        <v>0</v>
      </c>
      <c r="Q33" s="56">
        <f>'All Light Vehicles'!Q13-'Light Vehicle Supporting Data'!Q13</f>
        <v>0</v>
      </c>
      <c r="R33" s="57">
        <f>'All Light Vehicles'!R13-'Light Vehicle Supporting Data'!R13</f>
        <v>0</v>
      </c>
    </row>
    <row r="34" spans="3:18" ht="16" x14ac:dyDescent="0.2">
      <c r="C34" s="24" t="s">
        <v>7</v>
      </c>
      <c r="D34" s="89">
        <f>'All Light Vehicles'!D14-'Light Vehicle Supporting Data'!D14</f>
        <v>0</v>
      </c>
      <c r="E34" s="90">
        <f>'All Light Vehicles'!E14-'Light Vehicle Supporting Data'!E14</f>
        <v>0</v>
      </c>
      <c r="F34" s="90">
        <f>'All Light Vehicles'!F14-'Light Vehicle Supporting Data'!F14</f>
        <v>0</v>
      </c>
      <c r="G34" s="90">
        <f>'All Light Vehicles'!G14-'Light Vehicle Supporting Data'!G14</f>
        <v>0</v>
      </c>
      <c r="H34" s="90">
        <f>'All Light Vehicles'!H14-'Light Vehicle Supporting Data'!H14</f>
        <v>0</v>
      </c>
      <c r="I34" s="90">
        <f>'All Light Vehicles'!I14-'Light Vehicle Supporting Data'!I14</f>
        <v>0</v>
      </c>
      <c r="J34" s="90">
        <f>'All Light Vehicles'!J14-'Light Vehicle Supporting Data'!J14</f>
        <v>46.738947361475311</v>
      </c>
      <c r="K34" s="90">
        <f>'All Light Vehicles'!K14-'Light Vehicle Supporting Data'!K14</f>
        <v>0</v>
      </c>
      <c r="L34" s="90">
        <f>'All Light Vehicles'!L14-'Light Vehicle Supporting Data'!L14</f>
        <v>0</v>
      </c>
      <c r="M34" s="90">
        <f>'All Light Vehicles'!M14-'Light Vehicle Supporting Data'!M14</f>
        <v>0</v>
      </c>
      <c r="N34" s="90">
        <f>'All Light Vehicles'!N14-'Light Vehicle Supporting Data'!N14</f>
        <v>0</v>
      </c>
      <c r="O34" s="90">
        <f>'All Light Vehicles'!O14-'Light Vehicle Supporting Data'!O14</f>
        <v>0</v>
      </c>
      <c r="P34" s="56">
        <f>'All Light Vehicles'!P14-'Light Vehicle Supporting Data'!P14</f>
        <v>0</v>
      </c>
      <c r="Q34" s="56">
        <f>'All Light Vehicles'!Q14-'Light Vehicle Supporting Data'!Q14</f>
        <v>0</v>
      </c>
      <c r="R34" s="57">
        <f>'All Light Vehicles'!R14-'Light Vehicle Supporting Data'!R14</f>
        <v>0</v>
      </c>
    </row>
    <row r="35" spans="3:18" ht="16" x14ac:dyDescent="0.2">
      <c r="C35" s="24" t="s">
        <v>8</v>
      </c>
      <c r="D35" s="89">
        <f>'All Light Vehicles'!D15-'Light Vehicle Supporting Data'!D15</f>
        <v>0</v>
      </c>
      <c r="E35" s="90">
        <f>'All Light Vehicles'!E15-'Light Vehicle Supporting Data'!E15</f>
        <v>0</v>
      </c>
      <c r="F35" s="90">
        <f>'All Light Vehicles'!F15-'Light Vehicle Supporting Data'!F15</f>
        <v>0</v>
      </c>
      <c r="G35" s="90">
        <f>'All Light Vehicles'!G15-'Light Vehicle Supporting Data'!G15</f>
        <v>0</v>
      </c>
      <c r="H35" s="90">
        <f>'All Light Vehicles'!H15-'Light Vehicle Supporting Data'!H15</f>
        <v>0</v>
      </c>
      <c r="I35" s="90">
        <f>'All Light Vehicles'!I15-'Light Vehicle Supporting Data'!I15</f>
        <v>0</v>
      </c>
      <c r="J35" s="90">
        <f>'All Light Vehicles'!J15-'Light Vehicle Supporting Data'!J15</f>
        <v>85.434855858901756</v>
      </c>
      <c r="K35" s="90">
        <f>'All Light Vehicles'!K15-'Light Vehicle Supporting Data'!K15</f>
        <v>0</v>
      </c>
      <c r="L35" s="90">
        <f>'All Light Vehicles'!L15-'Light Vehicle Supporting Data'!L15</f>
        <v>0</v>
      </c>
      <c r="M35" s="90">
        <f>'All Light Vehicles'!M15-'Light Vehicle Supporting Data'!M15</f>
        <v>0</v>
      </c>
      <c r="N35" s="90">
        <f>'All Light Vehicles'!N15-'Light Vehicle Supporting Data'!N15</f>
        <v>0</v>
      </c>
      <c r="O35" s="90">
        <f>'All Light Vehicles'!O15-'Light Vehicle Supporting Data'!O15</f>
        <v>0</v>
      </c>
      <c r="P35" s="56">
        <f>'All Light Vehicles'!P15-'Light Vehicle Supporting Data'!P15</f>
        <v>0</v>
      </c>
      <c r="Q35" s="56">
        <f>'All Light Vehicles'!Q15-'Light Vehicle Supporting Data'!Q15</f>
        <v>0</v>
      </c>
      <c r="R35" s="57">
        <f>'All Light Vehicles'!R15-'Light Vehicle Supporting Data'!R15</f>
        <v>0</v>
      </c>
    </row>
    <row r="36" spans="3:18" ht="16" x14ac:dyDescent="0.2">
      <c r="C36" s="24" t="s">
        <v>9</v>
      </c>
      <c r="D36" s="89">
        <f>'All Light Vehicles'!D16-'Light Vehicle Supporting Data'!D16</f>
        <v>0</v>
      </c>
      <c r="E36" s="90">
        <f>'All Light Vehicles'!E16-'Light Vehicle Supporting Data'!E16</f>
        <v>0</v>
      </c>
      <c r="F36" s="90">
        <f>'All Light Vehicles'!F16-'Light Vehicle Supporting Data'!F16</f>
        <v>0</v>
      </c>
      <c r="G36" s="90">
        <f>'All Light Vehicles'!G16-'Light Vehicle Supporting Data'!G16</f>
        <v>0</v>
      </c>
      <c r="H36" s="90">
        <f>'All Light Vehicles'!H16-'Light Vehicle Supporting Data'!H16</f>
        <v>0</v>
      </c>
      <c r="I36" s="90">
        <f>'All Light Vehicles'!I16-'Light Vehicle Supporting Data'!I16</f>
        <v>0</v>
      </c>
      <c r="J36" s="90">
        <f>'All Light Vehicles'!J16-'Light Vehicle Supporting Data'!J16</f>
        <v>55.469717567141515</v>
      </c>
      <c r="K36" s="90">
        <f>'All Light Vehicles'!K16-'Light Vehicle Supporting Data'!K16</f>
        <v>0</v>
      </c>
      <c r="L36" s="90">
        <f>'All Light Vehicles'!L16-'Light Vehicle Supporting Data'!L16</f>
        <v>0</v>
      </c>
      <c r="M36" s="90">
        <f>'All Light Vehicles'!M16-'Light Vehicle Supporting Data'!M16</f>
        <v>0</v>
      </c>
      <c r="N36" s="90">
        <f>'All Light Vehicles'!N16-'Light Vehicle Supporting Data'!N16</f>
        <v>0</v>
      </c>
      <c r="O36" s="90">
        <f>'All Light Vehicles'!O16-'Light Vehicle Supporting Data'!O16</f>
        <v>0</v>
      </c>
      <c r="P36" s="56">
        <f>'All Light Vehicles'!P16-'Light Vehicle Supporting Data'!P16</f>
        <v>0</v>
      </c>
      <c r="Q36" s="56">
        <f>'All Light Vehicles'!Q16-'Light Vehicle Supporting Data'!Q16</f>
        <v>0</v>
      </c>
      <c r="R36" s="57">
        <f>'All Light Vehicles'!R16-'Light Vehicle Supporting Data'!R16</f>
        <v>0</v>
      </c>
    </row>
    <row r="37" spans="3:18" ht="16" x14ac:dyDescent="0.2">
      <c r="C37" s="24" t="s">
        <v>10</v>
      </c>
      <c r="D37" s="89">
        <f>'All Light Vehicles'!D17-'Light Vehicle Supporting Data'!D17</f>
        <v>0</v>
      </c>
      <c r="E37" s="90">
        <f>'All Light Vehicles'!E17-'Light Vehicle Supporting Data'!E17</f>
        <v>0</v>
      </c>
      <c r="F37" s="90">
        <f>'All Light Vehicles'!F17-'Light Vehicle Supporting Data'!F17</f>
        <v>0</v>
      </c>
      <c r="G37" s="90">
        <f>'All Light Vehicles'!G17-'Light Vehicle Supporting Data'!G17</f>
        <v>0</v>
      </c>
      <c r="H37" s="90">
        <f>'All Light Vehicles'!H17-'Light Vehicle Supporting Data'!H17</f>
        <v>0</v>
      </c>
      <c r="I37" s="90">
        <f>'All Light Vehicles'!I17-'Light Vehicle Supporting Data'!I17</f>
        <v>0</v>
      </c>
      <c r="J37" s="90">
        <f>'All Light Vehicles'!J17-'Light Vehicle Supporting Data'!J17</f>
        <v>7.878416476537268</v>
      </c>
      <c r="K37" s="90">
        <f>'All Light Vehicles'!K17-'Light Vehicle Supporting Data'!K17</f>
        <v>0</v>
      </c>
      <c r="L37" s="90">
        <f>'All Light Vehicles'!L17-'Light Vehicle Supporting Data'!L17</f>
        <v>0</v>
      </c>
      <c r="M37" s="90">
        <f>'All Light Vehicles'!M17-'Light Vehicle Supporting Data'!M17</f>
        <v>0</v>
      </c>
      <c r="N37" s="90">
        <f>'All Light Vehicles'!N17-'Light Vehicle Supporting Data'!N17</f>
        <v>0</v>
      </c>
      <c r="O37" s="90">
        <f>'All Light Vehicles'!O17-'Light Vehicle Supporting Data'!O17</f>
        <v>0</v>
      </c>
      <c r="P37" s="56">
        <f>'All Light Vehicles'!P17-'Light Vehicle Supporting Data'!P17</f>
        <v>0</v>
      </c>
      <c r="Q37" s="56">
        <f>'All Light Vehicles'!Q17-'Light Vehicle Supporting Data'!Q17</f>
        <v>0</v>
      </c>
      <c r="R37" s="57">
        <f>'All Light Vehicles'!R17-'Light Vehicle Supporting Data'!R17</f>
        <v>0</v>
      </c>
    </row>
    <row r="38" spans="3:18" ht="16" x14ac:dyDescent="0.2">
      <c r="C38" s="24" t="s">
        <v>11</v>
      </c>
      <c r="D38" s="89">
        <f>'All Light Vehicles'!D18-'Light Vehicle Supporting Data'!D18</f>
        <v>0</v>
      </c>
      <c r="E38" s="90">
        <f>'All Light Vehicles'!E18-'Light Vehicle Supporting Data'!E18</f>
        <v>0</v>
      </c>
      <c r="F38" s="90">
        <f>'All Light Vehicles'!F18-'Light Vehicle Supporting Data'!F18</f>
        <v>0</v>
      </c>
      <c r="G38" s="90">
        <f>'All Light Vehicles'!G18-'Light Vehicle Supporting Data'!G18</f>
        <v>0</v>
      </c>
      <c r="H38" s="90">
        <f>'All Light Vehicles'!H18-'Light Vehicle Supporting Data'!H18</f>
        <v>0</v>
      </c>
      <c r="I38" s="90">
        <f>'All Light Vehicles'!I18-'Light Vehicle Supporting Data'!I18</f>
        <v>0</v>
      </c>
      <c r="J38" s="90">
        <f>'All Light Vehicles'!J18-'Light Vehicle Supporting Data'!J18</f>
        <v>119.67237252514678</v>
      </c>
      <c r="K38" s="90">
        <f>'All Light Vehicles'!K18-'Light Vehicle Supporting Data'!K18</f>
        <v>0</v>
      </c>
      <c r="L38" s="90">
        <f>'All Light Vehicles'!L18-'Light Vehicle Supporting Data'!L18</f>
        <v>0</v>
      </c>
      <c r="M38" s="90">
        <f>'All Light Vehicles'!M18-'Light Vehicle Supporting Data'!M18</f>
        <v>0</v>
      </c>
      <c r="N38" s="90">
        <f>'All Light Vehicles'!N18-'Light Vehicle Supporting Data'!N18</f>
        <v>0</v>
      </c>
      <c r="O38" s="90">
        <f>'All Light Vehicles'!O18-'Light Vehicle Supporting Data'!O18</f>
        <v>0</v>
      </c>
      <c r="P38" s="56">
        <f>'All Light Vehicles'!P18-'Light Vehicle Supporting Data'!P18</f>
        <v>0</v>
      </c>
      <c r="Q38" s="56">
        <f>'All Light Vehicles'!Q18-'Light Vehicle Supporting Data'!Q18</f>
        <v>0</v>
      </c>
      <c r="R38" s="57">
        <f>'All Light Vehicles'!R18-'Light Vehicle Supporting Data'!R18</f>
        <v>0</v>
      </c>
    </row>
    <row r="39" spans="3:18" ht="16" x14ac:dyDescent="0.2">
      <c r="C39" s="24" t="s">
        <v>12</v>
      </c>
      <c r="D39" s="89">
        <f>'All Light Vehicles'!D19-'Light Vehicle Supporting Data'!D19</f>
        <v>0</v>
      </c>
      <c r="E39" s="90">
        <f>'All Light Vehicles'!E19-'Light Vehicle Supporting Data'!E19</f>
        <v>0</v>
      </c>
      <c r="F39" s="90">
        <f>'All Light Vehicles'!F19-'Light Vehicle Supporting Data'!F19</f>
        <v>0</v>
      </c>
      <c r="G39" s="90">
        <f>'All Light Vehicles'!G19-'Light Vehicle Supporting Data'!G19</f>
        <v>0</v>
      </c>
      <c r="H39" s="90">
        <f>'All Light Vehicles'!H19-'Light Vehicle Supporting Data'!H19</f>
        <v>0</v>
      </c>
      <c r="I39" s="90">
        <f>'All Light Vehicles'!I19-'Light Vehicle Supporting Data'!I19</f>
        <v>0</v>
      </c>
      <c r="J39" s="90">
        <f>'All Light Vehicles'!J19-'Light Vehicle Supporting Data'!J19</f>
        <v>77.12123260281578</v>
      </c>
      <c r="K39" s="90">
        <f>'All Light Vehicles'!K19-'Light Vehicle Supporting Data'!K19</f>
        <v>0</v>
      </c>
      <c r="L39" s="90">
        <f>'All Light Vehicles'!L19-'Light Vehicle Supporting Data'!L19</f>
        <v>0</v>
      </c>
      <c r="M39" s="90">
        <f>'All Light Vehicles'!M19-'Light Vehicle Supporting Data'!M19</f>
        <v>0</v>
      </c>
      <c r="N39" s="90">
        <f>'All Light Vehicles'!N19-'Light Vehicle Supporting Data'!N19</f>
        <v>0</v>
      </c>
      <c r="O39" s="90">
        <f>'All Light Vehicles'!O19-'Light Vehicle Supporting Data'!O19</f>
        <v>0</v>
      </c>
      <c r="P39" s="56">
        <f>'All Light Vehicles'!P19-'Light Vehicle Supporting Data'!P19</f>
        <v>0</v>
      </c>
      <c r="Q39" s="56">
        <f>'All Light Vehicles'!Q19-'Light Vehicle Supporting Data'!Q19</f>
        <v>0</v>
      </c>
      <c r="R39" s="57">
        <f>'All Light Vehicles'!R19-'Light Vehicle Supporting Data'!R19</f>
        <v>0</v>
      </c>
    </row>
    <row r="40" spans="3:18" ht="17" thickBot="1" x14ac:dyDescent="0.25">
      <c r="C40" s="25" t="s">
        <v>13</v>
      </c>
      <c r="D40" s="91">
        <f>'All Light Vehicles'!D20-'Light Vehicle Supporting Data'!D20</f>
        <v>0</v>
      </c>
      <c r="E40" s="92">
        <f>'All Light Vehicles'!E20-'Light Vehicle Supporting Data'!E20</f>
        <v>0</v>
      </c>
      <c r="F40" s="92">
        <f>'All Light Vehicles'!F20-'Light Vehicle Supporting Data'!F20</f>
        <v>0</v>
      </c>
      <c r="G40" s="92">
        <f>'All Light Vehicles'!G20-'Light Vehicle Supporting Data'!G20</f>
        <v>0</v>
      </c>
      <c r="H40" s="92">
        <f>'All Light Vehicles'!H20-'Light Vehicle Supporting Data'!H20</f>
        <v>0</v>
      </c>
      <c r="I40" s="92">
        <f>'All Light Vehicles'!I20-'Light Vehicle Supporting Data'!I20</f>
        <v>0</v>
      </c>
      <c r="J40" s="92">
        <f>'All Light Vehicles'!J20-'Light Vehicle Supporting Data'!J20</f>
        <v>24.464198994022581</v>
      </c>
      <c r="K40" s="92">
        <f>'All Light Vehicles'!K20-'Light Vehicle Supporting Data'!K20</f>
        <v>0</v>
      </c>
      <c r="L40" s="92">
        <f>'All Light Vehicles'!L20-'Light Vehicle Supporting Data'!L20</f>
        <v>0</v>
      </c>
      <c r="M40" s="92">
        <f>'All Light Vehicles'!M20-'Light Vehicle Supporting Data'!M20</f>
        <v>0</v>
      </c>
      <c r="N40" s="92">
        <f>'All Light Vehicles'!N20-'Light Vehicle Supporting Data'!N20</f>
        <v>0</v>
      </c>
      <c r="O40" s="92">
        <f>'All Light Vehicles'!O20-'Light Vehicle Supporting Data'!O20</f>
        <v>0</v>
      </c>
      <c r="P40" s="59">
        <f>'All Light Vehicles'!P20-'Light Vehicle Supporting Data'!P20</f>
        <v>0</v>
      </c>
      <c r="Q40" s="59">
        <f>'All Light Vehicles'!Q20-'Light Vehicle Supporting Data'!Q20</f>
        <v>0</v>
      </c>
      <c r="R40" s="60">
        <f>'All Light Vehicles'!R20-'Light Vehicle Supporting Data'!R20</f>
        <v>0</v>
      </c>
    </row>
    <row r="41" spans="3:18" ht="19" thickTop="1" thickBot="1" x14ac:dyDescent="0.25">
      <c r="C41" s="31" t="s">
        <v>24</v>
      </c>
      <c r="D41" s="96">
        <f t="shared" ref="D41:O41" si="2">SUM(D27:D40)</f>
        <v>0</v>
      </c>
      <c r="E41" s="92">
        <f t="shared" si="2"/>
        <v>0</v>
      </c>
      <c r="F41" s="92">
        <f t="shared" si="2"/>
        <v>0</v>
      </c>
      <c r="G41" s="92">
        <f t="shared" si="2"/>
        <v>0</v>
      </c>
      <c r="H41" s="92">
        <f t="shared" si="2"/>
        <v>0</v>
      </c>
      <c r="I41" s="92">
        <f t="shared" si="2"/>
        <v>0</v>
      </c>
      <c r="J41" s="92">
        <f t="shared" ref="J41" si="3">SUM(J27:J40)</f>
        <v>971.84859597932621</v>
      </c>
      <c r="K41" s="92">
        <f t="shared" si="2"/>
        <v>0</v>
      </c>
      <c r="L41" s="92">
        <f t="shared" si="2"/>
        <v>0</v>
      </c>
      <c r="M41" s="92">
        <f t="shared" si="2"/>
        <v>0</v>
      </c>
      <c r="N41" s="92">
        <f t="shared" si="2"/>
        <v>0</v>
      </c>
      <c r="O41" s="92">
        <f t="shared" si="2"/>
        <v>0</v>
      </c>
      <c r="P41" s="62">
        <f t="shared" ref="P41:R41" si="4">SUM(P27:P40)</f>
        <v>0</v>
      </c>
      <c r="Q41" s="62">
        <f t="shared" si="4"/>
        <v>0</v>
      </c>
      <c r="R41" s="63">
        <f t="shared" si="4"/>
        <v>0</v>
      </c>
    </row>
    <row r="42" spans="3:18" ht="14" thickTop="1" x14ac:dyDescent="0.15">
      <c r="D42" s="43"/>
      <c r="E42" s="53"/>
      <c r="F42" s="53"/>
      <c r="G42" s="56"/>
      <c r="H42" s="56"/>
      <c r="I42" s="43"/>
      <c r="J42" s="43"/>
      <c r="K42" s="43"/>
      <c r="L42" s="43"/>
      <c r="M42" s="43"/>
      <c r="N42" s="43"/>
      <c r="O42" s="43"/>
    </row>
    <row r="43" spans="3:18" ht="14" thickBot="1" x14ac:dyDescent="0.2">
      <c r="E43" s="59"/>
      <c r="F43" s="59"/>
      <c r="G43" s="56"/>
      <c r="H43" s="56"/>
    </row>
    <row r="44" spans="3:18" ht="17" thickTop="1" x14ac:dyDescent="0.2">
      <c r="C44" s="32" t="s">
        <v>41</v>
      </c>
      <c r="D44" s="33"/>
      <c r="E44" s="33"/>
      <c r="F44" s="33"/>
      <c r="G44" s="33"/>
      <c r="H44" s="33"/>
      <c r="I44" s="33"/>
      <c r="J44" s="33"/>
      <c r="K44" s="34"/>
      <c r="L44" s="34"/>
      <c r="M44" s="34"/>
      <c r="N44" s="34"/>
      <c r="O44" s="34"/>
      <c r="P44" s="34"/>
      <c r="Q44" s="34"/>
      <c r="R44" s="35"/>
    </row>
    <row r="45" spans="3:18" ht="14" thickBot="1" x14ac:dyDescent="0.2">
      <c r="C45" s="36"/>
      <c r="D45" s="37" t="s">
        <v>25</v>
      </c>
      <c r="E45" s="37" t="s">
        <v>37</v>
      </c>
      <c r="F45" s="37" t="s">
        <v>38</v>
      </c>
      <c r="G45" s="37" t="s">
        <v>177</v>
      </c>
      <c r="H45" s="37" t="s">
        <v>178</v>
      </c>
      <c r="I45" s="37" t="s">
        <v>26</v>
      </c>
      <c r="J45" s="37"/>
      <c r="K45" s="37" t="s">
        <v>27</v>
      </c>
      <c r="L45" s="37" t="s">
        <v>28</v>
      </c>
      <c r="M45" s="37" t="s">
        <v>29</v>
      </c>
      <c r="N45" s="37" t="s">
        <v>30</v>
      </c>
      <c r="O45" s="37" t="s">
        <v>31</v>
      </c>
      <c r="P45" s="37" t="s">
        <v>174</v>
      </c>
      <c r="Q45" s="37" t="s">
        <v>175</v>
      </c>
      <c r="R45" s="38" t="s">
        <v>176</v>
      </c>
    </row>
    <row r="46" spans="3:18" ht="15" thickTop="1" thickBot="1" x14ac:dyDescent="0.2">
      <c r="C46" s="18"/>
      <c r="D46" s="65" t="s">
        <v>39</v>
      </c>
      <c r="E46" s="65" t="s">
        <v>32</v>
      </c>
      <c r="F46" s="65" t="s">
        <v>32</v>
      </c>
      <c r="G46" s="65" t="s">
        <v>32</v>
      </c>
      <c r="H46" s="65" t="s">
        <v>32</v>
      </c>
      <c r="I46" s="65" t="s">
        <v>32</v>
      </c>
      <c r="J46" s="65"/>
      <c r="K46" s="65" t="s">
        <v>32</v>
      </c>
      <c r="L46" s="65" t="s">
        <v>32</v>
      </c>
      <c r="M46" s="65" t="s">
        <v>32</v>
      </c>
      <c r="N46" s="65" t="s">
        <v>32</v>
      </c>
      <c r="O46" s="65" t="s">
        <v>32</v>
      </c>
      <c r="P46" s="65" t="s">
        <v>32</v>
      </c>
      <c r="Q46" s="65" t="s">
        <v>32</v>
      </c>
      <c r="R46" s="66" t="s">
        <v>32</v>
      </c>
    </row>
    <row r="47" spans="3:18" ht="17" thickTop="1" x14ac:dyDescent="0.2">
      <c r="C47" s="24" t="s">
        <v>0</v>
      </c>
      <c r="D47" s="52">
        <f>'[10]Total Distance Tables'!$B$7</f>
        <v>1011.4273062</v>
      </c>
      <c r="E47" s="53">
        <f t="shared" ref="E47:E60" si="5">D47*4/5 + I47/5</f>
        <v>1031.750563738073</v>
      </c>
      <c r="F47" s="53">
        <f>$D47*3/5+$I47*2/5</f>
        <v>1052.073821276146</v>
      </c>
      <c r="G47" s="53">
        <f>$D47*2/5+$I47*3/5</f>
        <v>1072.397078814219</v>
      </c>
      <c r="H47" s="53">
        <f>$D47*1/5+$I47*4/5</f>
        <v>1092.720336352292</v>
      </c>
      <c r="I47" s="53">
        <f>'[10]Total Distance Tables'!C7</f>
        <v>1113.0435938903649</v>
      </c>
      <c r="J47" s="53">
        <f>I47*4/5+K47/5</f>
        <v>1125.3355470543825</v>
      </c>
      <c r="K47" s="53">
        <f>'[10]Total Distance Tables'!D7</f>
        <v>1174.5033597104523</v>
      </c>
      <c r="L47" s="53">
        <f>'[10]Total Distance Tables'!E7</f>
        <v>1149.9848959890051</v>
      </c>
      <c r="M47" s="53">
        <f>'[10]Total Distance Tables'!F7</f>
        <v>1115.1427119570308</v>
      </c>
      <c r="N47" s="53">
        <f>'[10]Total Distance Tables'!G7</f>
        <v>1066.6962222693239</v>
      </c>
      <c r="O47" s="53">
        <f>'[10]Total Distance Tables'!H7</f>
        <v>1011.9691959483551</v>
      </c>
      <c r="P47" s="53">
        <f>'[10]Total Distance Tables'!I7</f>
        <v>953.9363153627321</v>
      </c>
      <c r="Q47" s="53">
        <f>'[10]Total Distance Tables'!J7</f>
        <v>892.39218993144846</v>
      </c>
      <c r="R47" s="54">
        <f>'[10]Total Distance Tables'!K7</f>
        <v>828.78063131384749</v>
      </c>
    </row>
    <row r="48" spans="3:18" ht="16" x14ac:dyDescent="0.2">
      <c r="C48" s="24" t="s">
        <v>1</v>
      </c>
      <c r="D48" s="55">
        <f>'[10]Total Distance Tables'!$B$18</f>
        <v>9374.4733825999992</v>
      </c>
      <c r="E48" s="56">
        <f t="shared" si="5"/>
        <v>9688.6896663312327</v>
      </c>
      <c r="F48" s="56">
        <f t="shared" ref="F48:F60" si="6">$D48*3/5+$I48*2/5</f>
        <v>10002.905950062464</v>
      </c>
      <c r="G48" s="56">
        <f t="shared" ref="G48:G62" si="7">$D48*2/5+$I48*3/5</f>
        <v>10317.1222337937</v>
      </c>
      <c r="H48" s="56">
        <f t="shared" ref="H48:H62" si="8">$D48*1/5+$I48*4/5</f>
        <v>10631.338517524931</v>
      </c>
      <c r="I48" s="56">
        <f>'[10]Total Distance Tables'!C18</f>
        <v>10945.554801256165</v>
      </c>
      <c r="J48" s="56">
        <f t="shared" ref="J48:J60" si="9">I48*4/5+K48/5</f>
        <v>11156.462872729286</v>
      </c>
      <c r="K48" s="56">
        <f>'[10]Total Distance Tables'!D18</f>
        <v>12000.095158621771</v>
      </c>
      <c r="L48" s="56">
        <f>'[10]Total Distance Tables'!E18</f>
        <v>12102.331915672416</v>
      </c>
      <c r="M48" s="56">
        <f>'[10]Total Distance Tables'!F18</f>
        <v>12153.306679373074</v>
      </c>
      <c r="N48" s="56">
        <f>'[10]Total Distance Tables'!G18</f>
        <v>12024.643096259997</v>
      </c>
      <c r="O48" s="56">
        <f>'[10]Total Distance Tables'!H18</f>
        <v>11797.276507561795</v>
      </c>
      <c r="P48" s="56">
        <f>'[10]Total Distance Tables'!I18</f>
        <v>11506.862735824061</v>
      </c>
      <c r="Q48" s="56">
        <f>'[10]Total Distance Tables'!J18</f>
        <v>11136.45772669627</v>
      </c>
      <c r="R48" s="57">
        <f>'[10]Total Distance Tables'!K18</f>
        <v>10696.2848385219</v>
      </c>
    </row>
    <row r="49" spans="3:18" ht="16" x14ac:dyDescent="0.2">
      <c r="C49" s="24" t="s">
        <v>2</v>
      </c>
      <c r="D49" s="55">
        <f>'[10]Total Distance Tables'!$B$29</f>
        <v>3709.9843593000001</v>
      </c>
      <c r="E49" s="56">
        <f t="shared" si="5"/>
        <v>3808.291934364257</v>
      </c>
      <c r="F49" s="56">
        <f t="shared" si="6"/>
        <v>3906.599509428514</v>
      </c>
      <c r="G49" s="56">
        <f t="shared" si="7"/>
        <v>4004.907084492771</v>
      </c>
      <c r="H49" s="56">
        <f t="shared" si="8"/>
        <v>4103.2146595570284</v>
      </c>
      <c r="I49" s="56">
        <f>'[10]Total Distance Tables'!C29</f>
        <v>4201.522234621285</v>
      </c>
      <c r="J49" s="56">
        <f t="shared" si="9"/>
        <v>4261.0467444578981</v>
      </c>
      <c r="K49" s="56">
        <f>'[10]Total Distance Tables'!D29</f>
        <v>4499.1447838043487</v>
      </c>
      <c r="L49" s="56">
        <f>'[10]Total Distance Tables'!E29</f>
        <v>4464.4837181094481</v>
      </c>
      <c r="M49" s="56">
        <f>'[10]Total Distance Tables'!F29</f>
        <v>4393.169291637988</v>
      </c>
      <c r="N49" s="56">
        <f>'[10]Total Distance Tables'!G29</f>
        <v>4266.8869174517185</v>
      </c>
      <c r="O49" s="56">
        <f>'[10]Total Distance Tables'!H29</f>
        <v>4114.5991489209227</v>
      </c>
      <c r="P49" s="56">
        <f>'[10]Total Distance Tables'!I29</f>
        <v>3942.4798661894433</v>
      </c>
      <c r="Q49" s="56">
        <f>'[10]Total Distance Tables'!J29</f>
        <v>3748.8298168027281</v>
      </c>
      <c r="R49" s="57">
        <f>'[10]Total Distance Tables'!K29</f>
        <v>3538.9092063919338</v>
      </c>
    </row>
    <row r="50" spans="3:18" ht="16" x14ac:dyDescent="0.2">
      <c r="C50" s="24" t="s">
        <v>3</v>
      </c>
      <c r="D50" s="55">
        <f>'[10]Total Distance Tables'!$B$40</f>
        <v>1972.0747595</v>
      </c>
      <c r="E50" s="56">
        <f t="shared" si="5"/>
        <v>2018.1450294378969</v>
      </c>
      <c r="F50" s="56">
        <f t="shared" si="6"/>
        <v>2064.2152993757936</v>
      </c>
      <c r="G50" s="56">
        <f t="shared" si="7"/>
        <v>2110.2855693136908</v>
      </c>
      <c r="H50" s="56">
        <f t="shared" si="8"/>
        <v>2156.355839251587</v>
      </c>
      <c r="I50" s="56">
        <f>'[10]Total Distance Tables'!C40</f>
        <v>2202.4261091894841</v>
      </c>
      <c r="J50" s="56">
        <f t="shared" si="9"/>
        <v>2230.4140172434463</v>
      </c>
      <c r="K50" s="56">
        <f>'[10]Total Distance Tables'!D40</f>
        <v>2342.3656494592965</v>
      </c>
      <c r="L50" s="56">
        <f>'[10]Total Distance Tables'!E40</f>
        <v>2308.8245529998385</v>
      </c>
      <c r="M50" s="56">
        <f>'[10]Total Distance Tables'!F40</f>
        <v>2257.3629230926776</v>
      </c>
      <c r="N50" s="56">
        <f>'[10]Total Distance Tables'!G40</f>
        <v>2177.5975562549547</v>
      </c>
      <c r="O50" s="56">
        <f>'[10]Total Distance Tables'!H40</f>
        <v>2085.6934802201063</v>
      </c>
      <c r="P50" s="56">
        <f>'[10]Total Distance Tables'!I40</f>
        <v>1984.9469310653926</v>
      </c>
      <c r="Q50" s="56">
        <f>'[10]Total Distance Tables'!J40</f>
        <v>1874.6992506846777</v>
      </c>
      <c r="R50" s="57">
        <f>'[10]Total Distance Tables'!K40</f>
        <v>1757.768855368809</v>
      </c>
    </row>
    <row r="51" spans="3:18" ht="16" x14ac:dyDescent="0.2">
      <c r="C51" s="24" t="s">
        <v>4</v>
      </c>
      <c r="D51" s="55">
        <f>'[10]Total Distance Tables'!$B$51</f>
        <v>241.40144318</v>
      </c>
      <c r="E51" s="56">
        <f t="shared" si="5"/>
        <v>244.39849377664439</v>
      </c>
      <c r="F51" s="56">
        <f t="shared" si="6"/>
        <v>247.3955443732888</v>
      </c>
      <c r="G51" s="56">
        <f t="shared" si="7"/>
        <v>250.39259496993316</v>
      </c>
      <c r="H51" s="56">
        <f t="shared" si="8"/>
        <v>253.38964556657757</v>
      </c>
      <c r="I51" s="56">
        <f>'[10]Total Distance Tables'!C51</f>
        <v>256.38669616322198</v>
      </c>
      <c r="J51" s="56">
        <f t="shared" si="9"/>
        <v>258.05737056461186</v>
      </c>
      <c r="K51" s="56">
        <f>'[10]Total Distance Tables'!D51</f>
        <v>264.74006817017136</v>
      </c>
      <c r="L51" s="56">
        <f>'[10]Total Distance Tables'!E51</f>
        <v>254.98896210861528</v>
      </c>
      <c r="M51" s="56">
        <f>'[10]Total Distance Tables'!F51</f>
        <v>243.70735181680345</v>
      </c>
      <c r="N51" s="56">
        <f>'[10]Total Distance Tables'!G51</f>
        <v>229.55572786790603</v>
      </c>
      <c r="O51" s="56">
        <f>'[10]Total Distance Tables'!H51</f>
        <v>214.71599979783102</v>
      </c>
      <c r="P51" s="56">
        <f>'[10]Total Distance Tables'!I51</f>
        <v>199.55666384253789</v>
      </c>
      <c r="Q51" s="56">
        <f>'[10]Total Distance Tables'!J51</f>
        <v>184.05700520206918</v>
      </c>
      <c r="R51" s="57">
        <f>'[10]Total Distance Tables'!K51</f>
        <v>168.5333764026401</v>
      </c>
    </row>
    <row r="52" spans="3:18" ht="16" x14ac:dyDescent="0.2">
      <c r="C52" s="24" t="s">
        <v>5</v>
      </c>
      <c r="D52" s="55">
        <f>'[10]Total Distance Tables'!$B$62</f>
        <v>1001.7566771</v>
      </c>
      <c r="E52" s="56">
        <f t="shared" si="5"/>
        <v>1015.5737844102665</v>
      </c>
      <c r="F52" s="56">
        <f t="shared" si="6"/>
        <v>1029.3908917205331</v>
      </c>
      <c r="G52" s="56">
        <f t="shared" si="7"/>
        <v>1043.2079990307993</v>
      </c>
      <c r="H52" s="56">
        <f t="shared" si="8"/>
        <v>1057.025106341066</v>
      </c>
      <c r="I52" s="56">
        <f>'[10]Total Distance Tables'!C62</f>
        <v>1070.8422136513325</v>
      </c>
      <c r="J52" s="56">
        <f t="shared" si="9"/>
        <v>1078.1572472646994</v>
      </c>
      <c r="K52" s="56">
        <f>'[10]Total Distance Tables'!D62</f>
        <v>1107.4173817181668</v>
      </c>
      <c r="L52" s="56">
        <f>'[10]Total Distance Tables'!E62</f>
        <v>1069.5667920302867</v>
      </c>
      <c r="M52" s="56">
        <f>'[10]Total Distance Tables'!F62</f>
        <v>1023.9236178325236</v>
      </c>
      <c r="N52" s="56">
        <f>'[10]Total Distance Tables'!G62</f>
        <v>967.51651936247458</v>
      </c>
      <c r="O52" s="56">
        <f>'[10]Total Distance Tables'!H62</f>
        <v>907.22473602574303</v>
      </c>
      <c r="P52" s="56">
        <f>'[10]Total Distance Tables'!I62</f>
        <v>845.27287109918939</v>
      </c>
      <c r="Q52" s="56">
        <f>'[10]Total Distance Tables'!J62</f>
        <v>781.56169724685697</v>
      </c>
      <c r="R52" s="57">
        <f>'[10]Total Distance Tables'!K62</f>
        <v>717.4259109478246</v>
      </c>
    </row>
    <row r="53" spans="3:18" ht="16" x14ac:dyDescent="0.2">
      <c r="C53" s="24" t="s">
        <v>6</v>
      </c>
      <c r="D53" s="55">
        <f>'[10]Total Distance Tables'!$B$73</f>
        <v>933.36875414999997</v>
      </c>
      <c r="E53" s="56">
        <f t="shared" si="5"/>
        <v>948.12698584534724</v>
      </c>
      <c r="F53" s="56">
        <f t="shared" si="6"/>
        <v>962.88521754069461</v>
      </c>
      <c r="G53" s="56">
        <f t="shared" si="7"/>
        <v>977.64344923604176</v>
      </c>
      <c r="H53" s="56">
        <f t="shared" si="8"/>
        <v>992.40168093138902</v>
      </c>
      <c r="I53" s="56">
        <f>'[10]Total Distance Tables'!C73</f>
        <v>1007.1599126267363</v>
      </c>
      <c r="J53" s="56">
        <f t="shared" si="9"/>
        <v>1015.7629607025567</v>
      </c>
      <c r="K53" s="56">
        <f>'[10]Total Distance Tables'!D73</f>
        <v>1050.1751530058386</v>
      </c>
      <c r="L53" s="56">
        <f>'[10]Total Distance Tables'!E73</f>
        <v>1023.8304109406012</v>
      </c>
      <c r="M53" s="56">
        <f>'[10]Total Distance Tables'!F73</f>
        <v>990.52267519615827</v>
      </c>
      <c r="N53" s="56">
        <f>'[10]Total Distance Tables'!G73</f>
        <v>947.29906273191011</v>
      </c>
      <c r="O53" s="56">
        <f>'[10]Total Distance Tables'!H73</f>
        <v>900.33581911087242</v>
      </c>
      <c r="P53" s="56">
        <f>'[10]Total Distance Tables'!I73</f>
        <v>850.25168820753299</v>
      </c>
      <c r="Q53" s="56">
        <f>'[10]Total Distance Tables'!J73</f>
        <v>796.8466780724342</v>
      </c>
      <c r="R53" s="57">
        <f>'[10]Total Distance Tables'!K73</f>
        <v>741.39471145671973</v>
      </c>
    </row>
    <row r="54" spans="3:18" ht="16" x14ac:dyDescent="0.2">
      <c r="C54" s="24" t="s">
        <v>7</v>
      </c>
      <c r="D54" s="55">
        <f>'[10]Total Distance Tables'!$B$84</f>
        <v>1782.4745101999999</v>
      </c>
      <c r="E54" s="56">
        <f t="shared" si="5"/>
        <v>1807.6533809756972</v>
      </c>
      <c r="F54" s="56">
        <f t="shared" si="6"/>
        <v>1832.8322517513948</v>
      </c>
      <c r="G54" s="56">
        <f t="shared" si="7"/>
        <v>1858.0111225270916</v>
      </c>
      <c r="H54" s="56">
        <f t="shared" si="8"/>
        <v>1883.1899933027892</v>
      </c>
      <c r="I54" s="56">
        <f>'[10]Total Distance Tables'!C84</f>
        <v>1908.3688640784865</v>
      </c>
      <c r="J54" s="56">
        <f t="shared" si="9"/>
        <v>1920.220401445873</v>
      </c>
      <c r="K54" s="56">
        <f>'[10]Total Distance Tables'!D84</f>
        <v>1967.6265509154196</v>
      </c>
      <c r="L54" s="56">
        <f>'[10]Total Distance Tables'!E84</f>
        <v>1894.6110863988736</v>
      </c>
      <c r="M54" s="56">
        <f>'[10]Total Distance Tables'!F84</f>
        <v>1810.1686378092743</v>
      </c>
      <c r="N54" s="56">
        <f>'[10]Total Distance Tables'!G84</f>
        <v>1707.7657004107891</v>
      </c>
      <c r="O54" s="56">
        <f>'[10]Total Distance Tables'!H84</f>
        <v>1599.2192043823384</v>
      </c>
      <c r="P54" s="56">
        <f>'[10]Total Distance Tables'!I84</f>
        <v>1488.0353878597055</v>
      </c>
      <c r="Q54" s="56">
        <f>'[10]Total Distance Tables'!J84</f>
        <v>1374.0508713660997</v>
      </c>
      <c r="R54" s="57">
        <f>'[10]Total Distance Tables'!K84</f>
        <v>1259.620783885633</v>
      </c>
    </row>
    <row r="55" spans="3:18" ht="16" x14ac:dyDescent="0.2">
      <c r="C55" s="24" t="s">
        <v>8</v>
      </c>
      <c r="D55" s="55">
        <f>'[10]Total Distance Tables'!$B$95</f>
        <v>3481.4296611999998</v>
      </c>
      <c r="E55" s="56">
        <f t="shared" si="5"/>
        <v>3543.6912815719506</v>
      </c>
      <c r="F55" s="56">
        <f t="shared" si="6"/>
        <v>3605.9529019439015</v>
      </c>
      <c r="G55" s="56">
        <f t="shared" si="7"/>
        <v>3668.2145223158523</v>
      </c>
      <c r="H55" s="56">
        <f t="shared" si="8"/>
        <v>3730.4761426878031</v>
      </c>
      <c r="I55" s="56">
        <f>'[10]Total Distance Tables'!C95</f>
        <v>3792.7377630597539</v>
      </c>
      <c r="J55" s="56">
        <f t="shared" si="9"/>
        <v>3826.4559955412569</v>
      </c>
      <c r="K55" s="56">
        <f>'[10]Total Distance Tables'!D95</f>
        <v>3961.3289254672682</v>
      </c>
      <c r="L55" s="56">
        <f>'[10]Total Distance Tables'!E95</f>
        <v>3857.6002433025947</v>
      </c>
      <c r="M55" s="56">
        <f>'[10]Total Distance Tables'!F95</f>
        <v>3734.3851327734587</v>
      </c>
      <c r="N55" s="56">
        <f>'[10]Total Distance Tables'!G95</f>
        <v>3570.7834202016065</v>
      </c>
      <c r="O55" s="56">
        <f>'[10]Total Distance Tables'!H95</f>
        <v>3387.9056731434598</v>
      </c>
      <c r="P55" s="56">
        <f>'[10]Total Distance Tables'!I95</f>
        <v>3193.803817841128</v>
      </c>
      <c r="Q55" s="56">
        <f>'[10]Total Distance Tables'!J95</f>
        <v>2987.220237977122</v>
      </c>
      <c r="R55" s="57">
        <f>'[10]Total Distance Tables'!K95</f>
        <v>2773.1945193249844</v>
      </c>
    </row>
    <row r="56" spans="3:18" ht="16" x14ac:dyDescent="0.2">
      <c r="C56" s="24" t="s">
        <v>9</v>
      </c>
      <c r="D56" s="55">
        <f>'[10]Total Distance Tables'!$B$106</f>
        <v>1012.1329009999999</v>
      </c>
      <c r="E56" s="56">
        <f t="shared" si="5"/>
        <v>1028.1589763599168</v>
      </c>
      <c r="F56" s="56">
        <f t="shared" si="6"/>
        <v>1044.1850517198336</v>
      </c>
      <c r="G56" s="56">
        <f t="shared" si="7"/>
        <v>1060.2111270797504</v>
      </c>
      <c r="H56" s="56">
        <f t="shared" si="8"/>
        <v>1076.2372024396673</v>
      </c>
      <c r="I56" s="56">
        <f>'[10]Total Distance Tables'!C106</f>
        <v>1092.2632777995841</v>
      </c>
      <c r="J56" s="56">
        <f t="shared" si="9"/>
        <v>1101.9550577608304</v>
      </c>
      <c r="K56" s="56">
        <f>'[10]Total Distance Tables'!D106</f>
        <v>1140.7221776058159</v>
      </c>
      <c r="L56" s="56">
        <f>'[10]Total Distance Tables'!E106</f>
        <v>1109.5502388131681</v>
      </c>
      <c r="M56" s="56">
        <f>'[10]Total Distance Tables'!F106</f>
        <v>1070.2491818289316</v>
      </c>
      <c r="N56" s="56">
        <f>'[10]Total Distance Tables'!G106</f>
        <v>1018.3480480803144</v>
      </c>
      <c r="O56" s="56">
        <f>'[10]Total Distance Tables'!H106</f>
        <v>960.03193508891297</v>
      </c>
      <c r="P56" s="56">
        <f>'[10]Total Distance Tables'!I106</f>
        <v>899.33430030691625</v>
      </c>
      <c r="Q56" s="56">
        <f>'[10]Total Distance Tables'!J106</f>
        <v>836.10616907855217</v>
      </c>
      <c r="R56" s="57">
        <f>'[10]Total Distance Tables'!K106</f>
        <v>771.73763095601225</v>
      </c>
    </row>
    <row r="57" spans="3:18" ht="16" x14ac:dyDescent="0.2">
      <c r="C57" s="24" t="s">
        <v>10</v>
      </c>
      <c r="D57" s="55">
        <f>'[10]Total Distance Tables'!$B$117</f>
        <v>226.22434741999999</v>
      </c>
      <c r="E57" s="56">
        <f t="shared" si="5"/>
        <v>226.84121542062041</v>
      </c>
      <c r="F57" s="56">
        <f t="shared" si="6"/>
        <v>227.45808342124081</v>
      </c>
      <c r="G57" s="56">
        <f t="shared" si="7"/>
        <v>228.07495142186121</v>
      </c>
      <c r="H57" s="56">
        <f t="shared" si="8"/>
        <v>228.69181942248161</v>
      </c>
      <c r="I57" s="56">
        <f>'[10]Total Distance Tables'!C117</f>
        <v>229.30868742310201</v>
      </c>
      <c r="J57" s="56">
        <f t="shared" si="9"/>
        <v>229.94015481822174</v>
      </c>
      <c r="K57" s="56">
        <f>'[10]Total Distance Tables'!D117</f>
        <v>232.46602439870051</v>
      </c>
      <c r="L57" s="56">
        <f>'[10]Total Distance Tables'!E117</f>
        <v>219.85548210533702</v>
      </c>
      <c r="M57" s="56">
        <f>'[10]Total Distance Tables'!F117</f>
        <v>206.28836254845461</v>
      </c>
      <c r="N57" s="56">
        <f>'[10]Total Distance Tables'!G117</f>
        <v>191.03465313775982</v>
      </c>
      <c r="O57" s="56">
        <f>'[10]Total Distance Tables'!H117</f>
        <v>175.73921755348587</v>
      </c>
      <c r="P57" s="56">
        <f>'[10]Total Distance Tables'!I117</f>
        <v>160.63892020432047</v>
      </c>
      <c r="Q57" s="56">
        <f>'[10]Total Distance Tables'!J117</f>
        <v>145.71932576653955</v>
      </c>
      <c r="R57" s="57">
        <f>'[10]Total Distance Tables'!K117</f>
        <v>131.22935183993863</v>
      </c>
    </row>
    <row r="58" spans="3:18" ht="16" x14ac:dyDescent="0.2">
      <c r="C58" s="24" t="s">
        <v>11</v>
      </c>
      <c r="D58" s="55">
        <f>'[10]Total Distance Tables'!$B$128</f>
        <v>3777.041205</v>
      </c>
      <c r="E58" s="56">
        <f t="shared" si="5"/>
        <v>3882.4079889012328</v>
      </c>
      <c r="F58" s="56">
        <f t="shared" si="6"/>
        <v>3987.7747728024665</v>
      </c>
      <c r="G58" s="56">
        <f t="shared" si="7"/>
        <v>4093.1415567036993</v>
      </c>
      <c r="H58" s="56">
        <f t="shared" si="8"/>
        <v>4198.5083406049325</v>
      </c>
      <c r="I58" s="56">
        <f>'[10]Total Distance Tables'!C128</f>
        <v>4303.8751245061658</v>
      </c>
      <c r="J58" s="56">
        <f t="shared" si="9"/>
        <v>4373.136751882731</v>
      </c>
      <c r="K58" s="56">
        <f>'[10]Total Distance Tables'!D128</f>
        <v>4650.1832613889947</v>
      </c>
      <c r="L58" s="56">
        <f>'[10]Total Distance Tables'!E128</f>
        <v>4625.6951947417838</v>
      </c>
      <c r="M58" s="56">
        <f>'[10]Total Distance Tables'!F128</f>
        <v>4568.1022952198146</v>
      </c>
      <c r="N58" s="56">
        <f>'[10]Total Distance Tables'!G128</f>
        <v>4455.3852781229716</v>
      </c>
      <c r="O58" s="56">
        <f>'[10]Total Distance Tables'!H128</f>
        <v>4313.2787920905839</v>
      </c>
      <c r="P58" s="56">
        <f>'[10]Total Distance Tables'!I128</f>
        <v>4149.1138131235475</v>
      </c>
      <c r="Q58" s="56">
        <f>'[10]Total Distance Tables'!J128</f>
        <v>3960.841422139184</v>
      </c>
      <c r="R58" s="57">
        <f>'[10]Total Distance Tables'!K128</f>
        <v>3753.7644418577588</v>
      </c>
    </row>
    <row r="59" spans="3:18" ht="16" x14ac:dyDescent="0.2">
      <c r="C59" s="24" t="s">
        <v>12</v>
      </c>
      <c r="D59" s="55">
        <f>'[10]Total Distance Tables'!$B$139</f>
        <v>1192.1699989000001</v>
      </c>
      <c r="E59" s="56">
        <f t="shared" si="5"/>
        <v>1219.1191650040303</v>
      </c>
      <c r="F59" s="56">
        <f t="shared" si="6"/>
        <v>1246.0683311080606</v>
      </c>
      <c r="G59" s="56">
        <f t="shared" si="7"/>
        <v>1273.0174972120908</v>
      </c>
      <c r="H59" s="56">
        <f t="shared" si="8"/>
        <v>1299.966663316121</v>
      </c>
      <c r="I59" s="56">
        <f>'[10]Total Distance Tables'!C139</f>
        <v>1326.9158294201511</v>
      </c>
      <c r="J59" s="56">
        <f t="shared" si="9"/>
        <v>1342.7230159850999</v>
      </c>
      <c r="K59" s="56">
        <f>'[10]Total Distance Tables'!D139</f>
        <v>1405.9517622448946</v>
      </c>
      <c r="L59" s="56">
        <f>'[10]Total Distance Tables'!E139</f>
        <v>1375.8999131901842</v>
      </c>
      <c r="M59" s="56">
        <f>'[10]Total Distance Tables'!F139</f>
        <v>1337.343758317917</v>
      </c>
      <c r="N59" s="56">
        <f>'[10]Total Distance Tables'!G139</f>
        <v>1284.5628223047361</v>
      </c>
      <c r="O59" s="56">
        <f>'[10]Total Distance Tables'!H139</f>
        <v>1225.0085797935633</v>
      </c>
      <c r="P59" s="56">
        <f>'[10]Total Distance Tables'!I139</f>
        <v>1160.7761221020037</v>
      </c>
      <c r="Q59" s="56">
        <f>'[10]Total Distance Tables'!J139</f>
        <v>1091.5461202686454</v>
      </c>
      <c r="R59" s="57">
        <f>'[10]Total Distance Tables'!K139</f>
        <v>1019.0210811487226</v>
      </c>
    </row>
    <row r="60" spans="3:18" ht="17" thickBot="1" x14ac:dyDescent="0.25">
      <c r="C60" s="25" t="s">
        <v>13</v>
      </c>
      <c r="D60" s="58">
        <f>'[10]Total Distance Tables'!B150</f>
        <v>657.74873722999996</v>
      </c>
      <c r="E60" s="59">
        <f t="shared" si="5"/>
        <v>666.10687787749396</v>
      </c>
      <c r="F60" s="59">
        <f t="shared" si="6"/>
        <v>674.46501852498784</v>
      </c>
      <c r="G60" s="59">
        <f t="shared" si="7"/>
        <v>682.82315917248184</v>
      </c>
      <c r="H60" s="59">
        <f t="shared" si="8"/>
        <v>691.18129981997572</v>
      </c>
      <c r="I60" s="59">
        <f>'[10]Total Distance Tables'!C150</f>
        <v>699.53944046746972</v>
      </c>
      <c r="J60" s="59">
        <f t="shared" si="9"/>
        <v>702.75262629083431</v>
      </c>
      <c r="K60" s="59">
        <f>'[10]Total Distance Tables'!D150</f>
        <v>715.60536958429316</v>
      </c>
      <c r="L60" s="59">
        <f>'[10]Total Distance Tables'!E150</f>
        <v>684.378162443919</v>
      </c>
      <c r="M60" s="59">
        <f>'[10]Total Distance Tables'!F150</f>
        <v>650.19767466821463</v>
      </c>
      <c r="N60" s="59">
        <f>'[10]Total Distance Tables'!G150</f>
        <v>610.00192053134595</v>
      </c>
      <c r="O60" s="59">
        <f>'[10]Total Distance Tables'!H150</f>
        <v>568.25837135413246</v>
      </c>
      <c r="P60" s="59">
        <f>'[10]Total Distance Tables'!I150</f>
        <v>526.00035311421527</v>
      </c>
      <c r="Q60" s="59">
        <f>'[10]Total Distance Tables'!J150</f>
        <v>483.18174540859769</v>
      </c>
      <c r="R60" s="60">
        <f>'[10]Total Distance Tables'!K150</f>
        <v>440.63851465856482</v>
      </c>
    </row>
    <row r="61" spans="3:18" ht="19" thickTop="1" thickBot="1" x14ac:dyDescent="0.25">
      <c r="C61" s="31" t="s">
        <v>24</v>
      </c>
      <c r="D61" s="61">
        <f t="shared" ref="D61:O61" si="10">SUM(D47:D60)</f>
        <v>30373.708042980001</v>
      </c>
      <c r="E61" s="59">
        <f t="shared" si="10"/>
        <v>31128.955344014659</v>
      </c>
      <c r="F61" s="59">
        <f t="shared" si="10"/>
        <v>31884.202645049318</v>
      </c>
      <c r="G61" s="59">
        <f t="shared" si="10"/>
        <v>32639.449946083987</v>
      </c>
      <c r="H61" s="59">
        <f t="shared" si="10"/>
        <v>33394.697247118645</v>
      </c>
      <c r="I61" s="62">
        <f t="shared" si="10"/>
        <v>34149.944548153297</v>
      </c>
      <c r="J61" s="62">
        <f t="shared" ref="J61" si="11">SUM(J47:J60)</f>
        <v>34622.420763741735</v>
      </c>
      <c r="K61" s="62">
        <f t="shared" si="10"/>
        <v>36512.325626095429</v>
      </c>
      <c r="L61" s="62">
        <f t="shared" si="10"/>
        <v>36141.601568846076</v>
      </c>
      <c r="M61" s="62">
        <f t="shared" si="10"/>
        <v>35553.870294072323</v>
      </c>
      <c r="N61" s="62">
        <f t="shared" si="10"/>
        <v>34518.076944987806</v>
      </c>
      <c r="O61" s="62">
        <f t="shared" si="10"/>
        <v>33261.256660992098</v>
      </c>
      <c r="P61" s="62">
        <f t="shared" ref="P61:R61" si="12">SUM(P47:P60)</f>
        <v>31861.009786142728</v>
      </c>
      <c r="Q61" s="62">
        <f t="shared" si="12"/>
        <v>30293.510256641224</v>
      </c>
      <c r="R61" s="63">
        <f t="shared" si="12"/>
        <v>28598.30385407529</v>
      </c>
    </row>
    <row r="62" spans="3:18" ht="18" thickTop="1" thickBot="1" x14ac:dyDescent="0.25">
      <c r="C62" s="8" t="s">
        <v>35</v>
      </c>
      <c r="D62" s="62">
        <f>'[10]Total Distance Tables'!$B$161</f>
        <v>30373.708042980001</v>
      </c>
      <c r="E62" s="62">
        <f>D62*4/5 + I62/5</f>
        <v>31128.955344014663</v>
      </c>
      <c r="F62" s="62">
        <f>D62*3/5+I62*2/5</f>
        <v>31884.202645049321</v>
      </c>
      <c r="G62" s="62">
        <f t="shared" si="7"/>
        <v>32639.44994608398</v>
      </c>
      <c r="H62" s="62">
        <f t="shared" si="8"/>
        <v>33394.697247118638</v>
      </c>
      <c r="I62" s="62">
        <f>'[10]Total Distance Tables'!C161</f>
        <v>34149.944548153297</v>
      </c>
      <c r="J62" s="62"/>
      <c r="K62" s="62">
        <f>'[10]Total Distance Tables'!D161</f>
        <v>36512.325626095429</v>
      </c>
      <c r="L62" s="62">
        <f>'[10]Total Distance Tables'!E161</f>
        <v>36141.601568846076</v>
      </c>
      <c r="M62" s="62">
        <f>'[10]Total Distance Tables'!F161</f>
        <v>35553.870294072323</v>
      </c>
      <c r="N62" s="62">
        <f>'[10]Total Distance Tables'!G161</f>
        <v>34518.076944987806</v>
      </c>
      <c r="O62" s="62">
        <f>'[10]Total Distance Tables'!H161</f>
        <v>33261.256660992098</v>
      </c>
      <c r="P62" s="62">
        <f>'[10]Total Distance Tables'!I161</f>
        <v>31861.009786142728</v>
      </c>
      <c r="Q62" s="62">
        <f>'[10]Total Distance Tables'!J161</f>
        <v>30293.510256641224</v>
      </c>
      <c r="R62" s="63">
        <f>'[10]Total Distance Tables'!K161</f>
        <v>28598.30385407529</v>
      </c>
    </row>
    <row r="63" spans="3:18" ht="14" thickTop="1" x14ac:dyDescent="0.15">
      <c r="C63" s="43"/>
      <c r="D63" s="43"/>
      <c r="E63" s="53"/>
      <c r="F63" s="53"/>
      <c r="G63" s="56"/>
      <c r="H63" s="56"/>
      <c r="I63" s="43"/>
      <c r="J63" s="43"/>
      <c r="K63" s="43"/>
      <c r="L63" s="43"/>
      <c r="M63" s="43"/>
      <c r="N63" s="43"/>
      <c r="O63" s="43"/>
    </row>
    <row r="64" spans="3:18" ht="14" thickBot="1" x14ac:dyDescent="0.2"/>
    <row r="65" spans="3:18" ht="17" thickTop="1" x14ac:dyDescent="0.2">
      <c r="C65" s="32" t="s">
        <v>146</v>
      </c>
      <c r="D65" s="33"/>
      <c r="E65" s="33"/>
      <c r="F65" s="33"/>
      <c r="G65" s="33"/>
      <c r="H65" s="33"/>
      <c r="I65" s="33"/>
      <c r="J65" s="33"/>
      <c r="K65" s="34"/>
      <c r="L65" s="34"/>
      <c r="M65" s="34"/>
      <c r="N65" s="34"/>
      <c r="O65" s="34"/>
      <c r="P65" s="34"/>
      <c r="Q65" s="34"/>
      <c r="R65" s="35"/>
    </row>
    <row r="66" spans="3:18" ht="14" thickBot="1" x14ac:dyDescent="0.2">
      <c r="C66" s="36"/>
      <c r="D66" s="37" t="s">
        <v>25</v>
      </c>
      <c r="E66" s="37" t="s">
        <v>37</v>
      </c>
      <c r="F66" s="37" t="s">
        <v>38</v>
      </c>
      <c r="G66" s="37" t="s">
        <v>177</v>
      </c>
      <c r="H66" s="37" t="s">
        <v>178</v>
      </c>
      <c r="I66" s="37" t="s">
        <v>26</v>
      </c>
      <c r="J66" s="37"/>
      <c r="K66" s="37" t="s">
        <v>27</v>
      </c>
      <c r="L66" s="37" t="s">
        <v>28</v>
      </c>
      <c r="M66" s="37" t="s">
        <v>29</v>
      </c>
      <c r="N66" s="37" t="s">
        <v>30</v>
      </c>
      <c r="O66" s="37" t="s">
        <v>31</v>
      </c>
      <c r="P66" s="37" t="s">
        <v>174</v>
      </c>
      <c r="Q66" s="37" t="s">
        <v>175</v>
      </c>
      <c r="R66" s="38" t="s">
        <v>176</v>
      </c>
    </row>
    <row r="67" spans="3:18" ht="15" thickTop="1" thickBot="1" x14ac:dyDescent="0.2">
      <c r="C67" s="18"/>
      <c r="D67" s="65" t="s">
        <v>39</v>
      </c>
      <c r="E67" s="65" t="s">
        <v>32</v>
      </c>
      <c r="F67" s="65" t="s">
        <v>32</v>
      </c>
      <c r="G67" s="65" t="s">
        <v>32</v>
      </c>
      <c r="H67" s="65" t="s">
        <v>32</v>
      </c>
      <c r="I67" s="65" t="s">
        <v>32</v>
      </c>
      <c r="J67" s="65"/>
      <c r="K67" s="65" t="s">
        <v>32</v>
      </c>
      <c r="L67" s="65" t="s">
        <v>32</v>
      </c>
      <c r="M67" s="65" t="s">
        <v>32</v>
      </c>
      <c r="N67" s="65" t="s">
        <v>32</v>
      </c>
      <c r="O67" s="65" t="s">
        <v>32</v>
      </c>
      <c r="P67" s="65" t="s">
        <v>32</v>
      </c>
      <c r="Q67" s="65" t="s">
        <v>32</v>
      </c>
      <c r="R67" s="66" t="s">
        <v>32</v>
      </c>
    </row>
    <row r="68" spans="3:18" ht="17" thickTop="1" x14ac:dyDescent="0.2">
      <c r="C68" s="24" t="s">
        <v>0</v>
      </c>
      <c r="D68" s="52">
        <f>'[10]Total Distance Tables'!$B$8</f>
        <v>666.23785996000004</v>
      </c>
      <c r="E68" s="53">
        <f t="shared" ref="E68:E81" si="13">D68*4/5 + I68/5</f>
        <v>673.71693548027793</v>
      </c>
      <c r="F68" s="53">
        <f t="shared" ref="F68:F81" si="14">D68*3/5+I68*2/5</f>
        <v>681.19601100055581</v>
      </c>
      <c r="G68" s="53">
        <f>D68*2/5+I68*3/5</f>
        <v>688.6750865208337</v>
      </c>
      <c r="H68" s="53">
        <f>D68*1/5+I68*4/5</f>
        <v>696.1541620411117</v>
      </c>
      <c r="I68" s="53">
        <f>'[10]Total Distance Tables'!C8</f>
        <v>703.63323756138959</v>
      </c>
      <c r="J68" s="53">
        <f t="shared" ref="J68:J81" si="15">I68*4/5+K68/5</f>
        <v>707.96898254279495</v>
      </c>
      <c r="K68" s="53">
        <f>'[10]Total Distance Tables'!D8</f>
        <v>725.31196246841682</v>
      </c>
      <c r="L68" s="53">
        <f>'[10]Total Distance Tables'!E8</f>
        <v>700.41741403491619</v>
      </c>
      <c r="M68" s="53">
        <f>'[10]Total Distance Tables'!F8</f>
        <v>668.64891358529042</v>
      </c>
      <c r="N68" s="53">
        <f>'[10]Total Distance Tables'!G8</f>
        <v>632.53755460716218</v>
      </c>
      <c r="O68" s="53">
        <f>'[10]Total Distance Tables'!H8</f>
        <v>592.86507241311529</v>
      </c>
      <c r="P68" s="53">
        <f>'[10]Total Distance Tables'!I8</f>
        <v>559.48234791662503</v>
      </c>
      <c r="Q68" s="53">
        <f>'[10]Total Distance Tables'!J8</f>
        <v>523.96559199600983</v>
      </c>
      <c r="R68" s="54">
        <f>'[10]Total Distance Tables'!K8</f>
        <v>487.15583738691299</v>
      </c>
    </row>
    <row r="69" spans="3:18" ht="16" x14ac:dyDescent="0.2">
      <c r="C69" s="24" t="s">
        <v>1</v>
      </c>
      <c r="D69" s="55">
        <f>'[10]Total Distance Tables'!$B$19</f>
        <v>4814.6436660999998</v>
      </c>
      <c r="E69" s="56">
        <f t="shared" si="13"/>
        <v>4926.8146432077747</v>
      </c>
      <c r="F69" s="56">
        <f t="shared" si="14"/>
        <v>5038.9856203155496</v>
      </c>
      <c r="G69" s="56">
        <f t="shared" ref="G69:G81" si="16">D69*2/5+I69*3/5</f>
        <v>5151.1565974233254</v>
      </c>
      <c r="H69" s="56">
        <f t="shared" ref="H69:H81" si="17">D69*1/5+I69*4/5</f>
        <v>5263.3275745311003</v>
      </c>
      <c r="I69" s="56">
        <f>'[10]Total Distance Tables'!C19</f>
        <v>5375.4985516388751</v>
      </c>
      <c r="J69" s="56">
        <f t="shared" si="15"/>
        <v>5437.3964793220548</v>
      </c>
      <c r="K69" s="56">
        <f>'[10]Total Distance Tables'!D19</f>
        <v>5684.9881900547743</v>
      </c>
      <c r="L69" s="56">
        <f>'[10]Total Distance Tables'!E19</f>
        <v>5588.0205095849515</v>
      </c>
      <c r="M69" s="56">
        <f>'[10]Total Distance Tables'!F19</f>
        <v>5493.0124360401223</v>
      </c>
      <c r="N69" s="56">
        <f>'[10]Total Distance Tables'!G19</f>
        <v>5344.9869701894431</v>
      </c>
      <c r="O69" s="56">
        <f>'[10]Total Distance Tables'!H19</f>
        <v>5151.1272856474861</v>
      </c>
      <c r="P69" s="56">
        <f>'[10]Total Distance Tables'!I19</f>
        <v>5009.4782035068456</v>
      </c>
      <c r="Q69" s="56">
        <f>'[10]Total Distance Tables'!J19</f>
        <v>4832.8496961553064</v>
      </c>
      <c r="R69" s="57">
        <f>'[10]Total Distance Tables'!K19</f>
        <v>4624.9337129503847</v>
      </c>
    </row>
    <row r="70" spans="3:18" ht="16" x14ac:dyDescent="0.2">
      <c r="C70" s="24" t="s">
        <v>2</v>
      </c>
      <c r="D70" s="55">
        <f>'[10]Total Distance Tables'!$B$30</f>
        <v>1955.0668243</v>
      </c>
      <c r="E70" s="56">
        <f t="shared" si="13"/>
        <v>1989.030753485878</v>
      </c>
      <c r="F70" s="56">
        <f t="shared" si="14"/>
        <v>2022.9946826717555</v>
      </c>
      <c r="G70" s="56">
        <f t="shared" si="16"/>
        <v>2056.9586118576335</v>
      </c>
      <c r="H70" s="56">
        <f t="shared" si="17"/>
        <v>2090.922541043511</v>
      </c>
      <c r="I70" s="56">
        <f>'[10]Total Distance Tables'!C30</f>
        <v>2124.886470229389</v>
      </c>
      <c r="J70" s="56">
        <f t="shared" si="15"/>
        <v>2144.4641104951334</v>
      </c>
      <c r="K70" s="56">
        <f>'[10]Total Distance Tables'!D30</f>
        <v>2222.7746715581102</v>
      </c>
      <c r="L70" s="56">
        <f>'[10]Total Distance Tables'!E30</f>
        <v>2175.358983629083</v>
      </c>
      <c r="M70" s="56">
        <f>'[10]Total Distance Tables'!F30</f>
        <v>2107.3687009452751</v>
      </c>
      <c r="N70" s="56">
        <f>'[10]Total Distance Tables'!G30</f>
        <v>2024.1914440388073</v>
      </c>
      <c r="O70" s="56">
        <f>'[10]Total Distance Tables'!H30</f>
        <v>1928.4616103325534</v>
      </c>
      <c r="P70" s="56">
        <f>'[10]Total Distance Tables'!I30</f>
        <v>1849.8281498024055</v>
      </c>
      <c r="Q70" s="56">
        <f>'[10]Total Distance Tables'!J30</f>
        <v>1760.911892889183</v>
      </c>
      <c r="R70" s="57">
        <f>'[10]Total Distance Tables'!K30</f>
        <v>1664.1506228673302</v>
      </c>
    </row>
    <row r="71" spans="3:18" ht="16" x14ac:dyDescent="0.2">
      <c r="C71" s="24" t="s">
        <v>3</v>
      </c>
      <c r="D71" s="55">
        <f>'[10]Total Distance Tables'!$B$41</f>
        <v>1385.2330090999999</v>
      </c>
      <c r="E71" s="56">
        <f t="shared" si="13"/>
        <v>1405.1275239556185</v>
      </c>
      <c r="F71" s="56">
        <f t="shared" si="14"/>
        <v>1425.0220388112366</v>
      </c>
      <c r="G71" s="56">
        <f t="shared" si="16"/>
        <v>1444.9165536668552</v>
      </c>
      <c r="H71" s="56">
        <f t="shared" si="17"/>
        <v>1464.8110685224738</v>
      </c>
      <c r="I71" s="56">
        <f>'[10]Total Distance Tables'!C41</f>
        <v>1484.7055833780921</v>
      </c>
      <c r="J71" s="56">
        <f t="shared" si="15"/>
        <v>1496.2679601480336</v>
      </c>
      <c r="K71" s="56">
        <f>'[10]Total Distance Tables'!D41</f>
        <v>1542.5174672277992</v>
      </c>
      <c r="L71" s="56">
        <f>'[10]Total Distance Tables'!E41</f>
        <v>1499.5486296087083</v>
      </c>
      <c r="M71" s="56">
        <f>'[10]Total Distance Tables'!F41</f>
        <v>1443.3574681922848</v>
      </c>
      <c r="N71" s="56">
        <f>'[10]Total Distance Tables'!G41</f>
        <v>1376.9811717584339</v>
      </c>
      <c r="O71" s="56">
        <f>'[10]Total Distance Tables'!H41</f>
        <v>1302.9983905973763</v>
      </c>
      <c r="P71" s="56">
        <f>'[10]Total Distance Tables'!I41</f>
        <v>1241.4256940906569</v>
      </c>
      <c r="Q71" s="56">
        <f>'[10]Total Distance Tables'!J41</f>
        <v>1173.7711659973318</v>
      </c>
      <c r="R71" s="57">
        <f>'[10]Total Distance Tables'!K41</f>
        <v>1101.7800551840251</v>
      </c>
    </row>
    <row r="72" spans="3:18" ht="16" x14ac:dyDescent="0.2">
      <c r="C72" s="24" t="s">
        <v>4</v>
      </c>
      <c r="D72" s="55">
        <f>'[10]Total Distance Tables'!$B$52</f>
        <v>174.74236519999999</v>
      </c>
      <c r="E72" s="56">
        <f t="shared" si="13"/>
        <v>175.41630781590331</v>
      </c>
      <c r="F72" s="56">
        <f t="shared" si="14"/>
        <v>176.09025043180662</v>
      </c>
      <c r="G72" s="56">
        <f t="shared" si="16"/>
        <v>176.76419304770997</v>
      </c>
      <c r="H72" s="56">
        <f t="shared" si="17"/>
        <v>177.43813566361325</v>
      </c>
      <c r="I72" s="56">
        <f>'[10]Total Distance Tables'!C52</f>
        <v>178.1120782795166</v>
      </c>
      <c r="J72" s="56">
        <f t="shared" si="15"/>
        <v>178.42187537175687</v>
      </c>
      <c r="K72" s="56">
        <f>'[10]Total Distance Tables'!D52</f>
        <v>179.66106374071808</v>
      </c>
      <c r="L72" s="56">
        <f>'[10]Total Distance Tables'!E52</f>
        <v>170.66713324779872</v>
      </c>
      <c r="M72" s="56">
        <f>'[10]Total Distance Tables'!F52</f>
        <v>160.58317374656517</v>
      </c>
      <c r="N72" s="56">
        <f>'[10]Total Distance Tables'!G52</f>
        <v>149.58822382661114</v>
      </c>
      <c r="O72" s="56">
        <f>'[10]Total Distance Tables'!H52</f>
        <v>138.2345788126556</v>
      </c>
      <c r="P72" s="56">
        <f>'[10]Total Distance Tables'!I52</f>
        <v>128.61657931706796</v>
      </c>
      <c r="Q72" s="56">
        <f>'[10]Total Distance Tables'!J52</f>
        <v>118.75805401632311</v>
      </c>
      <c r="R72" s="57">
        <f>'[10]Total Distance Tables'!K52</f>
        <v>108.86241211309982</v>
      </c>
    </row>
    <row r="73" spans="3:18" ht="16" x14ac:dyDescent="0.2">
      <c r="C73" s="24" t="s">
        <v>5</v>
      </c>
      <c r="D73" s="55">
        <f>'[10]Total Distance Tables'!$B$63</f>
        <v>607.82570181000006</v>
      </c>
      <c r="E73" s="56">
        <f t="shared" si="13"/>
        <v>610.97359140953222</v>
      </c>
      <c r="F73" s="56">
        <f t="shared" si="14"/>
        <v>614.12148100906438</v>
      </c>
      <c r="G73" s="56">
        <f t="shared" si="16"/>
        <v>617.26937060859666</v>
      </c>
      <c r="H73" s="56">
        <f t="shared" si="17"/>
        <v>620.41726020812882</v>
      </c>
      <c r="I73" s="56">
        <f>'[10]Total Distance Tables'!C63</f>
        <v>623.56514980766099</v>
      </c>
      <c r="J73" s="56">
        <f t="shared" si="15"/>
        <v>624.84154330733611</v>
      </c>
      <c r="K73" s="56">
        <f>'[10]Total Distance Tables'!D63</f>
        <v>629.94711730603649</v>
      </c>
      <c r="L73" s="56">
        <f>'[10]Total Distance Tables'!E63</f>
        <v>600.06029274144498</v>
      </c>
      <c r="M73" s="56">
        <f>'[10]Total Distance Tables'!F63</f>
        <v>565.53232516189712</v>
      </c>
      <c r="N73" s="56">
        <f>'[10]Total Distance Tables'!G63</f>
        <v>528.47704427654003</v>
      </c>
      <c r="O73" s="56">
        <f>'[10]Total Distance Tables'!H63</f>
        <v>489.5822182954663</v>
      </c>
      <c r="P73" s="56">
        <f>'[10]Total Distance Tables'!I63</f>
        <v>456.65279208423863</v>
      </c>
      <c r="Q73" s="56">
        <f>'[10]Total Distance Tables'!J63</f>
        <v>422.70020195563478</v>
      </c>
      <c r="R73" s="57">
        <f>'[10]Total Distance Tables'!K63</f>
        <v>388.4432293252483</v>
      </c>
    </row>
    <row r="74" spans="3:18" ht="16" x14ac:dyDescent="0.2">
      <c r="C74" s="24" t="s">
        <v>6</v>
      </c>
      <c r="D74" s="55">
        <f>'[10]Total Distance Tables'!$B$74</f>
        <v>656.25872372000003</v>
      </c>
      <c r="E74" s="56">
        <f t="shared" si="13"/>
        <v>660.92899145376771</v>
      </c>
      <c r="F74" s="56">
        <f t="shared" si="14"/>
        <v>665.59925918753538</v>
      </c>
      <c r="G74" s="56">
        <f t="shared" si="16"/>
        <v>670.26952692130317</v>
      </c>
      <c r="H74" s="56">
        <f t="shared" si="17"/>
        <v>674.93979465507084</v>
      </c>
      <c r="I74" s="56">
        <f>'[10]Total Distance Tables'!C74</f>
        <v>679.61006238883851</v>
      </c>
      <c r="J74" s="56">
        <f t="shared" si="15"/>
        <v>682.13694959640475</v>
      </c>
      <c r="K74" s="56">
        <f>'[10]Total Distance Tables'!D74</f>
        <v>692.24449842666991</v>
      </c>
      <c r="L74" s="56">
        <f>'[10]Total Distance Tables'!E74</f>
        <v>665.61028099652003</v>
      </c>
      <c r="M74" s="56">
        <f>'[10]Total Distance Tables'!F74</f>
        <v>633.95628558633257</v>
      </c>
      <c r="N74" s="56">
        <f>'[10]Total Distance Tables'!G74</f>
        <v>599.59756870495517</v>
      </c>
      <c r="O74" s="56">
        <f>'[10]Total Distance Tables'!H74</f>
        <v>563.01543139911462</v>
      </c>
      <c r="P74" s="56">
        <f>'[10]Total Distance Tables'!I74</f>
        <v>532.28191020385486</v>
      </c>
      <c r="Q74" s="56">
        <f>'[10]Total Distance Tables'!J74</f>
        <v>499.40049849575547</v>
      </c>
      <c r="R74" s="57">
        <f>'[10]Total Distance Tables'!K74</f>
        <v>465.16282456311291</v>
      </c>
    </row>
    <row r="75" spans="3:18" ht="16" x14ac:dyDescent="0.2">
      <c r="C75" s="24" t="s">
        <v>7</v>
      </c>
      <c r="D75" s="55">
        <f>'[10]Total Distance Tables'!$B$85</f>
        <v>885.65568203999999</v>
      </c>
      <c r="E75" s="56">
        <f t="shared" si="13"/>
        <v>890.52540584537553</v>
      </c>
      <c r="F75" s="56">
        <f t="shared" si="14"/>
        <v>895.39512965075096</v>
      </c>
      <c r="G75" s="56">
        <f t="shared" si="16"/>
        <v>900.2648534561265</v>
      </c>
      <c r="H75" s="56">
        <f t="shared" si="17"/>
        <v>905.13457726150193</v>
      </c>
      <c r="I75" s="56">
        <f>'[10]Total Distance Tables'!C85</f>
        <v>910.00430106687747</v>
      </c>
      <c r="J75" s="56">
        <f t="shared" si="15"/>
        <v>911.31514628179571</v>
      </c>
      <c r="K75" s="56">
        <f>'[10]Total Distance Tables'!D85</f>
        <v>916.55852714146886</v>
      </c>
      <c r="L75" s="56">
        <f>'[10]Total Distance Tables'!E85</f>
        <v>870.42593801533098</v>
      </c>
      <c r="M75" s="56">
        <f>'[10]Total Distance Tables'!F85</f>
        <v>818.7167586840776</v>
      </c>
      <c r="N75" s="56">
        <f>'[10]Total Distance Tables'!G85</f>
        <v>763.87236051301397</v>
      </c>
      <c r="O75" s="56">
        <f>'[10]Total Distance Tables'!H85</f>
        <v>706.71371564169522</v>
      </c>
      <c r="P75" s="56">
        <f>'[10]Total Distance Tables'!I85</f>
        <v>658.30509624808076</v>
      </c>
      <c r="Q75" s="56">
        <f>'[10]Total Distance Tables'!J85</f>
        <v>608.55070613686246</v>
      </c>
      <c r="R75" s="57">
        <f>'[10]Total Distance Tables'!K85</f>
        <v>558.4895957132801</v>
      </c>
    </row>
    <row r="76" spans="3:18" ht="16" x14ac:dyDescent="0.2">
      <c r="C76" s="24" t="s">
        <v>8</v>
      </c>
      <c r="D76" s="55">
        <f>'[10]Total Distance Tables'!$B$96</f>
        <v>2005.8850408000001</v>
      </c>
      <c r="E76" s="56">
        <f t="shared" si="13"/>
        <v>2024.1246663165639</v>
      </c>
      <c r="F76" s="56">
        <f t="shared" si="14"/>
        <v>2042.3642918331279</v>
      </c>
      <c r="G76" s="56">
        <f t="shared" si="16"/>
        <v>2060.603917349692</v>
      </c>
      <c r="H76" s="56">
        <f t="shared" si="17"/>
        <v>2078.843542866256</v>
      </c>
      <c r="I76" s="56">
        <f>'[10]Total Distance Tables'!C96</f>
        <v>2097.0831683828196</v>
      </c>
      <c r="J76" s="56">
        <f t="shared" si="15"/>
        <v>2104.4207896285948</v>
      </c>
      <c r="K76" s="56">
        <f>'[10]Total Distance Tables'!D96</f>
        <v>2133.771274611694</v>
      </c>
      <c r="L76" s="56">
        <f>'[10]Total Distance Tables'!E96</f>
        <v>2044.9574840609969</v>
      </c>
      <c r="M76" s="56">
        <f>'[10]Total Distance Tables'!F96</f>
        <v>1945.8441390682067</v>
      </c>
      <c r="N76" s="56">
        <f>'[10]Total Distance Tables'!G96</f>
        <v>1837.0505770552491</v>
      </c>
      <c r="O76" s="56">
        <f>'[10]Total Distance Tables'!H96</f>
        <v>1718.6950772682246</v>
      </c>
      <c r="P76" s="56">
        <f>'[10]Total Distance Tables'!I96</f>
        <v>1619.2136346620873</v>
      </c>
      <c r="Q76" s="56">
        <f>'[10]Total Distance Tables'!J96</f>
        <v>1513.1932313264297</v>
      </c>
      <c r="R76" s="57">
        <f>'[10]Total Distance Tables'!K96</f>
        <v>1403.2964335593374</v>
      </c>
    </row>
    <row r="77" spans="3:18" ht="16" x14ac:dyDescent="0.2">
      <c r="C77" s="24" t="s">
        <v>9</v>
      </c>
      <c r="D77" s="55">
        <f>'[10]Total Distance Tables'!$B$107</f>
        <v>528.66856442999995</v>
      </c>
      <c r="E77" s="56">
        <f t="shared" si="13"/>
        <v>532.44208587818412</v>
      </c>
      <c r="F77" s="56">
        <f t="shared" si="14"/>
        <v>536.21560732636829</v>
      </c>
      <c r="G77" s="56">
        <f t="shared" si="16"/>
        <v>539.98912877455257</v>
      </c>
      <c r="H77" s="56">
        <f t="shared" si="17"/>
        <v>543.76265022273674</v>
      </c>
      <c r="I77" s="56">
        <f>'[10]Total Distance Tables'!C107</f>
        <v>547.53617167092091</v>
      </c>
      <c r="J77" s="56">
        <f t="shared" si="15"/>
        <v>549.74915372821988</v>
      </c>
      <c r="K77" s="56">
        <f>'[10]Total Distance Tables'!D107</f>
        <v>558.60108195741577</v>
      </c>
      <c r="L77" s="56">
        <f>'[10]Total Distance Tables'!E107</f>
        <v>535.87448690211431</v>
      </c>
      <c r="M77" s="56">
        <f>'[10]Total Distance Tables'!F107</f>
        <v>508.86655504499822</v>
      </c>
      <c r="N77" s="56">
        <f>'[10]Total Distance Tables'!G107</f>
        <v>478.8429571471292</v>
      </c>
      <c r="O77" s="56">
        <f>'[10]Total Distance Tables'!H107</f>
        <v>445.99045391341156</v>
      </c>
      <c r="P77" s="56">
        <f>'[10]Total Distance Tables'!I107</f>
        <v>418.25339489150082</v>
      </c>
      <c r="Q77" s="56">
        <f>'[10]Total Distance Tables'!J107</f>
        <v>389.27789770330446</v>
      </c>
      <c r="R77" s="57">
        <f>'[10]Total Distance Tables'!K107</f>
        <v>359.70734510655643</v>
      </c>
    </row>
    <row r="78" spans="3:18" ht="16" x14ac:dyDescent="0.2">
      <c r="C78" s="24" t="s">
        <v>10</v>
      </c>
      <c r="D78" s="55">
        <f>'[10]Total Distance Tables'!$B$118</f>
        <v>160.37072223999999</v>
      </c>
      <c r="E78" s="56">
        <f t="shared" si="13"/>
        <v>159.49810003235632</v>
      </c>
      <c r="F78" s="56">
        <f t="shared" si="14"/>
        <v>158.62547782471268</v>
      </c>
      <c r="G78" s="56">
        <f t="shared" si="16"/>
        <v>157.752855617069</v>
      </c>
      <c r="H78" s="56">
        <f t="shared" si="17"/>
        <v>156.88023340942533</v>
      </c>
      <c r="I78" s="56">
        <f>'[10]Total Distance Tables'!C118</f>
        <v>156.00761120178166</v>
      </c>
      <c r="J78" s="56">
        <f t="shared" si="15"/>
        <v>155.70556874776653</v>
      </c>
      <c r="K78" s="56">
        <f>'[10]Total Distance Tables'!D118</f>
        <v>154.49739893170599</v>
      </c>
      <c r="L78" s="56">
        <f>'[10]Total Distance Tables'!E118</f>
        <v>144.10969696789033</v>
      </c>
      <c r="M78" s="56">
        <f>'[10]Total Distance Tables'!F118</f>
        <v>133.11700210036983</v>
      </c>
      <c r="N78" s="56">
        <f>'[10]Total Distance Tables'!G118</f>
        <v>121.91266339680752</v>
      </c>
      <c r="O78" s="56">
        <f>'[10]Total Distance Tables'!H118</f>
        <v>110.80219601485926</v>
      </c>
      <c r="P78" s="56">
        <f>'[10]Total Distance Tables'!I118</f>
        <v>101.39321398213531</v>
      </c>
      <c r="Q78" s="56">
        <f>'[10]Total Distance Tables'!J118</f>
        <v>92.077870713760262</v>
      </c>
      <c r="R78" s="57">
        <f>'[10]Total Distance Tables'!K118</f>
        <v>83.013821827890737</v>
      </c>
    </row>
    <row r="79" spans="3:18" ht="16" x14ac:dyDescent="0.2">
      <c r="C79" s="24" t="s">
        <v>11</v>
      </c>
      <c r="D79" s="55">
        <f>'[10]Total Distance Tables'!$B$129</f>
        <v>2033.7115475000001</v>
      </c>
      <c r="E79" s="56">
        <f t="shared" si="13"/>
        <v>2071.7713360058115</v>
      </c>
      <c r="F79" s="56">
        <f t="shared" si="14"/>
        <v>2109.8311245116224</v>
      </c>
      <c r="G79" s="56">
        <f t="shared" si="16"/>
        <v>2147.8909130174338</v>
      </c>
      <c r="H79" s="56">
        <f t="shared" si="17"/>
        <v>2185.9507015232448</v>
      </c>
      <c r="I79" s="56">
        <f>'[10]Total Distance Tables'!C129</f>
        <v>2224.0104900290562</v>
      </c>
      <c r="J79" s="56">
        <f t="shared" si="15"/>
        <v>2248.6846548868712</v>
      </c>
      <c r="K79" s="56">
        <f>'[10]Total Distance Tables'!D129</f>
        <v>2347.3813143181319</v>
      </c>
      <c r="L79" s="56">
        <f>'[10]Total Distance Tables'!E129</f>
        <v>2302.9515887737884</v>
      </c>
      <c r="M79" s="56">
        <f>'[10]Total Distance Tables'!F129</f>
        <v>2238.9609102943136</v>
      </c>
      <c r="N79" s="56">
        <f>'[10]Total Distance Tables'!G129</f>
        <v>2159.6024997274244</v>
      </c>
      <c r="O79" s="56">
        <f>'[10]Total Distance Tables'!H129</f>
        <v>2065.5661139905533</v>
      </c>
      <c r="P79" s="56">
        <f>'[10]Total Distance Tables'!I129</f>
        <v>1989.140006910608</v>
      </c>
      <c r="Q79" s="56">
        <f>'[10]Total Distance Tables'!J129</f>
        <v>1900.979618904114</v>
      </c>
      <c r="R79" s="57">
        <f>'[10]Total Distance Tables'!K129</f>
        <v>1803.5921305521865</v>
      </c>
    </row>
    <row r="80" spans="3:18" ht="16" x14ac:dyDescent="0.2">
      <c r="C80" s="24" t="s">
        <v>12</v>
      </c>
      <c r="D80" s="55">
        <f>'[10]Total Distance Tables'!$B$140</f>
        <v>849.31688999999994</v>
      </c>
      <c r="E80" s="56">
        <f t="shared" si="13"/>
        <v>860.89829285034216</v>
      </c>
      <c r="F80" s="56">
        <f t="shared" si="14"/>
        <v>872.47969570068449</v>
      </c>
      <c r="G80" s="56">
        <f t="shared" si="16"/>
        <v>884.06109855102682</v>
      </c>
      <c r="H80" s="56">
        <f t="shared" si="17"/>
        <v>895.64250140136915</v>
      </c>
      <c r="I80" s="56">
        <f>'[10]Total Distance Tables'!C140</f>
        <v>907.22390425171136</v>
      </c>
      <c r="J80" s="56">
        <f t="shared" si="15"/>
        <v>913.58446097861065</v>
      </c>
      <c r="K80" s="56">
        <f>'[10]Total Distance Tables'!D140</f>
        <v>939.02668788620736</v>
      </c>
      <c r="L80" s="56">
        <f>'[10]Total Distance Tables'!E140</f>
        <v>906.3346425510905</v>
      </c>
      <c r="M80" s="56">
        <f>'[10]Total Distance Tables'!F140</f>
        <v>867.25674491482198</v>
      </c>
      <c r="N80" s="56">
        <f>'[10]Total Distance Tables'!G140</f>
        <v>823.83045919940366</v>
      </c>
      <c r="O80" s="56">
        <f>'[10]Total Distance Tables'!H140</f>
        <v>776.18391961077714</v>
      </c>
      <c r="P80" s="56">
        <f>'[10]Total Distance Tables'!I140</f>
        <v>736.2959480432869</v>
      </c>
      <c r="Q80" s="56">
        <f>'[10]Total Distance Tables'!J140</f>
        <v>693.14809856433078</v>
      </c>
      <c r="R80" s="57">
        <f>'[10]Total Distance Tables'!K140</f>
        <v>647.81115884131884</v>
      </c>
    </row>
    <row r="81" spans="3:18" ht="17" thickBot="1" x14ac:dyDescent="0.25">
      <c r="C81" s="25" t="s">
        <v>13</v>
      </c>
      <c r="D81" s="58">
        <f>'[10]Total Distance Tables'!$B$151</f>
        <v>380.70733008000002</v>
      </c>
      <c r="E81" s="59">
        <f t="shared" si="13"/>
        <v>382.28231406240445</v>
      </c>
      <c r="F81" s="59">
        <f t="shared" si="14"/>
        <v>383.85729804480877</v>
      </c>
      <c r="G81" s="59">
        <f t="shared" si="16"/>
        <v>385.4322820272132</v>
      </c>
      <c r="H81" s="59">
        <f t="shared" si="17"/>
        <v>387.00726600961752</v>
      </c>
      <c r="I81" s="59">
        <f>'[10]Total Distance Tables'!C151</f>
        <v>388.5822499920219</v>
      </c>
      <c r="J81" s="59">
        <f t="shared" si="15"/>
        <v>388.52818880319182</v>
      </c>
      <c r="K81" s="59">
        <f>'[10]Total Distance Tables'!D151</f>
        <v>388.31194404787141</v>
      </c>
      <c r="L81" s="59">
        <f>'[10]Total Distance Tables'!E151</f>
        <v>366.26677444809883</v>
      </c>
      <c r="M81" s="59">
        <f>'[10]Total Distance Tables'!F151</f>
        <v>342.57028308435463</v>
      </c>
      <c r="N81" s="59">
        <f>'[10]Total Distance Tables'!G151</f>
        <v>317.84350574172629</v>
      </c>
      <c r="O81" s="59">
        <f>'[10]Total Distance Tables'!H151</f>
        <v>292.53039425119812</v>
      </c>
      <c r="P81" s="59">
        <f>'[10]Total Distance Tables'!I151</f>
        <v>271.07509827511927</v>
      </c>
      <c r="Q81" s="59">
        <f>'[10]Total Distance Tables'!J151</f>
        <v>249.28382949936938</v>
      </c>
      <c r="R81" s="60">
        <f>'[10]Total Distance Tables'!K151</f>
        <v>227.58694920473772</v>
      </c>
    </row>
    <row r="82" spans="3:18" ht="19" thickTop="1" thickBot="1" x14ac:dyDescent="0.25">
      <c r="C82" s="31" t="s">
        <v>24</v>
      </c>
      <c r="D82" s="61">
        <f t="shared" ref="D82:O82" si="18">SUM(D68:D81)</f>
        <v>17104.323927279998</v>
      </c>
      <c r="E82" s="59">
        <f t="shared" si="18"/>
        <v>17363.550947799795</v>
      </c>
      <c r="F82" s="59">
        <f t="shared" si="18"/>
        <v>17622.777968319577</v>
      </c>
      <c r="G82" s="59">
        <f t="shared" si="18"/>
        <v>17882.004988839373</v>
      </c>
      <c r="H82" s="59">
        <f t="shared" si="18"/>
        <v>18141.232009359162</v>
      </c>
      <c r="I82" s="62">
        <f t="shared" si="18"/>
        <v>18400.459029878948</v>
      </c>
      <c r="J82" s="62">
        <f t="shared" ref="J82" si="19">SUM(J68:J81)</f>
        <v>18543.48586383857</v>
      </c>
      <c r="K82" s="62">
        <f t="shared" si="18"/>
        <v>19115.593199677016</v>
      </c>
      <c r="L82" s="62">
        <f t="shared" si="18"/>
        <v>18570.603855562731</v>
      </c>
      <c r="M82" s="62">
        <f t="shared" si="18"/>
        <v>17927.791696448912</v>
      </c>
      <c r="N82" s="62">
        <f t="shared" si="18"/>
        <v>17159.315000182705</v>
      </c>
      <c r="O82" s="62">
        <f t="shared" si="18"/>
        <v>16282.766458188489</v>
      </c>
      <c r="P82" s="62">
        <f t="shared" ref="P82:R82" si="20">SUM(P68:P81)</f>
        <v>15571.442069934514</v>
      </c>
      <c r="Q82" s="62">
        <f t="shared" si="20"/>
        <v>14778.868354353714</v>
      </c>
      <c r="R82" s="63">
        <f t="shared" si="20"/>
        <v>13923.986129195418</v>
      </c>
    </row>
    <row r="83" spans="3:18" ht="18" thickTop="1" thickBot="1" x14ac:dyDescent="0.25">
      <c r="C83" s="8" t="s">
        <v>35</v>
      </c>
      <c r="D83" s="62">
        <f>'[10]Total Distance Tables'!$B$162</f>
        <v>17104.323927279998</v>
      </c>
      <c r="E83" s="62">
        <f>D83*4/5 + I83/5</f>
        <v>17363.550947799788</v>
      </c>
      <c r="F83" s="62">
        <f>D83*3/5+I83*2/5</f>
        <v>17622.777968319577</v>
      </c>
      <c r="G83" s="62">
        <f t="shared" ref="G83" si="21">D83*2/5+I83*3/5</f>
        <v>17882.00498883937</v>
      </c>
      <c r="H83" s="62">
        <f t="shared" ref="H83" si="22">D83*1/5+I83*4/5</f>
        <v>18141.232009359159</v>
      </c>
      <c r="I83" s="62">
        <f>'[10]Total Distance Tables'!C162</f>
        <v>18400.459029878948</v>
      </c>
      <c r="J83" s="62"/>
      <c r="K83" s="62">
        <f>'[10]Total Distance Tables'!D162</f>
        <v>19115.593199677016</v>
      </c>
      <c r="L83" s="62">
        <f>'[10]Total Distance Tables'!E162</f>
        <v>18570.603855562731</v>
      </c>
      <c r="M83" s="62">
        <f>'[10]Total Distance Tables'!F162</f>
        <v>17927.791696448912</v>
      </c>
      <c r="N83" s="62">
        <f>'[10]Total Distance Tables'!G162</f>
        <v>17159.315000182705</v>
      </c>
      <c r="O83" s="62">
        <f>'[10]Total Distance Tables'!H162</f>
        <v>16282.766458188489</v>
      </c>
      <c r="P83" s="62">
        <f>'[10]Total Distance Tables'!I162</f>
        <v>15571.442069934514</v>
      </c>
      <c r="Q83" s="62">
        <f>'[10]Total Distance Tables'!J162</f>
        <v>14778.868354353714</v>
      </c>
      <c r="R83" s="63">
        <f>'[10]Total Distance Tables'!K162</f>
        <v>13923.986129195418</v>
      </c>
    </row>
    <row r="84" spans="3:18" ht="14" thickTop="1" x14ac:dyDescent="0.15">
      <c r="C84" s="43"/>
      <c r="D84" s="43"/>
      <c r="E84" s="53"/>
      <c r="F84" s="53"/>
      <c r="G84" s="43"/>
      <c r="H84" s="43"/>
      <c r="I84" s="43"/>
      <c r="J84" s="43"/>
      <c r="K84" s="43"/>
      <c r="L84" s="43"/>
      <c r="M84" s="43"/>
    </row>
    <row r="86" spans="3:18" ht="16" x14ac:dyDescent="0.2">
      <c r="C86" s="50" t="s">
        <v>68</v>
      </c>
      <c r="D86" s="50"/>
      <c r="E86" s="50"/>
      <c r="F86" s="51">
        <f>SUM('[3]14_15 fleet'!$D$303:$D$317)/SUM('[3]14_15 fleet'!$D$288:$D$317)</f>
        <v>0.84599160830218945</v>
      </c>
      <c r="H86" s="50" t="s">
        <v>67</v>
      </c>
      <c r="I86" s="50"/>
      <c r="J86" s="50"/>
      <c r="K86" s="50"/>
      <c r="L86" s="50"/>
      <c r="M86" s="50"/>
      <c r="N86" s="51">
        <f>D61*1000000/(SUM('[1]12_13 fleet'!$D$286:$D$315)+SUM('[1]12_13 fleet'!$D$406:$D$435))</f>
        <v>0.82460820152819136</v>
      </c>
    </row>
    <row r="87" spans="3:18" x14ac:dyDescent="0.15">
      <c r="E87" s="51"/>
    </row>
    <row r="88" spans="3:18" ht="16" x14ac:dyDescent="0.2">
      <c r="C88" s="50" t="s">
        <v>69</v>
      </c>
      <c r="D88" s="50"/>
      <c r="E88" s="50"/>
      <c r="F88" s="51">
        <f>SUM('[3]14_15 fleet'!$D$423:$D$437)/SUM('[3]14_15 fleet'!$D$408:$D$437)</f>
        <v>0.48516194978982785</v>
      </c>
    </row>
    <row r="90" spans="3:18" x14ac:dyDescent="0.15">
      <c r="E90" s="51"/>
    </row>
    <row r="91" spans="3:18" ht="14" thickBot="1" x14ac:dyDescent="0.2"/>
    <row r="92" spans="3:18" ht="17" thickTop="1" x14ac:dyDescent="0.2">
      <c r="C92" s="32" t="s">
        <v>53</v>
      </c>
      <c r="D92" s="34"/>
      <c r="E92" s="33"/>
      <c r="F92" s="33"/>
      <c r="G92" s="33"/>
      <c r="H92" s="33"/>
      <c r="I92" s="34"/>
      <c r="J92" s="34"/>
      <c r="K92" s="34"/>
      <c r="L92" s="34"/>
      <c r="M92" s="34"/>
      <c r="N92" s="34"/>
      <c r="O92" s="34"/>
      <c r="P92" s="34"/>
      <c r="Q92" s="34"/>
      <c r="R92" s="35"/>
    </row>
    <row r="93" spans="3:18" ht="14" thickBot="1" x14ac:dyDescent="0.2">
      <c r="C93" s="18"/>
      <c r="D93" s="65" t="s">
        <v>25</v>
      </c>
      <c r="E93" s="37" t="s">
        <v>37</v>
      </c>
      <c r="F93" s="37" t="s">
        <v>38</v>
      </c>
      <c r="G93" s="37" t="s">
        <v>177</v>
      </c>
      <c r="H93" s="37" t="s">
        <v>178</v>
      </c>
      <c r="I93" s="65" t="s">
        <v>26</v>
      </c>
      <c r="J93" s="65"/>
      <c r="K93" s="65" t="s">
        <v>27</v>
      </c>
      <c r="L93" s="65" t="s">
        <v>28</v>
      </c>
      <c r="M93" s="65" t="s">
        <v>29</v>
      </c>
      <c r="N93" s="65" t="s">
        <v>30</v>
      </c>
      <c r="O93" s="65" t="s">
        <v>31</v>
      </c>
      <c r="P93" s="37" t="s">
        <v>174</v>
      </c>
      <c r="Q93" s="37" t="s">
        <v>175</v>
      </c>
      <c r="R93" s="38" t="s">
        <v>176</v>
      </c>
    </row>
    <row r="94" spans="3:18" ht="15" thickTop="1" thickBot="1" x14ac:dyDescent="0.2">
      <c r="C94" s="70"/>
      <c r="D94" s="71" t="s">
        <v>39</v>
      </c>
      <c r="E94" s="65" t="s">
        <v>39</v>
      </c>
      <c r="F94" s="65" t="s">
        <v>39</v>
      </c>
      <c r="G94" s="65" t="s">
        <v>39</v>
      </c>
      <c r="H94" s="65" t="s">
        <v>39</v>
      </c>
      <c r="I94" s="71" t="s">
        <v>39</v>
      </c>
      <c r="J94" s="71"/>
      <c r="K94" s="71" t="s">
        <v>32</v>
      </c>
      <c r="L94" s="71" t="s">
        <v>32</v>
      </c>
      <c r="M94" s="71" t="s">
        <v>32</v>
      </c>
      <c r="N94" s="71" t="s">
        <v>32</v>
      </c>
      <c r="O94" s="71" t="s">
        <v>32</v>
      </c>
      <c r="P94" s="65" t="s">
        <v>32</v>
      </c>
      <c r="Q94" s="65" t="s">
        <v>32</v>
      </c>
      <c r="R94" s="66" t="s">
        <v>32</v>
      </c>
    </row>
    <row r="95" spans="3:18" ht="17" thickTop="1" x14ac:dyDescent="0.2">
      <c r="C95" s="24" t="s">
        <v>0</v>
      </c>
      <c r="D95" s="39">
        <f>'Car+SUV'!D28+'Van+Ute'!D28</f>
        <v>112752.69929219302</v>
      </c>
      <c r="E95" s="40">
        <f>'Car+SUV'!E28+'Van+Ute'!E28</f>
        <v>115184.38005796474</v>
      </c>
      <c r="F95" s="40">
        <f>'Car+SUV'!F28+'Van+Ute'!F28</f>
        <v>117124.69622642273</v>
      </c>
      <c r="G95" s="40">
        <f>'Car+SUV'!G28+'Van+Ute'!G28</f>
        <v>121836.81549470441</v>
      </c>
      <c r="H95" s="40">
        <f>'Car+SUV'!H28+'Van+Ute'!H28</f>
        <v>127884.77898514902</v>
      </c>
      <c r="I95" s="40">
        <f>'Car+SUV'!I28+'Van+Ute'!I28</f>
        <v>129785.22062638082</v>
      </c>
      <c r="J95" s="40">
        <f>'Car+SUV'!J28+'Van+Ute'!J28</f>
        <v>134908.84791173509</v>
      </c>
      <c r="K95" s="40">
        <f>'Car+SUV'!K28+'Van+Ute'!K28</f>
        <v>142293.30341709033</v>
      </c>
      <c r="L95" s="40">
        <f>'Car+SUV'!L28+'Van+Ute'!L28</f>
        <v>146424.24550470547</v>
      </c>
      <c r="M95" s="40">
        <f>'Car+SUV'!M28+'Van+Ute'!M28</f>
        <v>148857.64264350431</v>
      </c>
      <c r="N95" s="40">
        <f>'Car+SUV'!N28+'Van+Ute'!N28</f>
        <v>149416.71551779343</v>
      </c>
      <c r="O95" s="40">
        <f>'Car+SUV'!O28+'Van+Ute'!O28</f>
        <v>149796.64857696492</v>
      </c>
      <c r="P95" s="53">
        <f>'Car+SUV'!P28+'Van+Ute'!P28</f>
        <v>147751.23836473376</v>
      </c>
      <c r="Q95" s="53">
        <f>'Car+SUV'!Q28+'Van+Ute'!Q28</f>
        <v>145180.87818263037</v>
      </c>
      <c r="R95" s="54">
        <f>'Car+SUV'!R28+'Van+Ute'!R28</f>
        <v>142149.79686973177</v>
      </c>
    </row>
    <row r="96" spans="3:18" ht="16" x14ac:dyDescent="0.2">
      <c r="C96" s="24" t="s">
        <v>1</v>
      </c>
      <c r="D96" s="42">
        <f>'Car+SUV'!D29+'Van+Ute'!D29</f>
        <v>995566.22524327319</v>
      </c>
      <c r="E96" s="43">
        <f>'Car+SUV'!E29+'Van+Ute'!E29</f>
        <v>1031177.0909653383</v>
      </c>
      <c r="F96" s="43">
        <f>'Car+SUV'!F29+'Van+Ute'!F29</f>
        <v>1091473.5112717948</v>
      </c>
      <c r="G96" s="43">
        <f>'Car+SUV'!G29+'Van+Ute'!G29</f>
        <v>1145232.2839828944</v>
      </c>
      <c r="H96" s="43">
        <f>'Car+SUV'!H29+'Van+Ute'!H29</f>
        <v>1202277.159020253</v>
      </c>
      <c r="I96" s="43">
        <f>'Car+SUV'!I29+'Van+Ute'!I29</f>
        <v>1244005.9048191721</v>
      </c>
      <c r="J96" s="43">
        <f>'Car+SUV'!J29+'Van+Ute'!J29</f>
        <v>1273017.9607674326</v>
      </c>
      <c r="K96" s="43">
        <f>'Car+SUV'!K29+'Van+Ute'!K29</f>
        <v>1405468.9835936683</v>
      </c>
      <c r="L96" s="43">
        <f>'Car+SUV'!L29+'Van+Ute'!L29</f>
        <v>1513736.8887730055</v>
      </c>
      <c r="M96" s="43">
        <f>'Car+SUV'!M29+'Van+Ute'!M29</f>
        <v>1601335.1967627234</v>
      </c>
      <c r="N96" s="43">
        <f>'Car+SUV'!N29+'Van+Ute'!N29</f>
        <v>1673471.485794544</v>
      </c>
      <c r="O96" s="43">
        <f>'Car+SUV'!O29+'Van+Ute'!O29</f>
        <v>1743215.8483024575</v>
      </c>
      <c r="P96" s="56">
        <f>'Car+SUV'!P29+'Van+Ute'!P29</f>
        <v>1791753.477846165</v>
      </c>
      <c r="Q96" s="56">
        <f>'Car+SUV'!Q29+'Van+Ute'!Q29</f>
        <v>1834534.7339725753</v>
      </c>
      <c r="R96" s="57">
        <f>'Car+SUV'!R29+'Van+Ute'!R29</f>
        <v>1870930.7651706489</v>
      </c>
    </row>
    <row r="97" spans="3:18" ht="16" x14ac:dyDescent="0.2">
      <c r="C97" s="24" t="s">
        <v>2</v>
      </c>
      <c r="D97" s="42">
        <f>'Car+SUV'!D30+'Van+Ute'!D30</f>
        <v>301335.92548360309</v>
      </c>
      <c r="E97" s="43">
        <f>'Car+SUV'!E30+'Van+Ute'!E30</f>
        <v>312551.14801889053</v>
      </c>
      <c r="F97" s="43">
        <f>'Car+SUV'!F30+'Van+Ute'!F30</f>
        <v>323022.69023885415</v>
      </c>
      <c r="G97" s="43">
        <f>'Car+SUV'!G30+'Van+Ute'!G30</f>
        <v>336918.61004767567</v>
      </c>
      <c r="H97" s="43">
        <f>'Car+SUV'!H30+'Van+Ute'!H30</f>
        <v>351117.84199294203</v>
      </c>
      <c r="I97" s="43">
        <f>'Car+SUV'!I30+'Van+Ute'!I30</f>
        <v>366291.65652040922</v>
      </c>
      <c r="J97" s="43">
        <f>'Car+SUV'!J30+'Van+Ute'!J30</f>
        <v>379268.17623846559</v>
      </c>
      <c r="K97" s="43">
        <f>'Car+SUV'!K30+'Van+Ute'!K30</f>
        <v>406153.36524812091</v>
      </c>
      <c r="L97" s="43">
        <f>'Car+SUV'!L30+'Van+Ute'!L30</f>
        <v>427218.6790238531</v>
      </c>
      <c r="M97" s="43">
        <f>'Car+SUV'!M30+'Van+Ute'!M30</f>
        <v>443177.2604330483</v>
      </c>
      <c r="N97" s="43">
        <f>'Car+SUV'!N30+'Van+Ute'!N30</f>
        <v>454296.89336671779</v>
      </c>
      <c r="O97" s="43">
        <f>'Car+SUV'!O30+'Van+Ute'!O30</f>
        <v>465113.29199810111</v>
      </c>
      <c r="P97" s="56">
        <f>'Car+SUV'!P30+'Van+Ute'!P30</f>
        <v>469182.14090888359</v>
      </c>
      <c r="Q97" s="56">
        <f>'Car+SUV'!Q30+'Van+Ute'!Q30</f>
        <v>471554.46907230036</v>
      </c>
      <c r="R97" s="57">
        <f>'Car+SUV'!R30+'Van+Ute'!R30</f>
        <v>472264.72490910214</v>
      </c>
    </row>
    <row r="98" spans="3:18" ht="16" x14ac:dyDescent="0.2">
      <c r="C98" s="24" t="s">
        <v>3</v>
      </c>
      <c r="D98" s="42">
        <f>'Car+SUV'!D31+'Van+Ute'!D31</f>
        <v>229203.5470307747</v>
      </c>
      <c r="E98" s="43">
        <f>'Car+SUV'!E31+'Van+Ute'!E31</f>
        <v>235088.14150503449</v>
      </c>
      <c r="F98" s="43">
        <f>'Car+SUV'!F31+'Van+Ute'!F31</f>
        <v>241624.06887127433</v>
      </c>
      <c r="G98" s="43">
        <f>'Car+SUV'!G31+'Van+Ute'!G31</f>
        <v>253173.76943029795</v>
      </c>
      <c r="H98" s="43">
        <f>'Car+SUV'!H31+'Van+Ute'!H31</f>
        <v>265852.81265281246</v>
      </c>
      <c r="I98" s="43">
        <f>'Car+SUV'!I31+'Van+Ute'!I31</f>
        <v>278434.36653277505</v>
      </c>
      <c r="J98" s="43">
        <f>'Car+SUV'!J31+'Van+Ute'!J31</f>
        <v>289793.89388795843</v>
      </c>
      <c r="K98" s="43">
        <f>'Car+SUV'!K31+'Van+Ute'!K31</f>
        <v>308368.41825058352</v>
      </c>
      <c r="L98" s="43">
        <f>'Car+SUV'!L31+'Van+Ute'!L31</f>
        <v>320852.68282990583</v>
      </c>
      <c r="M98" s="43">
        <f>'Car+SUV'!M31+'Van+Ute'!M31</f>
        <v>329830.31383153278</v>
      </c>
      <c r="N98" s="43">
        <f>'Car+SUV'!N31+'Van+Ute'!N31</f>
        <v>335186.53716843587</v>
      </c>
      <c r="O98" s="43">
        <f>'Car+SUV'!O31+'Van+Ute'!O31</f>
        <v>340501.49413924839</v>
      </c>
      <c r="P98" s="56">
        <f>'Car+SUV'!P31+'Van+Ute'!P31</f>
        <v>340542.92629565875</v>
      </c>
      <c r="Q98" s="56">
        <f>'Car+SUV'!Q31+'Van+Ute'!Q31</f>
        <v>339325.81533832627</v>
      </c>
      <c r="R98" s="57">
        <f>'Car+SUV'!R31+'Van+Ute'!R31</f>
        <v>336908.63728943636</v>
      </c>
    </row>
    <row r="99" spans="3:18" ht="16" x14ac:dyDescent="0.2">
      <c r="C99" s="24" t="s">
        <v>4</v>
      </c>
      <c r="D99" s="42">
        <f>'Car+SUV'!D32+'Van+Ute'!D32</f>
        <v>29936.944476542787</v>
      </c>
      <c r="E99" s="43">
        <f>'Car+SUV'!E32+'Van+Ute'!E32</f>
        <v>30366.080389235482</v>
      </c>
      <c r="F99" s="43">
        <f>'Car+SUV'!F32+'Van+Ute'!F32</f>
        <v>30881.083761686205</v>
      </c>
      <c r="G99" s="43">
        <f>'Car+SUV'!G32+'Van+Ute'!G32</f>
        <v>31397.51957625628</v>
      </c>
      <c r="H99" s="43">
        <f>'Car+SUV'!H32+'Van+Ute'!H32</f>
        <v>32183.94888916834</v>
      </c>
      <c r="I99" s="43">
        <f>'Car+SUV'!I32+'Van+Ute'!I32</f>
        <v>37400.780076915653</v>
      </c>
      <c r="J99" s="43">
        <f>'Car+SUV'!J32+'Van+Ute'!J32</f>
        <v>37655.471344793048</v>
      </c>
      <c r="K99" s="43">
        <f>'Car+SUV'!K32+'Van+Ute'!K32</f>
        <v>38991.531594426531</v>
      </c>
      <c r="L99" s="43">
        <f>'Car+SUV'!L32+'Van+Ute'!L32</f>
        <v>39963.22639207459</v>
      </c>
      <c r="M99" s="43">
        <f>'Car+SUV'!M32+'Van+Ute'!M32</f>
        <v>40231.621991188731</v>
      </c>
      <c r="N99" s="43">
        <f>'Car+SUV'!N32+'Van+Ute'!N32</f>
        <v>40047.925312948573</v>
      </c>
      <c r="O99" s="43">
        <f>'Car+SUV'!O32+'Van+Ute'!O32</f>
        <v>39826.800466706329</v>
      </c>
      <c r="P99" s="56">
        <f>'Car+SUV'!P32+'Van+Ute'!P32</f>
        <v>38726.161136654264</v>
      </c>
      <c r="Q99" s="56">
        <f>'Car+SUV'!Q32+'Van+Ute'!Q32</f>
        <v>37512.199695857009</v>
      </c>
      <c r="R99" s="57">
        <f>'Car+SUV'!R32+'Van+Ute'!R32</f>
        <v>36204.92111074672</v>
      </c>
    </row>
    <row r="100" spans="3:18" ht="16" x14ac:dyDescent="0.2">
      <c r="C100" s="24" t="s">
        <v>5</v>
      </c>
      <c r="D100" s="42">
        <f>'Car+SUV'!D33+'Van+Ute'!D33</f>
        <v>113259.61475572419</v>
      </c>
      <c r="E100" s="43">
        <f>'Car+SUV'!E33+'Van+Ute'!E33</f>
        <v>115299.06151998522</v>
      </c>
      <c r="F100" s="43">
        <f>'Car+SUV'!F33+'Van+Ute'!F33</f>
        <v>117425.18797515266</v>
      </c>
      <c r="G100" s="43">
        <f>'Car+SUV'!G33+'Van+Ute'!G33</f>
        <v>121879.37021704436</v>
      </c>
      <c r="H100" s="43">
        <f>'Car+SUV'!H33+'Van+Ute'!H33</f>
        <v>127265.52863082348</v>
      </c>
      <c r="I100" s="43">
        <f>'Car+SUV'!I33+'Van+Ute'!I33</f>
        <v>132554.04653869558</v>
      </c>
      <c r="J100" s="43">
        <f>'Car+SUV'!J33+'Van+Ute'!J33</f>
        <v>137009.40724524713</v>
      </c>
      <c r="K100" s="43">
        <f>'Car+SUV'!K33+'Van+Ute'!K33</f>
        <v>142488.78590457299</v>
      </c>
      <c r="L100" s="43">
        <f>'Car+SUV'!L33+'Van+Ute'!L33</f>
        <v>144795.69503734796</v>
      </c>
      <c r="M100" s="43">
        <f>'Car+SUV'!M33+'Van+Ute'!M33</f>
        <v>145333.26568559743</v>
      </c>
      <c r="N100" s="43">
        <f>'Car+SUV'!N33+'Van+Ute'!N33</f>
        <v>144246.40041072376</v>
      </c>
      <c r="O100" s="43">
        <f>'Car+SUV'!O33+'Van+Ute'!O33</f>
        <v>143202.54247361381</v>
      </c>
      <c r="P100" s="56">
        <f>'Car+SUV'!P33+'Van+Ute'!P33</f>
        <v>139838.36649830415</v>
      </c>
      <c r="Q100" s="56">
        <f>'Car+SUV'!Q33+'Van+Ute'!Q33</f>
        <v>136038.88670051275</v>
      </c>
      <c r="R100" s="57">
        <f>'Car+SUV'!R33+'Van+Ute'!R33</f>
        <v>131861.63054931402</v>
      </c>
    </row>
    <row r="101" spans="3:18" ht="16" x14ac:dyDescent="0.2">
      <c r="C101" s="24" t="s">
        <v>6</v>
      </c>
      <c r="D101" s="42">
        <f>'Car+SUV'!D34+'Van+Ute'!D34</f>
        <v>83651.79807064432</v>
      </c>
      <c r="E101" s="43">
        <f>'Car+SUV'!E34+'Van+Ute'!E34</f>
        <v>86118.668651656146</v>
      </c>
      <c r="F101" s="43">
        <f>'Car+SUV'!F34+'Van+Ute'!F34</f>
        <v>87525.038269808429</v>
      </c>
      <c r="G101" s="43">
        <f>'Car+SUV'!G34+'Van+Ute'!G34</f>
        <v>89263.607872098364</v>
      </c>
      <c r="H101" s="43">
        <f>'Car+SUV'!H34+'Van+Ute'!H34</f>
        <v>91126.15847179055</v>
      </c>
      <c r="I101" s="43">
        <f>'Car+SUV'!I34+'Van+Ute'!I34</f>
        <v>97581.077742034948</v>
      </c>
      <c r="J101" s="43">
        <f>'Car+SUV'!J34+'Van+Ute'!J34</f>
        <v>99867.631098663915</v>
      </c>
      <c r="K101" s="43">
        <f>'Car+SUV'!K34+'Van+Ute'!K34</f>
        <v>104181.22214282819</v>
      </c>
      <c r="L101" s="43">
        <f>'Car+SUV'!L34+'Van+Ute'!L34</f>
        <v>106317.51856301413</v>
      </c>
      <c r="M101" s="43">
        <f>'Car+SUV'!M34+'Van+Ute'!M34</f>
        <v>107037.59554273952</v>
      </c>
      <c r="N101" s="43">
        <f>'Car+SUV'!N34+'Van+Ute'!N34</f>
        <v>107248.39779444241</v>
      </c>
      <c r="O101" s="43">
        <f>'Car+SUV'!O34+'Van+Ute'!O34</f>
        <v>107373.26551706626</v>
      </c>
      <c r="P101" s="56">
        <f>'Car+SUV'!P34+'Van+Ute'!P34</f>
        <v>105787.70001761708</v>
      </c>
      <c r="Q101" s="56">
        <f>'Car+SUV'!Q34+'Van+Ute'!Q34</f>
        <v>103815.70840859055</v>
      </c>
      <c r="R101" s="57">
        <f>'Car+SUV'!R34+'Van+Ute'!R34</f>
        <v>101502.02230938626</v>
      </c>
    </row>
    <row r="102" spans="3:18" ht="16" x14ac:dyDescent="0.2">
      <c r="C102" s="24" t="s">
        <v>7</v>
      </c>
      <c r="D102" s="42">
        <f>'Car+SUV'!D35+'Van+Ute'!D35</f>
        <v>167620.43201958662</v>
      </c>
      <c r="E102" s="43">
        <f>'Car+SUV'!E35+'Van+Ute'!E35</f>
        <v>170464.93587730994</v>
      </c>
      <c r="F102" s="43">
        <f>'Car+SUV'!F35+'Van+Ute'!F35</f>
        <v>174785.10805437132</v>
      </c>
      <c r="G102" s="43">
        <f>'Car+SUV'!G35+'Van+Ute'!G35</f>
        <v>180424.03776717087</v>
      </c>
      <c r="H102" s="43">
        <f>'Car+SUV'!H35+'Van+Ute'!H35</f>
        <v>186583.9222405995</v>
      </c>
      <c r="I102" s="43">
        <f>'Car+SUV'!I35+'Van+Ute'!I35</f>
        <v>192886.38159448298</v>
      </c>
      <c r="J102" s="43">
        <f>'Car+SUV'!J35+'Van+Ute'!J35</f>
        <v>199218.10013335687</v>
      </c>
      <c r="K102" s="43">
        <f>'Car+SUV'!K35+'Van+Ute'!K35</f>
        <v>206124.29389612607</v>
      </c>
      <c r="L102" s="43">
        <f>'Car+SUV'!L35+'Van+Ute'!L35</f>
        <v>208240.44840695558</v>
      </c>
      <c r="M102" s="43">
        <f>'Car+SUV'!M35+'Van+Ute'!M35</f>
        <v>208543.90358934872</v>
      </c>
      <c r="N102" s="43">
        <f>'Car+SUV'!N35+'Van+Ute'!N35</f>
        <v>206389.99318529235</v>
      </c>
      <c r="O102" s="43">
        <f>'Car+SUV'!O35+'Van+Ute'!O35</f>
        <v>204258.16962670238</v>
      </c>
      <c r="P102" s="56">
        <f>'Car+SUV'!P35+'Van+Ute'!P35</f>
        <v>198623.55243250538</v>
      </c>
      <c r="Q102" s="56">
        <f>'Car+SUV'!Q35+'Van+Ute'!Q35</f>
        <v>192402.05890013036</v>
      </c>
      <c r="R102" s="57">
        <f>'Car+SUV'!R35+'Van+Ute'!R35</f>
        <v>185702.39889758429</v>
      </c>
    </row>
    <row r="103" spans="3:18" ht="16" x14ac:dyDescent="0.2">
      <c r="C103" s="24" t="s">
        <v>8</v>
      </c>
      <c r="D103" s="42">
        <f>'Car+SUV'!D36+'Van+Ute'!D36</f>
        <v>302497.18708853488</v>
      </c>
      <c r="E103" s="43">
        <f>'Car+SUV'!E36+'Van+Ute'!E36</f>
        <v>308393.37810258631</v>
      </c>
      <c r="F103" s="43">
        <f>'Car+SUV'!F36+'Van+Ute'!F36</f>
        <v>315790.27345002093</v>
      </c>
      <c r="G103" s="43">
        <f>'Car+SUV'!G36+'Van+Ute'!G36</f>
        <v>325495.73169066105</v>
      </c>
      <c r="H103" s="43">
        <f>'Car+SUV'!H36+'Van+Ute'!H36</f>
        <v>337334.77145518031</v>
      </c>
      <c r="I103" s="43">
        <f>'Car+SUV'!I36+'Van+Ute'!I36</f>
        <v>350038.41938278935</v>
      </c>
      <c r="J103" s="43">
        <f>'Car+SUV'!J36+'Van+Ute'!J36</f>
        <v>361376.93415386882</v>
      </c>
      <c r="K103" s="43">
        <f>'Car+SUV'!K36+'Van+Ute'!K36</f>
        <v>378819.54297063255</v>
      </c>
      <c r="L103" s="43">
        <f>'Car+SUV'!L36+'Van+Ute'!L36</f>
        <v>388363.27559153637</v>
      </c>
      <c r="M103" s="43">
        <f>'Car+SUV'!M36+'Van+Ute'!M36</f>
        <v>392277.94430616178</v>
      </c>
      <c r="N103" s="43">
        <f>'Car+SUV'!N36+'Van+Ute'!N36</f>
        <v>393864.38680197863</v>
      </c>
      <c r="O103" s="43">
        <f>'Car+SUV'!O36+'Van+Ute'!O36</f>
        <v>395098.80559648143</v>
      </c>
      <c r="P103" s="56">
        <f>'Car+SUV'!P36+'Van+Ute'!P36</f>
        <v>390267.0556861785</v>
      </c>
      <c r="Q103" s="56">
        <f>'Car+SUV'!Q36+'Van+Ute'!Q36</f>
        <v>384028.02405434905</v>
      </c>
      <c r="R103" s="57">
        <f>'Car+SUV'!R36+'Van+Ute'!R36</f>
        <v>376512.11102184496</v>
      </c>
    </row>
    <row r="104" spans="3:18" ht="16" x14ac:dyDescent="0.2">
      <c r="C104" s="24" t="s">
        <v>9</v>
      </c>
      <c r="D104" s="42">
        <f>'Car+SUV'!D37+'Van+Ute'!D37</f>
        <v>121043.33543309773</v>
      </c>
      <c r="E104" s="43">
        <f>'Car+SUV'!E37+'Van+Ute'!E37</f>
        <v>124477.19353914029</v>
      </c>
      <c r="F104" s="43">
        <f>'Car+SUV'!F37+'Van+Ute'!F37</f>
        <v>129034.48687989885</v>
      </c>
      <c r="G104" s="43">
        <f>'Car+SUV'!G37+'Van+Ute'!G37</f>
        <v>137506.99209400272</v>
      </c>
      <c r="H104" s="43">
        <f>'Car+SUV'!H37+'Van+Ute'!H37</f>
        <v>146096.83262669892</v>
      </c>
      <c r="I104" s="43">
        <f>'Car+SUV'!I37+'Van+Ute'!I37</f>
        <v>151963.66156240081</v>
      </c>
      <c r="J104" s="43">
        <f>'Car+SUV'!J37+'Van+Ute'!J37</f>
        <v>157632.0132988017</v>
      </c>
      <c r="K104" s="43">
        <f>'Car+SUV'!K37+'Van+Ute'!K37</f>
        <v>165356.56900398151</v>
      </c>
      <c r="L104" s="43">
        <f>'Car+SUV'!L37+'Van+Ute'!L37</f>
        <v>170352.75922387012</v>
      </c>
      <c r="M104" s="43">
        <f>'Car+SUV'!M37+'Van+Ute'!M37</f>
        <v>172460.35084602862</v>
      </c>
      <c r="N104" s="43">
        <f>'Car+SUV'!N37+'Van+Ute'!N37</f>
        <v>172138.65314833581</v>
      </c>
      <c r="O104" s="43">
        <f>'Car+SUV'!O37+'Van+Ute'!O37</f>
        <v>171715.58440964337</v>
      </c>
      <c r="P104" s="56">
        <f>'Car+SUV'!P37+'Van+Ute'!P37</f>
        <v>169347.13300886136</v>
      </c>
      <c r="Q104" s="56">
        <f>'Car+SUV'!Q37+'Van+Ute'!Q37</f>
        <v>166405.55921857958</v>
      </c>
      <c r="R104" s="57">
        <f>'Car+SUV'!R37+'Van+Ute'!R37</f>
        <v>162933.31604112711</v>
      </c>
    </row>
    <row r="105" spans="3:18" ht="16" x14ac:dyDescent="0.2">
      <c r="C105" s="24" t="s">
        <v>10</v>
      </c>
      <c r="D105" s="42">
        <f>'Car+SUV'!D38+'Van+Ute'!D38</f>
        <v>26272.420338552954</v>
      </c>
      <c r="E105" s="43">
        <f>'Car+SUV'!E38+'Van+Ute'!E38</f>
        <v>26450.482710432629</v>
      </c>
      <c r="F105" s="43">
        <f>'Car+SUV'!F38+'Van+Ute'!F38</f>
        <v>26329.876855280872</v>
      </c>
      <c r="G105" s="43">
        <f>'Car+SUV'!G38+'Van+Ute'!G38</f>
        <v>26209.223035722083</v>
      </c>
      <c r="H105" s="43">
        <f>'Car+SUV'!H38+'Van+Ute'!H38</f>
        <v>26262.091351681596</v>
      </c>
      <c r="I105" s="43">
        <f>'Car+SUV'!I38+'Van+Ute'!I38</f>
        <v>27294.485230986156</v>
      </c>
      <c r="J105" s="43">
        <f>'Car+SUV'!J38+'Van+Ute'!J38</f>
        <v>28097.863512943859</v>
      </c>
      <c r="K105" s="43">
        <f>'Car+SUV'!K38+'Van+Ute'!K38</f>
        <v>28499.608353713968</v>
      </c>
      <c r="L105" s="43">
        <f>'Car+SUV'!L38+'Van+Ute'!L38</f>
        <v>28539.002152272304</v>
      </c>
      <c r="M105" s="43">
        <f>'Car+SUV'!M38+'Van+Ute'!M38</f>
        <v>27779.219532315157</v>
      </c>
      <c r="N105" s="43">
        <f>'Car+SUV'!N38+'Van+Ute'!N38</f>
        <v>27083.379286899588</v>
      </c>
      <c r="O105" s="43">
        <f>'Car+SUV'!O38+'Van+Ute'!O38</f>
        <v>26432.343772699311</v>
      </c>
      <c r="P105" s="56">
        <f>'Car+SUV'!P38+'Van+Ute'!P38</f>
        <v>25409.225391978518</v>
      </c>
      <c r="Q105" s="56">
        <f>'Car+SUV'!Q38+'Van+Ute'!Q38</f>
        <v>24338.124077222234</v>
      </c>
      <c r="R105" s="57">
        <f>'Car+SUV'!R38+'Van+Ute'!R38</f>
        <v>23233.208454328371</v>
      </c>
    </row>
    <row r="106" spans="3:18" ht="16" x14ac:dyDescent="0.2">
      <c r="C106" s="24" t="s">
        <v>11</v>
      </c>
      <c r="D106" s="42">
        <f>'Car+SUV'!D39+'Van+Ute'!D39</f>
        <v>486778.86921859172</v>
      </c>
      <c r="E106" s="43">
        <f>'Car+SUV'!E39+'Van+Ute'!E39</f>
        <v>502538.77860785392</v>
      </c>
      <c r="F106" s="43">
        <f>'Car+SUV'!F39+'Van+Ute'!F39</f>
        <v>522173.19879763969</v>
      </c>
      <c r="G106" s="43">
        <f>'Car+SUV'!G39+'Van+Ute'!G39</f>
        <v>539611.91654357617</v>
      </c>
      <c r="H106" s="43">
        <f>'Car+SUV'!H39+'Van+Ute'!H39</f>
        <v>556020.44651744259</v>
      </c>
      <c r="I106" s="43">
        <f>'Car+SUV'!I39+'Van+Ute'!I39</f>
        <v>574878.24586566014</v>
      </c>
      <c r="J106" s="43">
        <f>'Car+SUV'!J39+'Van+Ute'!J39</f>
        <v>590923.48692523374</v>
      </c>
      <c r="K106" s="43">
        <f>'Car+SUV'!K39+'Van+Ute'!K39</f>
        <v>636208.13084584416</v>
      </c>
      <c r="L106" s="43">
        <f>'Car+SUV'!L39+'Van+Ute'!L39</f>
        <v>670593.18885371159</v>
      </c>
      <c r="M106" s="43">
        <f>'Car+SUV'!M39+'Van+Ute'!M39</f>
        <v>696451.48980658851</v>
      </c>
      <c r="N106" s="43">
        <f>'Car+SUV'!N39+'Van+Ute'!N39</f>
        <v>715764.98908075143</v>
      </c>
      <c r="O106" s="43">
        <f>'Car+SUV'!O39+'Van+Ute'!O39</f>
        <v>734610.85469145875</v>
      </c>
      <c r="P106" s="56">
        <f>'Car+SUV'!P39+'Van+Ute'!P39</f>
        <v>744444.15053019521</v>
      </c>
      <c r="Q106" s="56">
        <f>'Car+SUV'!Q39+'Van+Ute'!Q39</f>
        <v>751644.7865963676</v>
      </c>
      <c r="R106" s="57">
        <f>'Car+SUV'!R39+'Van+Ute'!R39</f>
        <v>756157.82369802496</v>
      </c>
    </row>
    <row r="107" spans="3:18" ht="16" x14ac:dyDescent="0.2">
      <c r="C107" s="24" t="s">
        <v>12</v>
      </c>
      <c r="D107" s="42">
        <f>'Car+SUV'!D40+'Van+Ute'!D40</f>
        <v>147288.37606219845</v>
      </c>
      <c r="E107" s="43">
        <f>'Car+SUV'!E40+'Van+Ute'!E40</f>
        <v>151609.65433270653</v>
      </c>
      <c r="F107" s="43">
        <f>'Car+SUV'!F40+'Van+Ute'!F40</f>
        <v>155983.88217072579</v>
      </c>
      <c r="G107" s="43">
        <f>'Car+SUV'!G40+'Van+Ute'!G40</f>
        <v>162912.10612108107</v>
      </c>
      <c r="H107" s="43">
        <f>'Car+SUV'!H40+'Van+Ute'!H40</f>
        <v>176983.92455683375</v>
      </c>
      <c r="I107" s="43">
        <f>'Car+SUV'!I40+'Van+Ute'!I40</f>
        <v>181031.28710477272</v>
      </c>
      <c r="J107" s="43">
        <f>'Car+SUV'!J40+'Van+Ute'!J40</f>
        <v>187781.82805507208</v>
      </c>
      <c r="K107" s="43">
        <f>'Car+SUV'!K40+'Van+Ute'!K40</f>
        <v>198844.89516107953</v>
      </c>
      <c r="L107" s="43">
        <f>'Car+SUV'!L40+'Van+Ute'!L40</f>
        <v>206015.45401660871</v>
      </c>
      <c r="M107" s="43">
        <f>'Car+SUV'!M40+'Van+Ute'!M40</f>
        <v>210333.01703296095</v>
      </c>
      <c r="N107" s="43">
        <f>'Car+SUV'!N40+'Van+Ute'!N40</f>
        <v>212649.35122670597</v>
      </c>
      <c r="O107" s="43">
        <f>'Car+SUV'!O40+'Van+Ute'!O40</f>
        <v>214766.45669520495</v>
      </c>
      <c r="P107" s="56">
        <f>'Car+SUV'!P40+'Van+Ute'!P40</f>
        <v>214054.75779274805</v>
      </c>
      <c r="Q107" s="56">
        <f>'Car+SUV'!Q40+'Van+Ute'!Q40</f>
        <v>212565.34116059708</v>
      </c>
      <c r="R107" s="57">
        <f>'Car+SUV'!R40+'Van+Ute'!R40</f>
        <v>210322.5034312178</v>
      </c>
    </row>
    <row r="108" spans="3:18" ht="17" thickBot="1" x14ac:dyDescent="0.25">
      <c r="C108" s="25" t="s">
        <v>13</v>
      </c>
      <c r="D108" s="45">
        <f>'Car+SUV'!D41+'Van+Ute'!D41</f>
        <v>82612.625486682198</v>
      </c>
      <c r="E108" s="46">
        <f>'Car+SUV'!E41+'Van+Ute'!E41</f>
        <v>84138.005721865455</v>
      </c>
      <c r="F108" s="46">
        <f>'Car+SUV'!F41+'Van+Ute'!F41</f>
        <v>85861.897177069055</v>
      </c>
      <c r="G108" s="46">
        <f>'Car+SUV'!G41+'Van+Ute'!G41</f>
        <v>88507.016126814604</v>
      </c>
      <c r="H108" s="46">
        <f>'Car+SUV'!H41+'Van+Ute'!H41</f>
        <v>90913.78260862481</v>
      </c>
      <c r="I108" s="46">
        <f>'Car+SUV'!I41+'Van+Ute'!I41</f>
        <v>93463.166736511659</v>
      </c>
      <c r="J108" s="46">
        <f>'Car+SUV'!J41+'Van+Ute'!J41</f>
        <v>96542.644565026276</v>
      </c>
      <c r="K108" s="46">
        <f>'Car+SUV'!K41+'Van+Ute'!K41</f>
        <v>99320.779539854339</v>
      </c>
      <c r="L108" s="46">
        <f>'Car+SUV'!L41+'Van+Ute'!L41</f>
        <v>100171.34903483673</v>
      </c>
      <c r="M108" s="46">
        <f>'Car+SUV'!M41+'Van+Ute'!M41</f>
        <v>99901.428820668094</v>
      </c>
      <c r="N108" s="46">
        <f>'Car+SUV'!N41+'Van+Ute'!N41</f>
        <v>98540.299144957549</v>
      </c>
      <c r="O108" s="46">
        <f>'Car+SUV'!O41+'Van+Ute'!O41</f>
        <v>97057.612348217168</v>
      </c>
      <c r="P108" s="59">
        <f>'Car+SUV'!P41+'Van+Ute'!P41</f>
        <v>94147.771405512161</v>
      </c>
      <c r="Q108" s="59">
        <f>'Car+SUV'!Q41+'Van+Ute'!Q41</f>
        <v>90982.448769865339</v>
      </c>
      <c r="R108" s="60">
        <f>'Car+SUV'!R41+'Van+Ute'!R41</f>
        <v>87608.993071366858</v>
      </c>
    </row>
    <row r="109" spans="3:18" ht="19" thickTop="1" thickBot="1" x14ac:dyDescent="0.25">
      <c r="C109" s="20" t="s">
        <v>24</v>
      </c>
      <c r="D109" s="48">
        <f t="shared" ref="D109:O109" si="23">SUM(D95:D108)</f>
        <v>3199819.9999999991</v>
      </c>
      <c r="E109" s="48">
        <f t="shared" si="23"/>
        <v>3293857</v>
      </c>
      <c r="F109" s="48">
        <f t="shared" si="23"/>
        <v>3419034.9999999986</v>
      </c>
      <c r="G109" s="48">
        <f t="shared" si="23"/>
        <v>3560368.9999999995</v>
      </c>
      <c r="H109" s="48">
        <f t="shared" si="23"/>
        <v>3717904.0000000005</v>
      </c>
      <c r="I109" s="48">
        <f t="shared" si="23"/>
        <v>3857608.7003339869</v>
      </c>
      <c r="J109" s="48">
        <f t="shared" ref="J109" si="24">SUM(J95:J108)</f>
        <v>3973094.259138599</v>
      </c>
      <c r="K109" s="48">
        <f t="shared" si="23"/>
        <v>4261119.429922523</v>
      </c>
      <c r="L109" s="48">
        <f t="shared" si="23"/>
        <v>4471584.4134036982</v>
      </c>
      <c r="M109" s="48">
        <f t="shared" si="23"/>
        <v>4623550.2508244067</v>
      </c>
      <c r="N109" s="48">
        <f t="shared" si="23"/>
        <v>4730345.4072405268</v>
      </c>
      <c r="O109" s="48">
        <f t="shared" si="23"/>
        <v>4832969.7186145661</v>
      </c>
      <c r="P109" s="62">
        <f t="shared" ref="P109:R109" si="25">SUM(P95:P108)</f>
        <v>4869875.6573159955</v>
      </c>
      <c r="Q109" s="62">
        <f t="shared" si="25"/>
        <v>4890329.0341479043</v>
      </c>
      <c r="R109" s="63">
        <f t="shared" si="25"/>
        <v>4894292.8528238619</v>
      </c>
    </row>
    <row r="110" spans="3:18" ht="14" thickTop="1" x14ac:dyDescent="0.15">
      <c r="C110" s="73"/>
    </row>
    <row r="111" spans="3:18" ht="14" thickBot="1" x14ac:dyDescent="0.2">
      <c r="C111" s="73"/>
    </row>
    <row r="112" spans="3:18" ht="17" thickTop="1" x14ac:dyDescent="0.2">
      <c r="C112" s="32" t="s">
        <v>40</v>
      </c>
      <c r="D112" s="34"/>
      <c r="E112" s="33"/>
      <c r="F112" s="33"/>
      <c r="G112" s="33"/>
      <c r="H112" s="33"/>
      <c r="I112" s="34"/>
      <c r="J112" s="34"/>
      <c r="K112" s="34"/>
      <c r="L112" s="34"/>
      <c r="M112" s="34"/>
      <c r="N112" s="34"/>
      <c r="O112" s="34"/>
      <c r="P112" s="34"/>
      <c r="Q112" s="34"/>
      <c r="R112" s="35"/>
    </row>
    <row r="113" spans="3:18" ht="14" thickBot="1" x14ac:dyDescent="0.2">
      <c r="C113" s="18"/>
      <c r="D113" s="65" t="s">
        <v>25</v>
      </c>
      <c r="E113" s="37" t="s">
        <v>37</v>
      </c>
      <c r="F113" s="37" t="s">
        <v>38</v>
      </c>
      <c r="G113" s="37" t="s">
        <v>177</v>
      </c>
      <c r="H113" s="37" t="s">
        <v>178</v>
      </c>
      <c r="I113" s="65" t="s">
        <v>26</v>
      </c>
      <c r="J113" s="65"/>
      <c r="K113" s="65" t="s">
        <v>27</v>
      </c>
      <c r="L113" s="65" t="s">
        <v>28</v>
      </c>
      <c r="M113" s="65" t="s">
        <v>29</v>
      </c>
      <c r="N113" s="65" t="s">
        <v>30</v>
      </c>
      <c r="O113" s="65" t="s">
        <v>31</v>
      </c>
      <c r="P113" s="37" t="s">
        <v>174</v>
      </c>
      <c r="Q113" s="37" t="s">
        <v>175</v>
      </c>
      <c r="R113" s="38" t="s">
        <v>176</v>
      </c>
    </row>
    <row r="114" spans="3:18" ht="15" thickTop="1" thickBot="1" x14ac:dyDescent="0.2">
      <c r="C114" s="70"/>
      <c r="D114" s="71" t="s">
        <v>39</v>
      </c>
      <c r="E114" s="65" t="s">
        <v>39</v>
      </c>
      <c r="F114" s="65" t="s">
        <v>39</v>
      </c>
      <c r="G114" s="65" t="s">
        <v>39</v>
      </c>
      <c r="H114" s="65" t="s">
        <v>39</v>
      </c>
      <c r="I114" s="71" t="s">
        <v>39</v>
      </c>
      <c r="J114" s="71"/>
      <c r="K114" s="71" t="s">
        <v>32</v>
      </c>
      <c r="L114" s="71" t="s">
        <v>32</v>
      </c>
      <c r="M114" s="71" t="s">
        <v>32</v>
      </c>
      <c r="N114" s="71" t="s">
        <v>32</v>
      </c>
      <c r="O114" s="71" t="s">
        <v>32</v>
      </c>
      <c r="P114" s="65" t="s">
        <v>32</v>
      </c>
      <c r="Q114" s="65" t="s">
        <v>32</v>
      </c>
      <c r="R114" s="66" t="s">
        <v>32</v>
      </c>
    </row>
    <row r="115" spans="3:18" ht="17" thickTop="1" x14ac:dyDescent="0.2">
      <c r="C115" s="24" t="s">
        <v>0</v>
      </c>
      <c r="D115" s="39">
        <f>'All Light Vehicles'!D28-'Light Vehicle Supporting Data'!D95</f>
        <v>0</v>
      </c>
      <c r="E115" s="40">
        <f>'All Light Vehicles'!E28-'Light Vehicle Supporting Data'!E95</f>
        <v>0</v>
      </c>
      <c r="F115" s="40">
        <f>'All Light Vehicles'!F28-'Light Vehicle Supporting Data'!F95</f>
        <v>0</v>
      </c>
      <c r="G115" s="40">
        <f>'All Light Vehicles'!G28-'Light Vehicle Supporting Data'!G95</f>
        <v>0</v>
      </c>
      <c r="H115" s="40">
        <f>'All Light Vehicles'!H28-'Light Vehicle Supporting Data'!H95</f>
        <v>0</v>
      </c>
      <c r="I115" s="40">
        <f>'All Light Vehicles'!I28-'Light Vehicle Supporting Data'!I95</f>
        <v>0</v>
      </c>
      <c r="J115" s="40">
        <f>'All Light Vehicles'!J28-'Light Vehicle Supporting Data'!J95</f>
        <v>0</v>
      </c>
      <c r="K115" s="40">
        <f>'All Light Vehicles'!K28-'Light Vehicle Supporting Data'!K95</f>
        <v>0</v>
      </c>
      <c r="L115" s="40">
        <f>'All Light Vehicles'!L28-'Light Vehicle Supporting Data'!L95</f>
        <v>0</v>
      </c>
      <c r="M115" s="40">
        <f>'All Light Vehicles'!M28-'Light Vehicle Supporting Data'!M95</f>
        <v>0</v>
      </c>
      <c r="N115" s="40">
        <f>'All Light Vehicles'!N28-'Light Vehicle Supporting Data'!N95</f>
        <v>0</v>
      </c>
      <c r="O115" s="40">
        <f>'All Light Vehicles'!O28-'Light Vehicle Supporting Data'!O95</f>
        <v>0</v>
      </c>
      <c r="P115" s="40">
        <f>'All Light Vehicles'!P28-'Light Vehicle Supporting Data'!P95</f>
        <v>0</v>
      </c>
      <c r="Q115" s="40">
        <f>'All Light Vehicles'!Q28-'Light Vehicle Supporting Data'!Q95</f>
        <v>0</v>
      </c>
      <c r="R115" s="41">
        <f>'All Light Vehicles'!R28-'Light Vehicle Supporting Data'!R95</f>
        <v>0</v>
      </c>
    </row>
    <row r="116" spans="3:18" ht="16" x14ac:dyDescent="0.2">
      <c r="C116" s="24" t="s">
        <v>1</v>
      </c>
      <c r="D116" s="42">
        <f>'All Light Vehicles'!D29-'Light Vehicle Supporting Data'!D96</f>
        <v>0</v>
      </c>
      <c r="E116" s="43">
        <f>'All Light Vehicles'!E29-'Light Vehicle Supporting Data'!E96</f>
        <v>0</v>
      </c>
      <c r="F116" s="43">
        <f>'All Light Vehicles'!F29-'Light Vehicle Supporting Data'!F96</f>
        <v>0</v>
      </c>
      <c r="G116" s="43">
        <f>'All Light Vehicles'!G29-'Light Vehicle Supporting Data'!G96</f>
        <v>0</v>
      </c>
      <c r="H116" s="43">
        <f>'All Light Vehicles'!H29-'Light Vehicle Supporting Data'!H96</f>
        <v>0</v>
      </c>
      <c r="I116" s="43">
        <f>'All Light Vehicles'!I29-'Light Vehicle Supporting Data'!I96</f>
        <v>0</v>
      </c>
      <c r="J116" s="43">
        <f>'All Light Vehicles'!J29-'Light Vehicle Supporting Data'!J96</f>
        <v>0</v>
      </c>
      <c r="K116" s="43">
        <f>'All Light Vehicles'!K29-'Light Vehicle Supporting Data'!K96</f>
        <v>0</v>
      </c>
      <c r="L116" s="43">
        <f>'All Light Vehicles'!L29-'Light Vehicle Supporting Data'!L96</f>
        <v>0</v>
      </c>
      <c r="M116" s="43">
        <f>'All Light Vehicles'!M29-'Light Vehicle Supporting Data'!M96</f>
        <v>0</v>
      </c>
      <c r="N116" s="43">
        <f>'All Light Vehicles'!N29-'Light Vehicle Supporting Data'!N96</f>
        <v>0</v>
      </c>
      <c r="O116" s="43">
        <f>'All Light Vehicles'!O29-'Light Vehicle Supporting Data'!O96</f>
        <v>0</v>
      </c>
      <c r="P116" s="43">
        <f>'All Light Vehicles'!P29-'Light Vehicle Supporting Data'!P96</f>
        <v>0</v>
      </c>
      <c r="Q116" s="43">
        <f>'All Light Vehicles'!Q29-'Light Vehicle Supporting Data'!Q96</f>
        <v>0</v>
      </c>
      <c r="R116" s="44">
        <f>'All Light Vehicles'!R29-'Light Vehicle Supporting Data'!R96</f>
        <v>0</v>
      </c>
    </row>
    <row r="117" spans="3:18" ht="16" x14ac:dyDescent="0.2">
      <c r="C117" s="24" t="s">
        <v>2</v>
      </c>
      <c r="D117" s="42">
        <f>'All Light Vehicles'!D30-'Light Vehicle Supporting Data'!D97</f>
        <v>0</v>
      </c>
      <c r="E117" s="43">
        <f>'All Light Vehicles'!E30-'Light Vehicle Supporting Data'!E97</f>
        <v>0</v>
      </c>
      <c r="F117" s="43">
        <f>'All Light Vehicles'!F30-'Light Vehicle Supporting Data'!F97</f>
        <v>0</v>
      </c>
      <c r="G117" s="43">
        <f>'All Light Vehicles'!G30-'Light Vehicle Supporting Data'!G97</f>
        <v>0</v>
      </c>
      <c r="H117" s="43">
        <f>'All Light Vehicles'!H30-'Light Vehicle Supporting Data'!H97</f>
        <v>0</v>
      </c>
      <c r="I117" s="43">
        <f>'All Light Vehicles'!I30-'Light Vehicle Supporting Data'!I97</f>
        <v>0</v>
      </c>
      <c r="J117" s="43">
        <f>'All Light Vehicles'!J30-'Light Vehicle Supporting Data'!J97</f>
        <v>0</v>
      </c>
      <c r="K117" s="43">
        <f>'All Light Vehicles'!K30-'Light Vehicle Supporting Data'!K97</f>
        <v>0</v>
      </c>
      <c r="L117" s="43">
        <f>'All Light Vehicles'!L30-'Light Vehicle Supporting Data'!L97</f>
        <v>0</v>
      </c>
      <c r="M117" s="43">
        <f>'All Light Vehicles'!M30-'Light Vehicle Supporting Data'!M97</f>
        <v>0</v>
      </c>
      <c r="N117" s="43">
        <f>'All Light Vehicles'!N30-'Light Vehicle Supporting Data'!N97</f>
        <v>0</v>
      </c>
      <c r="O117" s="43">
        <f>'All Light Vehicles'!O30-'Light Vehicle Supporting Data'!O97</f>
        <v>0</v>
      </c>
      <c r="P117" s="43">
        <f>'All Light Vehicles'!P30-'Light Vehicle Supporting Data'!P97</f>
        <v>0</v>
      </c>
      <c r="Q117" s="43">
        <f>'All Light Vehicles'!Q30-'Light Vehicle Supporting Data'!Q97</f>
        <v>0</v>
      </c>
      <c r="R117" s="44">
        <f>'All Light Vehicles'!R30-'Light Vehicle Supporting Data'!R97</f>
        <v>0</v>
      </c>
    </row>
    <row r="118" spans="3:18" ht="16" x14ac:dyDescent="0.2">
      <c r="C118" s="24" t="s">
        <v>3</v>
      </c>
      <c r="D118" s="42">
        <f>'All Light Vehicles'!D31-'Light Vehicle Supporting Data'!D98</f>
        <v>0</v>
      </c>
      <c r="E118" s="43">
        <f>'All Light Vehicles'!E31-'Light Vehicle Supporting Data'!E98</f>
        <v>0</v>
      </c>
      <c r="F118" s="43">
        <f>'All Light Vehicles'!F31-'Light Vehicle Supporting Data'!F98</f>
        <v>0</v>
      </c>
      <c r="G118" s="43">
        <f>'All Light Vehicles'!G31-'Light Vehicle Supporting Data'!G98</f>
        <v>0</v>
      </c>
      <c r="H118" s="43">
        <f>'All Light Vehicles'!H31-'Light Vehicle Supporting Data'!H98</f>
        <v>0</v>
      </c>
      <c r="I118" s="43">
        <f>'All Light Vehicles'!I31-'Light Vehicle Supporting Data'!I98</f>
        <v>0</v>
      </c>
      <c r="J118" s="43">
        <f>'All Light Vehicles'!J31-'Light Vehicle Supporting Data'!J98</f>
        <v>0</v>
      </c>
      <c r="K118" s="43">
        <f>'All Light Vehicles'!K31-'Light Vehicle Supporting Data'!K98</f>
        <v>0</v>
      </c>
      <c r="L118" s="43">
        <f>'All Light Vehicles'!L31-'Light Vehicle Supporting Data'!L98</f>
        <v>0</v>
      </c>
      <c r="M118" s="43">
        <f>'All Light Vehicles'!M31-'Light Vehicle Supporting Data'!M98</f>
        <v>0</v>
      </c>
      <c r="N118" s="43">
        <f>'All Light Vehicles'!N31-'Light Vehicle Supporting Data'!N98</f>
        <v>0</v>
      </c>
      <c r="O118" s="43">
        <f>'All Light Vehicles'!O31-'Light Vehicle Supporting Data'!O98</f>
        <v>0</v>
      </c>
      <c r="P118" s="43">
        <f>'All Light Vehicles'!P31-'Light Vehicle Supporting Data'!P98</f>
        <v>0</v>
      </c>
      <c r="Q118" s="43">
        <f>'All Light Vehicles'!Q31-'Light Vehicle Supporting Data'!Q98</f>
        <v>0</v>
      </c>
      <c r="R118" s="44">
        <f>'All Light Vehicles'!R31-'Light Vehicle Supporting Data'!R98</f>
        <v>0</v>
      </c>
    </row>
    <row r="119" spans="3:18" ht="16" x14ac:dyDescent="0.2">
      <c r="C119" s="24" t="s">
        <v>4</v>
      </c>
      <c r="D119" s="42">
        <f>'All Light Vehicles'!D32-'Light Vehicle Supporting Data'!D99</f>
        <v>0</v>
      </c>
      <c r="E119" s="43">
        <f>'All Light Vehicles'!E32-'Light Vehicle Supporting Data'!E99</f>
        <v>0</v>
      </c>
      <c r="F119" s="43">
        <f>'All Light Vehicles'!F32-'Light Vehicle Supporting Data'!F99</f>
        <v>0</v>
      </c>
      <c r="G119" s="43">
        <f>'All Light Vehicles'!G32-'Light Vehicle Supporting Data'!G99</f>
        <v>0</v>
      </c>
      <c r="H119" s="43">
        <f>'All Light Vehicles'!H32-'Light Vehicle Supporting Data'!H99</f>
        <v>0</v>
      </c>
      <c r="I119" s="43">
        <f>'All Light Vehicles'!I32-'Light Vehicle Supporting Data'!I99</f>
        <v>0</v>
      </c>
      <c r="J119" s="43">
        <f>'All Light Vehicles'!J32-'Light Vehicle Supporting Data'!J99</f>
        <v>0</v>
      </c>
      <c r="K119" s="43">
        <f>'All Light Vehicles'!K32-'Light Vehicle Supporting Data'!K99</f>
        <v>0</v>
      </c>
      <c r="L119" s="43">
        <f>'All Light Vehicles'!L32-'Light Vehicle Supporting Data'!L99</f>
        <v>0</v>
      </c>
      <c r="M119" s="43">
        <f>'All Light Vehicles'!M32-'Light Vehicle Supporting Data'!M99</f>
        <v>0</v>
      </c>
      <c r="N119" s="43">
        <f>'All Light Vehicles'!N32-'Light Vehicle Supporting Data'!N99</f>
        <v>0</v>
      </c>
      <c r="O119" s="43">
        <f>'All Light Vehicles'!O32-'Light Vehicle Supporting Data'!O99</f>
        <v>0</v>
      </c>
      <c r="P119" s="43">
        <f>'All Light Vehicles'!P32-'Light Vehicle Supporting Data'!P99</f>
        <v>0</v>
      </c>
      <c r="Q119" s="43">
        <f>'All Light Vehicles'!Q32-'Light Vehicle Supporting Data'!Q99</f>
        <v>0</v>
      </c>
      <c r="R119" s="44">
        <f>'All Light Vehicles'!R32-'Light Vehicle Supporting Data'!R99</f>
        <v>0</v>
      </c>
    </row>
    <row r="120" spans="3:18" ht="16" x14ac:dyDescent="0.2">
      <c r="C120" s="24" t="s">
        <v>5</v>
      </c>
      <c r="D120" s="42">
        <f>'All Light Vehicles'!D33-'Light Vehicle Supporting Data'!D100</f>
        <v>0</v>
      </c>
      <c r="E120" s="43">
        <f>'All Light Vehicles'!E33-'Light Vehicle Supporting Data'!E100</f>
        <v>0</v>
      </c>
      <c r="F120" s="43">
        <f>'All Light Vehicles'!F33-'Light Vehicle Supporting Data'!F100</f>
        <v>0</v>
      </c>
      <c r="G120" s="43">
        <f>'All Light Vehicles'!G33-'Light Vehicle Supporting Data'!G100</f>
        <v>0</v>
      </c>
      <c r="H120" s="43">
        <f>'All Light Vehicles'!H33-'Light Vehicle Supporting Data'!H100</f>
        <v>0</v>
      </c>
      <c r="I120" s="43">
        <f>'All Light Vehicles'!I33-'Light Vehicle Supporting Data'!I100</f>
        <v>0</v>
      </c>
      <c r="J120" s="43">
        <f>'All Light Vehicles'!J33-'Light Vehicle Supporting Data'!J100</f>
        <v>0</v>
      </c>
      <c r="K120" s="43">
        <f>'All Light Vehicles'!K33-'Light Vehicle Supporting Data'!K100</f>
        <v>0</v>
      </c>
      <c r="L120" s="43">
        <f>'All Light Vehicles'!L33-'Light Vehicle Supporting Data'!L100</f>
        <v>0</v>
      </c>
      <c r="M120" s="43">
        <f>'All Light Vehicles'!M33-'Light Vehicle Supporting Data'!M100</f>
        <v>0</v>
      </c>
      <c r="N120" s="43">
        <f>'All Light Vehicles'!N33-'Light Vehicle Supporting Data'!N100</f>
        <v>0</v>
      </c>
      <c r="O120" s="43">
        <f>'All Light Vehicles'!O33-'Light Vehicle Supporting Data'!O100</f>
        <v>0</v>
      </c>
      <c r="P120" s="43">
        <f>'All Light Vehicles'!P33-'Light Vehicle Supporting Data'!P100</f>
        <v>0</v>
      </c>
      <c r="Q120" s="43">
        <f>'All Light Vehicles'!Q33-'Light Vehicle Supporting Data'!Q100</f>
        <v>0</v>
      </c>
      <c r="R120" s="44">
        <f>'All Light Vehicles'!R33-'Light Vehicle Supporting Data'!R100</f>
        <v>0</v>
      </c>
    </row>
    <row r="121" spans="3:18" ht="16" x14ac:dyDescent="0.2">
      <c r="C121" s="24" t="s">
        <v>6</v>
      </c>
      <c r="D121" s="42">
        <f>'All Light Vehicles'!D34-'Light Vehicle Supporting Data'!D101</f>
        <v>0</v>
      </c>
      <c r="E121" s="43">
        <f>'All Light Vehicles'!E34-'Light Vehicle Supporting Data'!E101</f>
        <v>0</v>
      </c>
      <c r="F121" s="43">
        <f>'All Light Vehicles'!F34-'Light Vehicle Supporting Data'!F101</f>
        <v>0</v>
      </c>
      <c r="G121" s="43">
        <f>'All Light Vehicles'!G34-'Light Vehicle Supporting Data'!G101</f>
        <v>0</v>
      </c>
      <c r="H121" s="43">
        <f>'All Light Vehicles'!H34-'Light Vehicle Supporting Data'!H101</f>
        <v>0</v>
      </c>
      <c r="I121" s="43">
        <f>'All Light Vehicles'!I34-'Light Vehicle Supporting Data'!I101</f>
        <v>0</v>
      </c>
      <c r="J121" s="43">
        <f>'All Light Vehicles'!J34-'Light Vehicle Supporting Data'!J101</f>
        <v>0</v>
      </c>
      <c r="K121" s="43">
        <f>'All Light Vehicles'!K34-'Light Vehicle Supporting Data'!K101</f>
        <v>0</v>
      </c>
      <c r="L121" s="43">
        <f>'All Light Vehicles'!L34-'Light Vehicle Supporting Data'!L101</f>
        <v>0</v>
      </c>
      <c r="M121" s="43">
        <f>'All Light Vehicles'!M34-'Light Vehicle Supporting Data'!M101</f>
        <v>0</v>
      </c>
      <c r="N121" s="43">
        <f>'All Light Vehicles'!N34-'Light Vehicle Supporting Data'!N101</f>
        <v>0</v>
      </c>
      <c r="O121" s="43">
        <f>'All Light Vehicles'!O34-'Light Vehicle Supporting Data'!O101</f>
        <v>0</v>
      </c>
      <c r="P121" s="43">
        <f>'All Light Vehicles'!P34-'Light Vehicle Supporting Data'!P101</f>
        <v>0</v>
      </c>
      <c r="Q121" s="43">
        <f>'All Light Vehicles'!Q34-'Light Vehicle Supporting Data'!Q101</f>
        <v>0</v>
      </c>
      <c r="R121" s="44">
        <f>'All Light Vehicles'!R34-'Light Vehicle Supporting Data'!R101</f>
        <v>0</v>
      </c>
    </row>
    <row r="122" spans="3:18" ht="16" x14ac:dyDescent="0.2">
      <c r="C122" s="24" t="s">
        <v>7</v>
      </c>
      <c r="D122" s="42">
        <f>'All Light Vehicles'!D35-'Light Vehicle Supporting Data'!D102</f>
        <v>0</v>
      </c>
      <c r="E122" s="43">
        <f>'All Light Vehicles'!E35-'Light Vehicle Supporting Data'!E102</f>
        <v>0</v>
      </c>
      <c r="F122" s="43">
        <f>'All Light Vehicles'!F35-'Light Vehicle Supporting Data'!F102</f>
        <v>0</v>
      </c>
      <c r="G122" s="43">
        <f>'All Light Vehicles'!G35-'Light Vehicle Supporting Data'!G102</f>
        <v>0</v>
      </c>
      <c r="H122" s="43">
        <f>'All Light Vehicles'!H35-'Light Vehicle Supporting Data'!H102</f>
        <v>0</v>
      </c>
      <c r="I122" s="43">
        <f>'All Light Vehicles'!I35-'Light Vehicle Supporting Data'!I102</f>
        <v>0</v>
      </c>
      <c r="J122" s="43">
        <f>'All Light Vehicles'!J35-'Light Vehicle Supporting Data'!J102</f>
        <v>0</v>
      </c>
      <c r="K122" s="43">
        <f>'All Light Vehicles'!K35-'Light Vehicle Supporting Data'!K102</f>
        <v>0</v>
      </c>
      <c r="L122" s="43">
        <f>'All Light Vehicles'!L35-'Light Vehicle Supporting Data'!L102</f>
        <v>0</v>
      </c>
      <c r="M122" s="43">
        <f>'All Light Vehicles'!M35-'Light Vehicle Supporting Data'!M102</f>
        <v>0</v>
      </c>
      <c r="N122" s="43">
        <f>'All Light Vehicles'!N35-'Light Vehicle Supporting Data'!N102</f>
        <v>0</v>
      </c>
      <c r="O122" s="43">
        <f>'All Light Vehicles'!O35-'Light Vehicle Supporting Data'!O102</f>
        <v>0</v>
      </c>
      <c r="P122" s="43">
        <f>'All Light Vehicles'!P35-'Light Vehicle Supporting Data'!P102</f>
        <v>0</v>
      </c>
      <c r="Q122" s="43">
        <f>'All Light Vehicles'!Q35-'Light Vehicle Supporting Data'!Q102</f>
        <v>0</v>
      </c>
      <c r="R122" s="44">
        <f>'All Light Vehicles'!R35-'Light Vehicle Supporting Data'!R102</f>
        <v>0</v>
      </c>
    </row>
    <row r="123" spans="3:18" ht="16" x14ac:dyDescent="0.2">
      <c r="C123" s="24" t="s">
        <v>8</v>
      </c>
      <c r="D123" s="42">
        <f>'All Light Vehicles'!D36-'Light Vehicle Supporting Data'!D103</f>
        <v>0</v>
      </c>
      <c r="E123" s="43">
        <f>'All Light Vehicles'!E36-'Light Vehicle Supporting Data'!E103</f>
        <v>0</v>
      </c>
      <c r="F123" s="43">
        <f>'All Light Vehicles'!F36-'Light Vehicle Supporting Data'!F103</f>
        <v>0</v>
      </c>
      <c r="G123" s="43">
        <f>'All Light Vehicles'!G36-'Light Vehicle Supporting Data'!G103</f>
        <v>0</v>
      </c>
      <c r="H123" s="43">
        <f>'All Light Vehicles'!H36-'Light Vehicle Supporting Data'!H103</f>
        <v>0</v>
      </c>
      <c r="I123" s="43">
        <f>'All Light Vehicles'!I36-'Light Vehicle Supporting Data'!I103</f>
        <v>0</v>
      </c>
      <c r="J123" s="43">
        <f>'All Light Vehicles'!J36-'Light Vehicle Supporting Data'!J103</f>
        <v>0</v>
      </c>
      <c r="K123" s="43">
        <f>'All Light Vehicles'!K36-'Light Vehicle Supporting Data'!K103</f>
        <v>0</v>
      </c>
      <c r="L123" s="43">
        <f>'All Light Vehicles'!L36-'Light Vehicle Supporting Data'!L103</f>
        <v>0</v>
      </c>
      <c r="M123" s="43">
        <f>'All Light Vehicles'!M36-'Light Vehicle Supporting Data'!M103</f>
        <v>0</v>
      </c>
      <c r="N123" s="43">
        <f>'All Light Vehicles'!N36-'Light Vehicle Supporting Data'!N103</f>
        <v>0</v>
      </c>
      <c r="O123" s="43">
        <f>'All Light Vehicles'!O36-'Light Vehicle Supporting Data'!O103</f>
        <v>0</v>
      </c>
      <c r="P123" s="43">
        <f>'All Light Vehicles'!P36-'Light Vehicle Supporting Data'!P103</f>
        <v>0</v>
      </c>
      <c r="Q123" s="43">
        <f>'All Light Vehicles'!Q36-'Light Vehicle Supporting Data'!Q103</f>
        <v>0</v>
      </c>
      <c r="R123" s="44">
        <f>'All Light Vehicles'!R36-'Light Vehicle Supporting Data'!R103</f>
        <v>0</v>
      </c>
    </row>
    <row r="124" spans="3:18" ht="16" x14ac:dyDescent="0.2">
      <c r="C124" s="24" t="s">
        <v>9</v>
      </c>
      <c r="D124" s="42">
        <f>'All Light Vehicles'!D37-'Light Vehicle Supporting Data'!D104</f>
        <v>0</v>
      </c>
      <c r="E124" s="43">
        <f>'All Light Vehicles'!E37-'Light Vehicle Supporting Data'!E104</f>
        <v>0</v>
      </c>
      <c r="F124" s="43">
        <f>'All Light Vehicles'!F37-'Light Vehicle Supporting Data'!F104</f>
        <v>0</v>
      </c>
      <c r="G124" s="43">
        <f>'All Light Vehicles'!G37-'Light Vehicle Supporting Data'!G104</f>
        <v>0</v>
      </c>
      <c r="H124" s="43">
        <f>'All Light Vehicles'!H37-'Light Vehicle Supporting Data'!H104</f>
        <v>0</v>
      </c>
      <c r="I124" s="43">
        <f>'All Light Vehicles'!I37-'Light Vehicle Supporting Data'!I104</f>
        <v>0</v>
      </c>
      <c r="J124" s="43">
        <f>'All Light Vehicles'!J37-'Light Vehicle Supporting Data'!J104</f>
        <v>0</v>
      </c>
      <c r="K124" s="43">
        <f>'All Light Vehicles'!K37-'Light Vehicle Supporting Data'!K104</f>
        <v>0</v>
      </c>
      <c r="L124" s="43">
        <f>'All Light Vehicles'!L37-'Light Vehicle Supporting Data'!L104</f>
        <v>0</v>
      </c>
      <c r="M124" s="43">
        <f>'All Light Vehicles'!M37-'Light Vehicle Supporting Data'!M104</f>
        <v>0</v>
      </c>
      <c r="N124" s="43">
        <f>'All Light Vehicles'!N37-'Light Vehicle Supporting Data'!N104</f>
        <v>0</v>
      </c>
      <c r="O124" s="43">
        <f>'All Light Vehicles'!O37-'Light Vehicle Supporting Data'!O104</f>
        <v>0</v>
      </c>
      <c r="P124" s="43">
        <f>'All Light Vehicles'!P37-'Light Vehicle Supporting Data'!P104</f>
        <v>0</v>
      </c>
      <c r="Q124" s="43">
        <f>'All Light Vehicles'!Q37-'Light Vehicle Supporting Data'!Q104</f>
        <v>0</v>
      </c>
      <c r="R124" s="44">
        <f>'All Light Vehicles'!R37-'Light Vehicle Supporting Data'!R104</f>
        <v>0</v>
      </c>
    </row>
    <row r="125" spans="3:18" ht="16" x14ac:dyDescent="0.2">
      <c r="C125" s="24" t="s">
        <v>10</v>
      </c>
      <c r="D125" s="42">
        <f>'All Light Vehicles'!D38-'Light Vehicle Supporting Data'!D105</f>
        <v>0</v>
      </c>
      <c r="E125" s="43">
        <f>'All Light Vehicles'!E38-'Light Vehicle Supporting Data'!E105</f>
        <v>0</v>
      </c>
      <c r="F125" s="43">
        <f>'All Light Vehicles'!F38-'Light Vehicle Supporting Data'!F105</f>
        <v>0</v>
      </c>
      <c r="G125" s="43">
        <f>'All Light Vehicles'!G38-'Light Vehicle Supporting Data'!G105</f>
        <v>0</v>
      </c>
      <c r="H125" s="43">
        <f>'All Light Vehicles'!H38-'Light Vehicle Supporting Data'!H105</f>
        <v>0</v>
      </c>
      <c r="I125" s="43">
        <f>'All Light Vehicles'!I38-'Light Vehicle Supporting Data'!I105</f>
        <v>0</v>
      </c>
      <c r="J125" s="43">
        <f>'All Light Vehicles'!J38-'Light Vehicle Supporting Data'!J105</f>
        <v>0</v>
      </c>
      <c r="K125" s="43">
        <f>'All Light Vehicles'!K38-'Light Vehicle Supporting Data'!K105</f>
        <v>0</v>
      </c>
      <c r="L125" s="43">
        <f>'All Light Vehicles'!L38-'Light Vehicle Supporting Data'!L105</f>
        <v>0</v>
      </c>
      <c r="M125" s="43">
        <f>'All Light Vehicles'!M38-'Light Vehicle Supporting Data'!M105</f>
        <v>0</v>
      </c>
      <c r="N125" s="43">
        <f>'All Light Vehicles'!N38-'Light Vehicle Supporting Data'!N105</f>
        <v>0</v>
      </c>
      <c r="O125" s="43">
        <f>'All Light Vehicles'!O38-'Light Vehicle Supporting Data'!O105</f>
        <v>0</v>
      </c>
      <c r="P125" s="43">
        <f>'All Light Vehicles'!P38-'Light Vehicle Supporting Data'!P105</f>
        <v>0</v>
      </c>
      <c r="Q125" s="43">
        <f>'All Light Vehicles'!Q38-'Light Vehicle Supporting Data'!Q105</f>
        <v>0</v>
      </c>
      <c r="R125" s="44">
        <f>'All Light Vehicles'!R38-'Light Vehicle Supporting Data'!R105</f>
        <v>0</v>
      </c>
    </row>
    <row r="126" spans="3:18" ht="16" x14ac:dyDescent="0.2">
      <c r="C126" s="24" t="s">
        <v>11</v>
      </c>
      <c r="D126" s="42">
        <f>'All Light Vehicles'!D39-'Light Vehicle Supporting Data'!D106</f>
        <v>0</v>
      </c>
      <c r="E126" s="43">
        <f>'All Light Vehicles'!E39-'Light Vehicle Supporting Data'!E106</f>
        <v>0</v>
      </c>
      <c r="F126" s="43">
        <f>'All Light Vehicles'!F39-'Light Vehicle Supporting Data'!F106</f>
        <v>0</v>
      </c>
      <c r="G126" s="43">
        <f>'All Light Vehicles'!G39-'Light Vehicle Supporting Data'!G106</f>
        <v>0</v>
      </c>
      <c r="H126" s="43">
        <f>'All Light Vehicles'!H39-'Light Vehicle Supporting Data'!H106</f>
        <v>0</v>
      </c>
      <c r="I126" s="43">
        <f>'All Light Vehicles'!I39-'Light Vehicle Supporting Data'!I106</f>
        <v>0</v>
      </c>
      <c r="J126" s="43">
        <f>'All Light Vehicles'!J39-'Light Vehicle Supporting Data'!J106</f>
        <v>0</v>
      </c>
      <c r="K126" s="43">
        <f>'All Light Vehicles'!K39-'Light Vehicle Supporting Data'!K106</f>
        <v>0</v>
      </c>
      <c r="L126" s="43">
        <f>'All Light Vehicles'!L39-'Light Vehicle Supporting Data'!L106</f>
        <v>0</v>
      </c>
      <c r="M126" s="43">
        <f>'All Light Vehicles'!M39-'Light Vehicle Supporting Data'!M106</f>
        <v>0</v>
      </c>
      <c r="N126" s="43">
        <f>'All Light Vehicles'!N39-'Light Vehicle Supporting Data'!N106</f>
        <v>0</v>
      </c>
      <c r="O126" s="43">
        <f>'All Light Vehicles'!O39-'Light Vehicle Supporting Data'!O106</f>
        <v>0</v>
      </c>
      <c r="P126" s="43">
        <f>'All Light Vehicles'!P39-'Light Vehicle Supporting Data'!P106</f>
        <v>0</v>
      </c>
      <c r="Q126" s="43">
        <f>'All Light Vehicles'!Q39-'Light Vehicle Supporting Data'!Q106</f>
        <v>0</v>
      </c>
      <c r="R126" s="44">
        <f>'All Light Vehicles'!R39-'Light Vehicle Supporting Data'!R106</f>
        <v>0</v>
      </c>
    </row>
    <row r="127" spans="3:18" ht="16" x14ac:dyDescent="0.2">
      <c r="C127" s="24" t="s">
        <v>12</v>
      </c>
      <c r="D127" s="42">
        <f>'All Light Vehicles'!D40-'Light Vehicle Supporting Data'!D107</f>
        <v>0</v>
      </c>
      <c r="E127" s="43">
        <f>'All Light Vehicles'!E40-'Light Vehicle Supporting Data'!E107</f>
        <v>0</v>
      </c>
      <c r="F127" s="43">
        <f>'All Light Vehicles'!F40-'Light Vehicle Supporting Data'!F107</f>
        <v>0</v>
      </c>
      <c r="G127" s="43">
        <f>'All Light Vehicles'!G40-'Light Vehicle Supporting Data'!G107</f>
        <v>0</v>
      </c>
      <c r="H127" s="43">
        <f>'All Light Vehicles'!H40-'Light Vehicle Supporting Data'!H107</f>
        <v>0</v>
      </c>
      <c r="I127" s="43">
        <f>'All Light Vehicles'!I40-'Light Vehicle Supporting Data'!I107</f>
        <v>0</v>
      </c>
      <c r="J127" s="43">
        <f>'All Light Vehicles'!J40-'Light Vehicle Supporting Data'!J107</f>
        <v>0</v>
      </c>
      <c r="K127" s="43">
        <f>'All Light Vehicles'!K40-'Light Vehicle Supporting Data'!K107</f>
        <v>0</v>
      </c>
      <c r="L127" s="43">
        <f>'All Light Vehicles'!L40-'Light Vehicle Supporting Data'!L107</f>
        <v>0</v>
      </c>
      <c r="M127" s="43">
        <f>'All Light Vehicles'!M40-'Light Vehicle Supporting Data'!M107</f>
        <v>0</v>
      </c>
      <c r="N127" s="43">
        <f>'All Light Vehicles'!N40-'Light Vehicle Supporting Data'!N107</f>
        <v>0</v>
      </c>
      <c r="O127" s="43">
        <f>'All Light Vehicles'!O40-'Light Vehicle Supporting Data'!O107</f>
        <v>0</v>
      </c>
      <c r="P127" s="43">
        <f>'All Light Vehicles'!P40-'Light Vehicle Supporting Data'!P107</f>
        <v>0</v>
      </c>
      <c r="Q127" s="43">
        <f>'All Light Vehicles'!Q40-'Light Vehicle Supporting Data'!Q107</f>
        <v>0</v>
      </c>
      <c r="R127" s="44">
        <f>'All Light Vehicles'!R40-'Light Vehicle Supporting Data'!R107</f>
        <v>0</v>
      </c>
    </row>
    <row r="128" spans="3:18" ht="17" thickBot="1" x14ac:dyDescent="0.25">
      <c r="C128" s="25" t="s">
        <v>13</v>
      </c>
      <c r="D128" s="45">
        <f>'All Light Vehicles'!D41-'Light Vehicle Supporting Data'!D108</f>
        <v>0</v>
      </c>
      <c r="E128" s="46">
        <f>'All Light Vehicles'!E41-'Light Vehicle Supporting Data'!E108</f>
        <v>0</v>
      </c>
      <c r="F128" s="46">
        <f>'All Light Vehicles'!F41-'Light Vehicle Supporting Data'!F108</f>
        <v>0</v>
      </c>
      <c r="G128" s="46">
        <f>'All Light Vehicles'!G41-'Light Vehicle Supporting Data'!G108</f>
        <v>0</v>
      </c>
      <c r="H128" s="46">
        <f>'All Light Vehicles'!H41-'Light Vehicle Supporting Data'!H108</f>
        <v>0</v>
      </c>
      <c r="I128" s="46">
        <f>'All Light Vehicles'!I41-'Light Vehicle Supporting Data'!I108</f>
        <v>0</v>
      </c>
      <c r="J128" s="46">
        <f>'All Light Vehicles'!J41-'Light Vehicle Supporting Data'!J108</f>
        <v>0</v>
      </c>
      <c r="K128" s="46">
        <f>'All Light Vehicles'!K41-'Light Vehicle Supporting Data'!K108</f>
        <v>0</v>
      </c>
      <c r="L128" s="46">
        <f>'All Light Vehicles'!L41-'Light Vehicle Supporting Data'!L108</f>
        <v>0</v>
      </c>
      <c r="M128" s="46">
        <f>'All Light Vehicles'!M41-'Light Vehicle Supporting Data'!M108</f>
        <v>0</v>
      </c>
      <c r="N128" s="46">
        <f>'All Light Vehicles'!N41-'Light Vehicle Supporting Data'!N108</f>
        <v>0</v>
      </c>
      <c r="O128" s="46">
        <f>'All Light Vehicles'!O41-'Light Vehicle Supporting Data'!O108</f>
        <v>0</v>
      </c>
      <c r="P128" s="46">
        <f>'All Light Vehicles'!P41-'Light Vehicle Supporting Data'!P108</f>
        <v>0</v>
      </c>
      <c r="Q128" s="46">
        <f>'All Light Vehicles'!Q41-'Light Vehicle Supporting Data'!Q108</f>
        <v>0</v>
      </c>
      <c r="R128" s="47">
        <f>'All Light Vehicles'!R41-'Light Vehicle Supporting Data'!R108</f>
        <v>0</v>
      </c>
    </row>
    <row r="129" spans="3:18" ht="19" thickTop="1" thickBot="1" x14ac:dyDescent="0.25">
      <c r="C129" s="20" t="s">
        <v>24</v>
      </c>
      <c r="D129" s="48">
        <f t="shared" ref="D129:O129" si="26">SUM(D115:D128)</f>
        <v>0</v>
      </c>
      <c r="E129" s="48">
        <f t="shared" si="26"/>
        <v>0</v>
      </c>
      <c r="F129" s="48">
        <f t="shared" si="26"/>
        <v>0</v>
      </c>
      <c r="G129" s="48">
        <f t="shared" si="26"/>
        <v>0</v>
      </c>
      <c r="H129" s="48">
        <f t="shared" si="26"/>
        <v>0</v>
      </c>
      <c r="I129" s="48">
        <f t="shared" si="26"/>
        <v>0</v>
      </c>
      <c r="J129" s="48">
        <f t="shared" ref="J129" si="27">SUM(J115:J128)</f>
        <v>0</v>
      </c>
      <c r="K129" s="48">
        <f t="shared" si="26"/>
        <v>0</v>
      </c>
      <c r="L129" s="48">
        <f t="shared" si="26"/>
        <v>0</v>
      </c>
      <c r="M129" s="48">
        <f t="shared" si="26"/>
        <v>0</v>
      </c>
      <c r="N129" s="48">
        <f t="shared" si="26"/>
        <v>0</v>
      </c>
      <c r="O129" s="48">
        <f t="shared" si="26"/>
        <v>0</v>
      </c>
      <c r="P129" s="48">
        <f t="shared" ref="P129:R129" si="28">SUM(P115:P128)</f>
        <v>0</v>
      </c>
      <c r="Q129" s="48">
        <f t="shared" si="28"/>
        <v>0</v>
      </c>
      <c r="R129" s="49">
        <f t="shared" si="28"/>
        <v>0</v>
      </c>
    </row>
    <row r="130" spans="3:18" ht="14" thickTop="1" x14ac:dyDescent="0.15"/>
    <row r="132" spans="3:18" ht="16" x14ac:dyDescent="0.2">
      <c r="C132" s="50" t="s">
        <v>70</v>
      </c>
      <c r="D132" s="50"/>
      <c r="E132" s="50"/>
      <c r="F132" s="51">
        <f>SUM('[3]14_15 fleet'!$D$84:$D$98)/SUM('[3]14_15 fleet'!$D$69:$D$98)</f>
        <v>0.89560208650037543</v>
      </c>
      <c r="H132" s="50" t="s">
        <v>72</v>
      </c>
      <c r="I132" s="50"/>
      <c r="J132" s="50"/>
      <c r="K132" s="50"/>
      <c r="L132" s="50"/>
      <c r="M132" s="50"/>
      <c r="N132" s="51">
        <f>'Vehicle Share Diversion Support'!D20/(SUM('[1]12_13 fleet'!$D$68:$D$97)+SUM('[1]12_13 fleet'!$D$188:$D$217))</f>
        <v>0.86843170540862202</v>
      </c>
    </row>
    <row r="134" spans="3:18" ht="16" x14ac:dyDescent="0.2">
      <c r="C134" s="50" t="s">
        <v>71</v>
      </c>
      <c r="D134" s="50"/>
      <c r="E134" s="50"/>
      <c r="F134" s="51">
        <f>SUM('[3]14_15 fleet'!$D$204:$D$218)/SUM('[3]14_15 fleet'!$D$189:$D$218)</f>
        <v>0.60607108098821216</v>
      </c>
    </row>
    <row r="136" spans="3:18" ht="14" thickBot="1" x14ac:dyDescent="0.2"/>
    <row r="137" spans="3:18" ht="18" thickTop="1" thickBot="1" x14ac:dyDescent="0.25">
      <c r="C137" s="32" t="s">
        <v>105</v>
      </c>
      <c r="D137" s="34"/>
      <c r="E137" s="34"/>
      <c r="F137" s="34"/>
      <c r="G137" s="34"/>
      <c r="H137" s="34"/>
      <c r="I137" s="35"/>
      <c r="J137" s="121"/>
    </row>
    <row r="138" spans="3:18" ht="15" thickTop="1" thickBot="1" x14ac:dyDescent="0.2">
      <c r="C138" s="122"/>
      <c r="D138" s="71" t="s">
        <v>25</v>
      </c>
      <c r="E138" s="71" t="s">
        <v>37</v>
      </c>
      <c r="F138" s="195" t="s">
        <v>38</v>
      </c>
      <c r="G138" s="195" t="s">
        <v>177</v>
      </c>
      <c r="H138" s="195" t="s">
        <v>178</v>
      </c>
      <c r="I138" s="127" t="s">
        <v>26</v>
      </c>
      <c r="J138" s="127" t="s">
        <v>183</v>
      </c>
    </row>
    <row r="139" spans="3:18" ht="15" thickTop="1" thickBot="1" x14ac:dyDescent="0.2">
      <c r="C139" s="70"/>
      <c r="D139" s="71" t="s">
        <v>39</v>
      </c>
      <c r="E139" s="71" t="s">
        <v>39</v>
      </c>
      <c r="F139" s="71" t="s">
        <v>39</v>
      </c>
      <c r="G139" s="71" t="s">
        <v>39</v>
      </c>
      <c r="H139" s="71" t="s">
        <v>39</v>
      </c>
      <c r="I139" s="72" t="s">
        <v>39</v>
      </c>
      <c r="J139" s="72" t="s">
        <v>39</v>
      </c>
    </row>
    <row r="140" spans="3:18" ht="18" thickTop="1" x14ac:dyDescent="0.2">
      <c r="C140" s="123" t="s">
        <v>23</v>
      </c>
      <c r="D140" s="43">
        <f>SUM('[1]12_13 fleet'!$D$84:$D$97)</f>
        <v>2457469</v>
      </c>
      <c r="E140" s="43">
        <f>SUM('[2]13_14 fleet'!$D$85:$D$98)</f>
        <v>2518750</v>
      </c>
      <c r="F140" s="43">
        <f>SUM('[3]14_15 fleet'!$D$85:$D$98)</f>
        <v>2606033</v>
      </c>
      <c r="G140" s="43">
        <f>SUM('[4]15_16 fleet'!$D$85:$D$98)</f>
        <v>2694419</v>
      </c>
      <c r="H140" s="43">
        <f>SUM('[5]16_17 fleet_v2'!$D$85:$D$98)</f>
        <v>2790334</v>
      </c>
      <c r="I140" s="44">
        <f>SUM('[6]17_18 fleet_v3'!$D$86:$D$99)</f>
        <v>210849</v>
      </c>
      <c r="J140" s="44">
        <f>SUM('[7]18_19 fleet_v3'!$D$86:$D$99)</f>
        <v>215150</v>
      </c>
    </row>
    <row r="141" spans="3:18" ht="17" thickBot="1" x14ac:dyDescent="0.25">
      <c r="C141" s="25" t="s">
        <v>97</v>
      </c>
      <c r="D141" s="43">
        <f>'[1]12_13 fleet'!$D$83</f>
        <v>11221</v>
      </c>
      <c r="E141" s="43">
        <f>'[2]13_14 fleet'!$D$84</f>
        <v>11085</v>
      </c>
      <c r="F141" s="43">
        <f>'[3]14_15 fleet'!$D$84</f>
        <v>10936</v>
      </c>
      <c r="G141" s="43">
        <f>'[4]15_16 fleet'!$D$84</f>
        <v>10790</v>
      </c>
      <c r="H141" s="46">
        <f>'[5]16_17 fleet_v2'!$D$84</f>
        <v>10403</v>
      </c>
      <c r="I141" s="47">
        <f>'[6]17_18 fleet_v3'!$D$85</f>
        <v>154</v>
      </c>
      <c r="J141" s="47">
        <f>'[7]18_19 fleet_v3'!$D$85</f>
        <v>169</v>
      </c>
    </row>
    <row r="142" spans="3:18" ht="18" thickTop="1" thickBot="1" x14ac:dyDescent="0.25">
      <c r="C142" s="8" t="s">
        <v>98</v>
      </c>
      <c r="D142" s="75">
        <f>D140+D141</f>
        <v>2468690</v>
      </c>
      <c r="E142" s="48">
        <f>E140+E141</f>
        <v>2529835</v>
      </c>
      <c r="F142" s="48">
        <f>F140+F141</f>
        <v>2616969</v>
      </c>
      <c r="G142" s="48">
        <f t="shared" ref="G142:H142" si="29">G140+G141</f>
        <v>2705209</v>
      </c>
      <c r="H142" s="48">
        <f t="shared" si="29"/>
        <v>2800737</v>
      </c>
      <c r="I142" s="49">
        <f t="shared" ref="I142:J142" si="30">I140+I141</f>
        <v>211003</v>
      </c>
      <c r="J142" s="49">
        <f t="shared" si="30"/>
        <v>215319</v>
      </c>
    </row>
    <row r="143" spans="3:18" ht="36" thickTop="1" thickBot="1" x14ac:dyDescent="0.25">
      <c r="C143" s="31" t="s">
        <v>99</v>
      </c>
      <c r="D143" s="46">
        <f>'Car+SUV'!D84</f>
        <v>2468690</v>
      </c>
      <c r="E143" s="46">
        <f>'Car+SUV'!E84</f>
        <v>2529835</v>
      </c>
      <c r="F143" s="46">
        <f>'Car+SUV'!F84</f>
        <v>2616969</v>
      </c>
      <c r="G143" s="46">
        <f>'Car+SUV'!G84</f>
        <v>2705209</v>
      </c>
      <c r="H143" s="46">
        <f>'Car+SUV'!H84</f>
        <v>2800737</v>
      </c>
      <c r="I143" s="47">
        <f>'Car+SUV'!I84</f>
        <v>211003</v>
      </c>
      <c r="J143" s="47">
        <f>'Car+SUV'!J84</f>
        <v>215319</v>
      </c>
    </row>
    <row r="144" spans="3:18" ht="19" thickTop="1" thickBot="1" x14ac:dyDescent="0.25">
      <c r="C144" s="31" t="s">
        <v>101</v>
      </c>
      <c r="D144" s="124">
        <f>D142/D140</f>
        <v>1.0045660799790352</v>
      </c>
      <c r="E144" s="125">
        <f>E142/E140</f>
        <v>1.0044009925558313</v>
      </c>
      <c r="F144" s="125">
        <f>F142/F140</f>
        <v>1.0041964165457613</v>
      </c>
      <c r="G144" s="125">
        <f t="shared" ref="G144" si="31">G142/G140</f>
        <v>1.0040045738988628</v>
      </c>
      <c r="H144" s="125">
        <f t="shared" ref="H144" si="32">H142/H140</f>
        <v>1.0037282275168493</v>
      </c>
      <c r="I144" s="126">
        <f t="shared" ref="I144:J144" si="33">I142/I140</f>
        <v>1.0007303805092744</v>
      </c>
      <c r="J144" s="126">
        <f t="shared" si="33"/>
        <v>1.000785498489426</v>
      </c>
    </row>
    <row r="145" spans="3:10" ht="14" thickTop="1" x14ac:dyDescent="0.15">
      <c r="I145" s="121"/>
      <c r="J145" s="121"/>
    </row>
    <row r="146" spans="3:10" ht="14" thickBot="1" x14ac:dyDescent="0.2">
      <c r="I146" s="121"/>
      <c r="J146" s="121"/>
    </row>
    <row r="147" spans="3:10" ht="30" customHeight="1" thickTop="1" thickBot="1" x14ac:dyDescent="0.25">
      <c r="C147" s="224" t="s">
        <v>131</v>
      </c>
      <c r="D147" s="225"/>
      <c r="E147" s="225"/>
      <c r="F147" s="225"/>
      <c r="G147" s="34"/>
      <c r="H147" s="34"/>
      <c r="I147" s="35"/>
      <c r="J147" s="35"/>
    </row>
    <row r="148" spans="3:10" ht="15" thickTop="1" thickBot="1" x14ac:dyDescent="0.2">
      <c r="C148" s="122"/>
      <c r="D148" s="71" t="s">
        <v>25</v>
      </c>
      <c r="E148" s="71" t="s">
        <v>37</v>
      </c>
      <c r="F148" s="195" t="s">
        <v>38</v>
      </c>
      <c r="G148" s="195" t="s">
        <v>177</v>
      </c>
      <c r="H148" s="195" t="s">
        <v>178</v>
      </c>
      <c r="I148" s="127" t="s">
        <v>26</v>
      </c>
      <c r="J148" s="127"/>
    </row>
    <row r="149" spans="3:10" ht="15" thickTop="1" thickBot="1" x14ac:dyDescent="0.2">
      <c r="C149" s="70"/>
      <c r="D149" s="71" t="s">
        <v>39</v>
      </c>
      <c r="E149" s="71" t="s">
        <v>39</v>
      </c>
      <c r="F149" s="71" t="s">
        <v>39</v>
      </c>
      <c r="G149" s="71" t="s">
        <v>39</v>
      </c>
      <c r="H149" s="71" t="s">
        <v>39</v>
      </c>
      <c r="I149" s="72" t="s">
        <v>39</v>
      </c>
      <c r="J149" s="72" t="s">
        <v>39</v>
      </c>
    </row>
    <row r="150" spans="3:10" ht="18" thickTop="1" x14ac:dyDescent="0.2">
      <c r="C150" s="123" t="s">
        <v>23</v>
      </c>
      <c r="D150" s="43">
        <f>SUM('[1]12_13 fleet'!$D$69:$D$82)</f>
        <v>285261</v>
      </c>
      <c r="E150" s="43">
        <f>SUM('[2]13_14 fleet'!$D$70:$D$83)</f>
        <v>295188</v>
      </c>
      <c r="F150" s="43">
        <f>SUM('[3]14_15 fleet'!$D$70:$D$83)</f>
        <v>304787</v>
      </c>
      <c r="G150" s="43">
        <f>SUM('[4]15_16 fleet'!$D$70:$D$83)</f>
        <v>323322</v>
      </c>
      <c r="H150" s="43">
        <f>SUM('[5]16_17 fleet_v2'!$D$70:$D$83)</f>
        <v>343790</v>
      </c>
      <c r="I150" s="44">
        <f>SUM('[6]17_18 fleet_v3'!$D$71:$D$84)</f>
        <v>9632</v>
      </c>
      <c r="J150" s="44">
        <f>SUM('[7]18_19 fleet_v3'!$D$71:$D$84)</f>
        <v>10594</v>
      </c>
    </row>
    <row r="151" spans="3:10" ht="17" thickBot="1" x14ac:dyDescent="0.25">
      <c r="C151" s="25" t="s">
        <v>97</v>
      </c>
      <c r="D151" s="43">
        <f>'[1]12_13 fleet'!$D$68</f>
        <v>293</v>
      </c>
      <c r="E151" s="43">
        <f>'[2]13_14 fleet'!$D$69</f>
        <v>284</v>
      </c>
      <c r="F151" s="43">
        <f>'[3]14_15 fleet'!$D$69</f>
        <v>266</v>
      </c>
      <c r="G151" s="43">
        <f>'[4]15_16 fleet'!$D$69</f>
        <v>268</v>
      </c>
      <c r="H151" s="43">
        <f>'[5]16_17 fleet_v2'!$D$69</f>
        <v>257</v>
      </c>
      <c r="I151" s="44">
        <f>'[6]17_18 fleet_v3'!$D$70</f>
        <v>92</v>
      </c>
      <c r="J151" s="44">
        <f>'[7]18_19 fleet_v3'!$D$70</f>
        <v>70</v>
      </c>
    </row>
    <row r="152" spans="3:10" ht="18" thickTop="1" thickBot="1" x14ac:dyDescent="0.25">
      <c r="C152" s="8" t="s">
        <v>98</v>
      </c>
      <c r="D152" s="75">
        <f>D150+D151</f>
        <v>285554</v>
      </c>
      <c r="E152" s="48">
        <f>E150+E151</f>
        <v>295472</v>
      </c>
      <c r="F152" s="48">
        <f>F150+F151</f>
        <v>305053</v>
      </c>
      <c r="G152" s="48">
        <f t="shared" ref="G152:H152" si="34">G150+G151</f>
        <v>323590</v>
      </c>
      <c r="H152" s="48">
        <f t="shared" si="34"/>
        <v>344047</v>
      </c>
      <c r="I152" s="49">
        <f t="shared" ref="I152:J152" si="35">I150+I151</f>
        <v>9724</v>
      </c>
      <c r="J152" s="49">
        <f t="shared" si="35"/>
        <v>10664</v>
      </c>
    </row>
    <row r="153" spans="3:10" ht="36" thickTop="1" thickBot="1" x14ac:dyDescent="0.25">
      <c r="C153" s="31" t="s">
        <v>99</v>
      </c>
      <c r="D153" s="46">
        <f>'Car+SUV'!D125</f>
        <v>285554</v>
      </c>
      <c r="E153" s="46">
        <f>'Car+SUV'!E125</f>
        <v>295472</v>
      </c>
      <c r="F153" s="46">
        <f>'Car+SUV'!F125</f>
        <v>305053</v>
      </c>
      <c r="G153" s="46">
        <f>'Car+SUV'!G125</f>
        <v>323590</v>
      </c>
      <c r="H153" s="46">
        <f>'Car+SUV'!H125</f>
        <v>344047</v>
      </c>
      <c r="I153" s="47">
        <f>'Car+SUV'!I125</f>
        <v>9724</v>
      </c>
      <c r="J153" s="47">
        <f>'Car+SUV'!J125</f>
        <v>10664</v>
      </c>
    </row>
    <row r="154" spans="3:10" ht="19" thickTop="1" thickBot="1" x14ac:dyDescent="0.25">
      <c r="C154" s="31" t="s">
        <v>101</v>
      </c>
      <c r="D154" s="124">
        <f>D152/D150</f>
        <v>1.0010271295410169</v>
      </c>
      <c r="E154" s="125">
        <f>E152/E150</f>
        <v>1.0009620987303007</v>
      </c>
      <c r="F154" s="125">
        <f>F152/F150</f>
        <v>1.0008727406352633</v>
      </c>
      <c r="G154" s="125">
        <f t="shared" ref="G154:H154" si="36">G152/G150</f>
        <v>1.0008288950334341</v>
      </c>
      <c r="H154" s="125">
        <f t="shared" si="36"/>
        <v>1.0007475493760727</v>
      </c>
      <c r="I154" s="126">
        <f t="shared" ref="I154:J154" si="37">I152/I150</f>
        <v>1.0095514950166113</v>
      </c>
      <c r="J154" s="126">
        <f t="shared" si="37"/>
        <v>1.0066075136869925</v>
      </c>
    </row>
    <row r="155" spans="3:10" ht="14" thickTop="1" x14ac:dyDescent="0.15">
      <c r="I155" s="121"/>
      <c r="J155" s="121"/>
    </row>
    <row r="156" spans="3:10" ht="14" thickBot="1" x14ac:dyDescent="0.2">
      <c r="I156" s="121"/>
      <c r="J156" s="121"/>
    </row>
    <row r="157" spans="3:10" ht="18" thickTop="1" thickBot="1" x14ac:dyDescent="0.25">
      <c r="C157" s="32" t="s">
        <v>132</v>
      </c>
      <c r="D157" s="34"/>
      <c r="E157" s="34"/>
      <c r="F157" s="34"/>
      <c r="G157" s="34"/>
      <c r="H157" s="34"/>
      <c r="I157" s="35"/>
      <c r="J157" s="35"/>
    </row>
    <row r="158" spans="3:10" ht="15" thickTop="1" thickBot="1" x14ac:dyDescent="0.2">
      <c r="C158" s="122"/>
      <c r="D158" s="71" t="s">
        <v>25</v>
      </c>
      <c r="E158" s="71" t="s">
        <v>37</v>
      </c>
      <c r="F158" s="195" t="s">
        <v>38</v>
      </c>
      <c r="G158" s="195" t="s">
        <v>177</v>
      </c>
      <c r="H158" s="195" t="s">
        <v>178</v>
      </c>
      <c r="I158" s="127" t="s">
        <v>26</v>
      </c>
      <c r="J158" s="127"/>
    </row>
    <row r="159" spans="3:10" ht="15" thickTop="1" thickBot="1" x14ac:dyDescent="0.2">
      <c r="C159" s="70"/>
      <c r="D159" s="71" t="s">
        <v>39</v>
      </c>
      <c r="E159" s="71" t="s">
        <v>39</v>
      </c>
      <c r="F159" s="71" t="s">
        <v>39</v>
      </c>
      <c r="G159" s="71" t="s">
        <v>39</v>
      </c>
      <c r="H159" s="71" t="s">
        <v>39</v>
      </c>
      <c r="I159" s="72" t="s">
        <v>39</v>
      </c>
      <c r="J159" s="72" t="s">
        <v>39</v>
      </c>
    </row>
    <row r="160" spans="3:10" ht="18" thickTop="1" x14ac:dyDescent="0.2">
      <c r="C160" s="123" t="s">
        <v>23</v>
      </c>
      <c r="D160" s="43">
        <f>SUM('[1]12_13 fleet'!$D$39:$D$52)+SUM('[1]12_13 fleet'!$D$54:$D$67)</f>
        <v>7811</v>
      </c>
      <c r="E160" s="43">
        <f>SUM('[2]13_14 fleet'!$D$40:$D$53)+SUM('[2]13_14 fleet'!$D$55:$D$68)</f>
        <v>7936</v>
      </c>
      <c r="F160" s="43">
        <f>SUM('[3]14_15 fleet'!$D$40:$D$53)+SUM('[3]14_15 fleet'!$D$55:$D$68)</f>
        <v>8488</v>
      </c>
      <c r="G160" s="43">
        <f>SUM('[4]15_16 fleet'!$D$40:$D$53)+SUM('[4]15_16 fleet'!$D$55:$D$68)</f>
        <v>9861</v>
      </c>
      <c r="H160" s="43">
        <f>SUM('[5]16_17 fleet_v2'!$D$40:$D$53)+SUM('[5]16_17 fleet_v2'!$D$55:$D$68)</f>
        <v>10348</v>
      </c>
      <c r="I160" s="44">
        <f>SUM('[6]17_18 fleet_v3'!$D$41:$D$54)+SUM('[6]17_18 fleet_v3'!$D$56:$D$69)</f>
        <v>7390</v>
      </c>
      <c r="J160" s="44">
        <f>SUM('[7]18_19 fleet_v3'!$D$41:$D$54)+SUM('[7]18_19 fleet_v3'!$D$56:$D$69)</f>
        <v>7858</v>
      </c>
    </row>
    <row r="161" spans="3:10" ht="17" thickBot="1" x14ac:dyDescent="0.25">
      <c r="C161" s="25" t="s">
        <v>97</v>
      </c>
      <c r="D161" s="43">
        <f>'[1]12_13 fleet'!$D$38+'[1]12_13 fleet'!$D$53</f>
        <v>2</v>
      </c>
      <c r="E161" s="43">
        <f>'[2]13_14 fleet'!$D$39+'[2]13_14 fleet'!$D$54</f>
        <v>2</v>
      </c>
      <c r="F161" s="43">
        <f>'[3]14_15 fleet'!$D$39+'[3]14_15 fleet'!$D$54</f>
        <v>2</v>
      </c>
      <c r="G161" s="43">
        <f>'[4]15_16 fleet'!$D$39+'[4]15_16 fleet'!$D$54</f>
        <v>2</v>
      </c>
      <c r="H161" s="43">
        <f>'[5]16_17 fleet_v2'!$D$39+'[5]16_17 fleet_v2'!$D$54</f>
        <v>2</v>
      </c>
      <c r="I161" s="44">
        <f>'[6]17_18 fleet_v3'!$D$40+'[6]17_18 fleet_v3'!$D$55</f>
        <v>358</v>
      </c>
      <c r="J161" s="44">
        <f>'[7]18_19 fleet_v3'!$D$40+'[7]18_19 fleet_v3'!$D$55</f>
        <v>379</v>
      </c>
    </row>
    <row r="162" spans="3:10" ht="18" thickTop="1" thickBot="1" x14ac:dyDescent="0.25">
      <c r="C162" s="8" t="s">
        <v>98</v>
      </c>
      <c r="D162" s="75">
        <f>D160+D161</f>
        <v>7813</v>
      </c>
      <c r="E162" s="48">
        <f>E160+E161</f>
        <v>7938</v>
      </c>
      <c r="F162" s="48">
        <f>F160+F161</f>
        <v>8490</v>
      </c>
      <c r="G162" s="48">
        <f t="shared" ref="G162:H162" si="38">G160+G161</f>
        <v>9863</v>
      </c>
      <c r="H162" s="48">
        <f t="shared" si="38"/>
        <v>10350</v>
      </c>
      <c r="I162" s="49">
        <f t="shared" ref="I162:J162" si="39">I160+I161</f>
        <v>7748</v>
      </c>
      <c r="J162" s="49">
        <f t="shared" si="39"/>
        <v>8237</v>
      </c>
    </row>
    <row r="163" spans="3:10" ht="36" thickTop="1" thickBot="1" x14ac:dyDescent="0.25">
      <c r="C163" s="31" t="s">
        <v>99</v>
      </c>
      <c r="D163" s="46">
        <f>'Car+SUV'!D166</f>
        <v>7813</v>
      </c>
      <c r="E163" s="46">
        <f>'Car+SUV'!E166</f>
        <v>7938</v>
      </c>
      <c r="F163" s="46">
        <f>'Car+SUV'!F166</f>
        <v>8490</v>
      </c>
      <c r="G163" s="46">
        <f>'Car+SUV'!G166</f>
        <v>9863</v>
      </c>
      <c r="H163" s="46">
        <f>'Car+SUV'!H166</f>
        <v>10350</v>
      </c>
      <c r="I163" s="47">
        <f>'Car+SUV'!I166</f>
        <v>7748</v>
      </c>
      <c r="J163" s="47">
        <f>'Car+SUV'!J166</f>
        <v>8237</v>
      </c>
    </row>
    <row r="164" spans="3:10" ht="19" thickTop="1" thickBot="1" x14ac:dyDescent="0.25">
      <c r="C164" s="31" t="s">
        <v>101</v>
      </c>
      <c r="D164" s="124">
        <f>D162/D160</f>
        <v>1.000256049161439</v>
      </c>
      <c r="E164" s="125">
        <f>E162/E160</f>
        <v>1.0002520161290323</v>
      </c>
      <c r="F164" s="125">
        <f>F162/F160</f>
        <v>1.0002356267672008</v>
      </c>
      <c r="G164" s="125">
        <f t="shared" ref="G164" si="40">G162/G160</f>
        <v>1.000202819186695</v>
      </c>
      <c r="H164" s="125">
        <f t="shared" ref="H164" si="41">H162/H160</f>
        <v>1.0001932740626207</v>
      </c>
      <c r="I164" s="126">
        <f t="shared" ref="I164:J164" si="42">I162/I160</f>
        <v>1.0484438430311231</v>
      </c>
      <c r="J164" s="126">
        <f t="shared" si="42"/>
        <v>1.0482311020615933</v>
      </c>
    </row>
    <row r="165" spans="3:10" ht="14" thickTop="1" x14ac:dyDescent="0.15">
      <c r="I165" s="121"/>
      <c r="J165" s="121"/>
    </row>
    <row r="166" spans="3:10" ht="14" thickBot="1" x14ac:dyDescent="0.2">
      <c r="I166" s="121"/>
      <c r="J166" s="121"/>
    </row>
    <row r="167" spans="3:10" ht="18" thickTop="1" thickBot="1" x14ac:dyDescent="0.25">
      <c r="C167" s="32" t="s">
        <v>106</v>
      </c>
      <c r="D167" s="34"/>
      <c r="E167" s="34"/>
      <c r="F167" s="34"/>
      <c r="G167" s="34"/>
      <c r="H167" s="34"/>
      <c r="I167" s="35"/>
      <c r="J167" s="35"/>
    </row>
    <row r="168" spans="3:10" ht="15" thickTop="1" thickBot="1" x14ac:dyDescent="0.2">
      <c r="C168" s="122"/>
      <c r="D168" s="71" t="s">
        <v>25</v>
      </c>
      <c r="E168" s="71" t="s">
        <v>37</v>
      </c>
      <c r="F168" s="195" t="s">
        <v>38</v>
      </c>
      <c r="G168" s="195" t="s">
        <v>177</v>
      </c>
      <c r="H168" s="195" t="s">
        <v>178</v>
      </c>
      <c r="I168" s="127" t="s">
        <v>26</v>
      </c>
      <c r="J168" s="127"/>
    </row>
    <row r="169" spans="3:10" ht="15" thickTop="1" thickBot="1" x14ac:dyDescent="0.2">
      <c r="C169" s="70"/>
      <c r="D169" s="71" t="s">
        <v>39</v>
      </c>
      <c r="E169" s="71" t="s">
        <v>39</v>
      </c>
      <c r="F169" s="71" t="s">
        <v>39</v>
      </c>
      <c r="G169" s="71" t="s">
        <v>39</v>
      </c>
      <c r="H169" s="71" t="s">
        <v>39</v>
      </c>
      <c r="I169" s="72" t="s">
        <v>39</v>
      </c>
      <c r="J169" s="72" t="s">
        <v>39</v>
      </c>
    </row>
    <row r="170" spans="3:10" ht="18" thickTop="1" x14ac:dyDescent="0.2">
      <c r="C170" s="123" t="s">
        <v>23</v>
      </c>
      <c r="D170" s="43">
        <f>SUM('[1]12_13 fleet'!$D$204:$D$217)</f>
        <v>267735</v>
      </c>
      <c r="E170" s="43">
        <f>SUM('[2]13_14 fleet'!$D$205:$D$218)</f>
        <v>278591</v>
      </c>
      <c r="F170" s="43">
        <f>SUM('[3]14_15 fleet'!$D$205:$D$218)</f>
        <v>292669</v>
      </c>
      <c r="G170" s="43">
        <f>SUM('[4]15_16 fleet'!$D$205:$D$218)</f>
        <v>310165</v>
      </c>
      <c r="H170" s="43">
        <f>SUM('[5]16_17 fleet_v2'!$D$205:$D$218)</f>
        <v>331410</v>
      </c>
      <c r="I170" s="44">
        <f>SUM('[6]17_18 fleet_v3'!$D$206:$D$219)</f>
        <v>129230</v>
      </c>
      <c r="J170" s="44">
        <f>SUM('[7]18_19 fleet_v3'!$D$206:$D$219)</f>
        <v>139603</v>
      </c>
    </row>
    <row r="171" spans="3:10" ht="17" thickBot="1" x14ac:dyDescent="0.25">
      <c r="C171" s="25" t="s">
        <v>97</v>
      </c>
      <c r="D171" s="43">
        <f>'[1]12_13 fleet'!$D$203</f>
        <v>1984</v>
      </c>
      <c r="E171" s="43">
        <f>'[2]13_14 fleet'!$D$204</f>
        <v>1946</v>
      </c>
      <c r="F171" s="43">
        <f>'[3]14_15 fleet'!$D$204</f>
        <v>1887</v>
      </c>
      <c r="G171" s="43">
        <f>'[4]15_16 fleet'!$D$204</f>
        <v>1846</v>
      </c>
      <c r="H171" s="43">
        <f>'[5]16_17 fleet_v2'!$D$204</f>
        <v>1761</v>
      </c>
      <c r="I171" s="44">
        <f>'[6]17_18 fleet_v3'!$D$205</f>
        <v>31</v>
      </c>
      <c r="J171" s="44">
        <f>'[7]18_19 fleet_v3'!$D$205</f>
        <v>30</v>
      </c>
    </row>
    <row r="172" spans="3:10" ht="18" thickTop="1" thickBot="1" x14ac:dyDescent="0.25">
      <c r="C172" s="8" t="s">
        <v>98</v>
      </c>
      <c r="D172" s="75">
        <f t="shared" ref="D172:I172" si="43">D170+D171</f>
        <v>269719</v>
      </c>
      <c r="E172" s="48">
        <f t="shared" si="43"/>
        <v>280537</v>
      </c>
      <c r="F172" s="48">
        <f t="shared" si="43"/>
        <v>294556</v>
      </c>
      <c r="G172" s="48">
        <f t="shared" si="43"/>
        <v>312011</v>
      </c>
      <c r="H172" s="48">
        <f t="shared" si="43"/>
        <v>333171</v>
      </c>
      <c r="I172" s="49">
        <f t="shared" si="43"/>
        <v>129261</v>
      </c>
      <c r="J172" s="49">
        <f t="shared" ref="J172" si="44">J170+J171</f>
        <v>139633</v>
      </c>
    </row>
    <row r="173" spans="3:10" ht="36" thickTop="1" thickBot="1" x14ac:dyDescent="0.25">
      <c r="C173" s="31" t="s">
        <v>99</v>
      </c>
      <c r="D173" s="46">
        <f>'Van+Ute'!D84</f>
        <v>269719</v>
      </c>
      <c r="E173" s="46">
        <f>'Van+Ute'!E84</f>
        <v>280537</v>
      </c>
      <c r="F173" s="46">
        <f>'Van+Ute'!F84</f>
        <v>294556</v>
      </c>
      <c r="G173" s="46">
        <f>'Van+Ute'!G84</f>
        <v>312011</v>
      </c>
      <c r="H173" s="46">
        <f>'Van+Ute'!H84</f>
        <v>333171</v>
      </c>
      <c r="I173" s="47">
        <f>'Van+Ute'!I84</f>
        <v>129261</v>
      </c>
      <c r="J173" s="47">
        <f>'Van+Ute'!J84</f>
        <v>139633</v>
      </c>
    </row>
    <row r="174" spans="3:10" ht="19" thickTop="1" thickBot="1" x14ac:dyDescent="0.25">
      <c r="C174" s="31" t="s">
        <v>101</v>
      </c>
      <c r="D174" s="124">
        <f t="shared" ref="D174:I174" si="45">D172/D170</f>
        <v>1.007410312435804</v>
      </c>
      <c r="E174" s="125">
        <f t="shared" si="45"/>
        <v>1.0069851502740577</v>
      </c>
      <c r="F174" s="125">
        <f t="shared" si="45"/>
        <v>1.0064475567962443</v>
      </c>
      <c r="G174" s="125">
        <f t="shared" si="45"/>
        <v>1.0059516708848517</v>
      </c>
      <c r="H174" s="125">
        <f t="shared" si="45"/>
        <v>1.0053136598171448</v>
      </c>
      <c r="I174" s="126">
        <f t="shared" si="45"/>
        <v>1.0002398823802523</v>
      </c>
      <c r="J174" s="126">
        <f t="shared" ref="J174" si="46">J172/J170</f>
        <v>1.0002148950953775</v>
      </c>
    </row>
    <row r="175" spans="3:10" ht="14" thickTop="1" x14ac:dyDescent="0.15">
      <c r="I175" s="121"/>
      <c r="J175" s="121"/>
    </row>
    <row r="176" spans="3:10" ht="14" thickBot="1" x14ac:dyDescent="0.2">
      <c r="I176" s="121"/>
      <c r="J176" s="121"/>
    </row>
    <row r="177" spans="3:10" ht="30" customHeight="1" thickTop="1" thickBot="1" x14ac:dyDescent="0.25">
      <c r="C177" s="224" t="s">
        <v>129</v>
      </c>
      <c r="D177" s="225"/>
      <c r="E177" s="225"/>
      <c r="F177" s="225"/>
      <c r="G177" s="34"/>
      <c r="H177" s="34"/>
      <c r="I177" s="35"/>
      <c r="J177" s="35"/>
    </row>
    <row r="178" spans="3:10" ht="15" thickTop="1" thickBot="1" x14ac:dyDescent="0.2">
      <c r="C178" s="122"/>
      <c r="D178" s="71" t="s">
        <v>25</v>
      </c>
      <c r="E178" s="71" t="s">
        <v>37</v>
      </c>
      <c r="F178" s="195" t="s">
        <v>38</v>
      </c>
      <c r="G178" s="195" t="s">
        <v>177</v>
      </c>
      <c r="H178" s="195" t="s">
        <v>178</v>
      </c>
      <c r="I178" s="127" t="s">
        <v>26</v>
      </c>
      <c r="J178" s="127"/>
    </row>
    <row r="179" spans="3:10" ht="15" thickTop="1" thickBot="1" x14ac:dyDescent="0.2">
      <c r="C179" s="70"/>
      <c r="D179" s="71" t="s">
        <v>39</v>
      </c>
      <c r="E179" s="71" t="s">
        <v>39</v>
      </c>
      <c r="F179" s="71" t="s">
        <v>39</v>
      </c>
      <c r="G179" s="71" t="s">
        <v>39</v>
      </c>
      <c r="H179" s="71" t="s">
        <v>39</v>
      </c>
      <c r="I179" s="72" t="s">
        <v>39</v>
      </c>
      <c r="J179" s="72" t="s">
        <v>39</v>
      </c>
    </row>
    <row r="180" spans="3:10" ht="18" thickTop="1" x14ac:dyDescent="0.2">
      <c r="C180" s="123" t="s">
        <v>23</v>
      </c>
      <c r="D180" s="43">
        <f>SUM('[1]12_13 fleet'!$D$189:$D$202)</f>
        <v>165477</v>
      </c>
      <c r="E180" s="43">
        <f>SUM('[2]13_14 fleet'!$D$190:$D$203)</f>
        <v>177521</v>
      </c>
      <c r="F180" s="43">
        <f>SUM('[3]14_15 fleet'!$D$190:$D$203)</f>
        <v>191333</v>
      </c>
      <c r="G180" s="43">
        <f>SUM('[4]15_16 fleet'!$D$190:$D$203)</f>
        <v>206964</v>
      </c>
      <c r="H180" s="43">
        <f>SUM('[5]16_17 fleet_v2'!$D$190:$D$203)</f>
        <v>226551</v>
      </c>
      <c r="I180" s="44">
        <f>SUM('[6]17_18 fleet_v3'!$D$191:$D$204)</f>
        <v>1632</v>
      </c>
      <c r="J180" s="44">
        <f>SUM('[7]18_19 fleet_v3'!$D$191:$D$204)</f>
        <v>1677</v>
      </c>
    </row>
    <row r="181" spans="3:10" ht="17" thickBot="1" x14ac:dyDescent="0.25">
      <c r="C181" s="25" t="s">
        <v>97</v>
      </c>
      <c r="D181" s="43">
        <f>'[1]12_13 fleet'!$D$188</f>
        <v>134</v>
      </c>
      <c r="E181" s="43">
        <f>'[2]13_14 fleet'!$D$189</f>
        <v>128</v>
      </c>
      <c r="F181" s="43">
        <f>'[3]14_15 fleet'!$D$189</f>
        <v>120</v>
      </c>
      <c r="G181" s="43">
        <f>'[4]15_16 fleet'!$D$189</f>
        <v>125</v>
      </c>
      <c r="H181" s="43">
        <f>'[5]16_17 fleet_v2'!$D$189</f>
        <v>121</v>
      </c>
      <c r="I181" s="44">
        <f>'[6]17_18 fleet_v3'!$D$190</f>
        <v>84</v>
      </c>
      <c r="J181" s="44">
        <f>'[7]18_19 fleet_v3'!$D$190</f>
        <v>83</v>
      </c>
    </row>
    <row r="182" spans="3:10" ht="18" thickTop="1" thickBot="1" x14ac:dyDescent="0.25">
      <c r="C182" s="8" t="s">
        <v>98</v>
      </c>
      <c r="D182" s="75">
        <f t="shared" ref="D182:I182" si="47">D180+D181</f>
        <v>165611</v>
      </c>
      <c r="E182" s="48">
        <f t="shared" si="47"/>
        <v>177649</v>
      </c>
      <c r="F182" s="48">
        <f t="shared" si="47"/>
        <v>191453</v>
      </c>
      <c r="G182" s="48">
        <f t="shared" si="47"/>
        <v>207089</v>
      </c>
      <c r="H182" s="48">
        <f t="shared" si="47"/>
        <v>226672</v>
      </c>
      <c r="I182" s="49">
        <f t="shared" si="47"/>
        <v>1716</v>
      </c>
      <c r="J182" s="49">
        <f t="shared" ref="J182" si="48">J180+J181</f>
        <v>1760</v>
      </c>
    </row>
    <row r="183" spans="3:10" ht="36" thickTop="1" thickBot="1" x14ac:dyDescent="0.25">
      <c r="C183" s="31" t="s">
        <v>99</v>
      </c>
      <c r="D183" s="46">
        <f>'Van+Ute'!D125</f>
        <v>165611</v>
      </c>
      <c r="E183" s="46">
        <f>'Van+Ute'!E125</f>
        <v>177649</v>
      </c>
      <c r="F183" s="46">
        <f>'Van+Ute'!F125</f>
        <v>191453</v>
      </c>
      <c r="G183" s="46">
        <f>'Van+Ute'!G125</f>
        <v>207089</v>
      </c>
      <c r="H183" s="46">
        <f>'Van+Ute'!H125</f>
        <v>226672</v>
      </c>
      <c r="I183" s="47">
        <f>'Van+Ute'!I125</f>
        <v>1716</v>
      </c>
      <c r="J183" s="47">
        <f>'Van+Ute'!J125</f>
        <v>1760</v>
      </c>
    </row>
    <row r="184" spans="3:10" ht="19" thickTop="1" thickBot="1" x14ac:dyDescent="0.25">
      <c r="C184" s="31" t="s">
        <v>101</v>
      </c>
      <c r="D184" s="124">
        <f t="shared" ref="D184:I184" si="49">D182/D180</f>
        <v>1.0008097802111471</v>
      </c>
      <c r="E184" s="125">
        <f t="shared" si="49"/>
        <v>1.0007210414542504</v>
      </c>
      <c r="F184" s="125">
        <f t="shared" si="49"/>
        <v>1.0006271787929943</v>
      </c>
      <c r="G184" s="125">
        <f t="shared" si="49"/>
        <v>1.0006039697725209</v>
      </c>
      <c r="H184" s="125">
        <f t="shared" si="49"/>
        <v>1.0005340960754974</v>
      </c>
      <c r="I184" s="126">
        <f t="shared" si="49"/>
        <v>1.0514705882352942</v>
      </c>
      <c r="J184" s="126">
        <f t="shared" ref="J184" si="50">J182/J180</f>
        <v>1.0494931425163982</v>
      </c>
    </row>
    <row r="185" spans="3:10" ht="14" thickTop="1" x14ac:dyDescent="0.15">
      <c r="I185" s="121"/>
      <c r="J185" s="121"/>
    </row>
    <row r="186" spans="3:10" ht="14" thickBot="1" x14ac:dyDescent="0.2">
      <c r="I186" s="121"/>
      <c r="J186" s="121"/>
    </row>
    <row r="187" spans="3:10" ht="16" thickTop="1" thickBot="1" x14ac:dyDescent="0.25">
      <c r="C187" s="224" t="s">
        <v>130</v>
      </c>
      <c r="D187" s="225"/>
      <c r="E187" s="225"/>
      <c r="F187" s="225"/>
      <c r="G187" s="34"/>
      <c r="H187" s="34"/>
      <c r="I187" s="35"/>
      <c r="J187" s="35"/>
    </row>
    <row r="188" spans="3:10" ht="15" thickTop="1" thickBot="1" x14ac:dyDescent="0.2">
      <c r="C188" s="122"/>
      <c r="D188" s="71" t="s">
        <v>25</v>
      </c>
      <c r="E188" s="71" t="s">
        <v>37</v>
      </c>
      <c r="F188" s="195" t="s">
        <v>38</v>
      </c>
      <c r="G188" s="195" t="s">
        <v>177</v>
      </c>
      <c r="H188" s="195" t="s">
        <v>178</v>
      </c>
      <c r="I188" s="127" t="s">
        <v>26</v>
      </c>
      <c r="J188" s="127"/>
    </row>
    <row r="189" spans="3:10" ht="15" thickTop="1" thickBot="1" x14ac:dyDescent="0.2">
      <c r="C189" s="70"/>
      <c r="D189" s="71" t="s">
        <v>39</v>
      </c>
      <c r="E189" s="71" t="s">
        <v>39</v>
      </c>
      <c r="F189" s="71" t="s">
        <v>39</v>
      </c>
      <c r="G189" s="71" t="s">
        <v>39</v>
      </c>
      <c r="H189" s="71" t="s">
        <v>39</v>
      </c>
      <c r="I189" s="72" t="s">
        <v>39</v>
      </c>
      <c r="J189" s="72" t="s">
        <v>39</v>
      </c>
    </row>
    <row r="190" spans="3:10" ht="18" thickTop="1" x14ac:dyDescent="0.2">
      <c r="C190" s="123" t="s">
        <v>23</v>
      </c>
      <c r="D190" s="43">
        <f>SUM('[1]12_13 fleet'!$D$159:$D$172)+SUM('[1]12_13 fleet'!$D$174:$D$187)</f>
        <v>2433</v>
      </c>
      <c r="E190" s="43">
        <f>SUM('[2]13_14 fleet'!$D$160:$D$173)+SUM('[2]13_14 fleet'!$D$175:$D$188)</f>
        <v>2426</v>
      </c>
      <c r="F190" s="43">
        <f>SUM('[3]14_15 fleet'!$D$160:$D$173)+SUM('[3]14_15 fleet'!$D$175:$D$188)</f>
        <v>2514</v>
      </c>
      <c r="G190" s="43">
        <f>SUM('[4]15_16 fleet'!$D$160:$D$173)+SUM('[4]15_16 fleet'!$D$175:$D$188)</f>
        <v>2607</v>
      </c>
      <c r="H190" s="43">
        <f>SUM('[5]16_17 fleet_v2'!$D$160:$D$173)+SUM('[5]16_17 fleet_v2'!$D$175:$D$188)</f>
        <v>2927</v>
      </c>
      <c r="I190" s="44">
        <f>SUM('[6]17_18 fleet_v3'!$D$161:$D$174)+SUM('[6]17_18 fleet_v3'!$D$176:$D$189)</f>
        <v>96546</v>
      </c>
      <c r="J190" s="44">
        <f>SUM('[7]18_19 fleet_v3'!$D$161:$D$174)+SUM('[7]18_19 fleet_v3'!$D$176:$D$189)</f>
        <v>98957</v>
      </c>
    </row>
    <row r="191" spans="3:10" ht="17" thickBot="1" x14ac:dyDescent="0.25">
      <c r="C191" s="25" t="s">
        <v>97</v>
      </c>
      <c r="D191" s="43">
        <f>'[1]12_13 fleet'!$D$158+'[1]12_13 fleet'!$D$173</f>
        <v>0</v>
      </c>
      <c r="E191" s="43">
        <f>'[2]13_14 fleet'!$D$159+'[2]13_14 fleet'!$D$174</f>
        <v>0</v>
      </c>
      <c r="F191" s="43">
        <f>'[3]14_15 fleet'!$D$159+'[3]14_15 fleet'!$D$174</f>
        <v>0</v>
      </c>
      <c r="G191" s="43">
        <f>'[4]15_16 fleet'!$D$159+'[4]15_16 fleet'!$D$174</f>
        <v>0</v>
      </c>
      <c r="H191" s="43">
        <f>'[5]16_17 fleet_v2'!$D$159+'[5]16_17 fleet_v2'!$D$174</f>
        <v>0</v>
      </c>
      <c r="I191" s="44">
        <f>'[6]17_18 fleet_v3'!$D$160+'[6]17_18 fleet_v3'!$D$175</f>
        <v>5839</v>
      </c>
      <c r="J191" s="44">
        <f>'[7]18_19 fleet_v3'!$D$160+'[7]18_19 fleet_v3'!$D$175</f>
        <v>6077</v>
      </c>
    </row>
    <row r="192" spans="3:10" ht="18" thickTop="1" thickBot="1" x14ac:dyDescent="0.25">
      <c r="C192" s="8" t="s">
        <v>98</v>
      </c>
      <c r="D192" s="75">
        <f t="shared" ref="D192:I192" si="51">D190+D191</f>
        <v>2433</v>
      </c>
      <c r="E192" s="48">
        <f t="shared" si="51"/>
        <v>2426</v>
      </c>
      <c r="F192" s="48">
        <f t="shared" si="51"/>
        <v>2514</v>
      </c>
      <c r="G192" s="48">
        <f t="shared" si="51"/>
        <v>2607</v>
      </c>
      <c r="H192" s="48">
        <f t="shared" si="51"/>
        <v>2927</v>
      </c>
      <c r="I192" s="49">
        <f t="shared" si="51"/>
        <v>102385</v>
      </c>
      <c r="J192" s="49">
        <f t="shared" ref="J192" si="52">J190+J191</f>
        <v>105034</v>
      </c>
    </row>
    <row r="193" spans="3:10" ht="36" thickTop="1" thickBot="1" x14ac:dyDescent="0.25">
      <c r="C193" s="31" t="s">
        <v>99</v>
      </c>
      <c r="D193" s="46">
        <f>'Van+Ute'!D166</f>
        <v>2433</v>
      </c>
      <c r="E193" s="46">
        <f>'Van+Ute'!E166</f>
        <v>2426</v>
      </c>
      <c r="F193" s="46">
        <f>'Van+Ute'!F166</f>
        <v>2514</v>
      </c>
      <c r="G193" s="46">
        <f>'Van+Ute'!G166</f>
        <v>2607</v>
      </c>
      <c r="H193" s="46">
        <f>'Van+Ute'!H166</f>
        <v>2927</v>
      </c>
      <c r="I193" s="47">
        <f>'Van+Ute'!I166</f>
        <v>102385</v>
      </c>
      <c r="J193" s="47">
        <f>'Van+Ute'!J166</f>
        <v>105034</v>
      </c>
    </row>
    <row r="194" spans="3:10" ht="19" thickTop="1" thickBot="1" x14ac:dyDescent="0.25">
      <c r="C194" s="31" t="s">
        <v>101</v>
      </c>
      <c r="D194" s="124">
        <f t="shared" ref="D194:I194" si="53">D192/D190</f>
        <v>1</v>
      </c>
      <c r="E194" s="125">
        <f t="shared" si="53"/>
        <v>1</v>
      </c>
      <c r="F194" s="125">
        <f t="shared" si="53"/>
        <v>1</v>
      </c>
      <c r="G194" s="125">
        <f t="shared" si="53"/>
        <v>1</v>
      </c>
      <c r="H194" s="125">
        <f t="shared" si="53"/>
        <v>1</v>
      </c>
      <c r="I194" s="126">
        <f t="shared" si="53"/>
        <v>1.0604789426801733</v>
      </c>
      <c r="J194" s="126">
        <f t="shared" ref="J194" si="54">J192/J190</f>
        <v>1.0614105116363672</v>
      </c>
    </row>
    <row r="195" spans="3:10" ht="14" thickTop="1" x14ac:dyDescent="0.15"/>
  </sheetData>
  <mergeCells count="3">
    <mergeCell ref="C147:F147"/>
    <mergeCell ref="C177:F177"/>
    <mergeCell ref="C187:F18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C2:AI120"/>
  <sheetViews>
    <sheetView zoomScale="90" zoomScaleNormal="90" workbookViewId="0">
      <selection activeCell="K6" sqref="K6"/>
    </sheetView>
  </sheetViews>
  <sheetFormatPr baseColWidth="10" defaultColWidth="8.83203125" defaultRowHeight="13" x14ac:dyDescent="0.15"/>
  <cols>
    <col min="3" max="3" width="27.6640625" customWidth="1"/>
    <col min="4" max="18" width="17.6640625" customWidth="1"/>
    <col min="19" max="19" width="27.6640625" customWidth="1"/>
    <col min="20" max="35" width="17.6640625" customWidth="1"/>
  </cols>
  <sheetData>
    <row r="2" spans="3:35" ht="14" thickBot="1" x14ac:dyDescent="0.2"/>
    <row r="3" spans="3:35" ht="17" thickTop="1" x14ac:dyDescent="0.2">
      <c r="C3" s="32" t="s">
        <v>169</v>
      </c>
      <c r="D3" s="34"/>
      <c r="E3" s="33"/>
      <c r="F3" s="33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5"/>
      <c r="U3" s="32" t="s">
        <v>168</v>
      </c>
      <c r="V3" s="34"/>
      <c r="W3" s="33"/>
      <c r="X3" s="33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5"/>
    </row>
    <row r="4" spans="3:35" ht="14" thickBot="1" x14ac:dyDescent="0.2">
      <c r="C4" s="18"/>
      <c r="D4" s="65" t="s">
        <v>25</v>
      </c>
      <c r="E4" s="65" t="s">
        <v>37</v>
      </c>
      <c r="F4" s="65" t="s">
        <v>38</v>
      </c>
      <c r="G4" s="37" t="s">
        <v>177</v>
      </c>
      <c r="H4" s="37" t="s">
        <v>178</v>
      </c>
      <c r="I4" s="65" t="s">
        <v>26</v>
      </c>
      <c r="J4" s="65" t="s">
        <v>183</v>
      </c>
      <c r="K4" s="65" t="s">
        <v>27</v>
      </c>
      <c r="L4" s="65" t="s">
        <v>28</v>
      </c>
      <c r="M4" s="65" t="s">
        <v>29</v>
      </c>
      <c r="N4" s="65" t="s">
        <v>30</v>
      </c>
      <c r="O4" s="65" t="s">
        <v>31</v>
      </c>
      <c r="P4" s="37" t="s">
        <v>174</v>
      </c>
      <c r="Q4" s="37" t="s">
        <v>175</v>
      </c>
      <c r="R4" s="38" t="s">
        <v>176</v>
      </c>
      <c r="U4" s="18"/>
      <c r="V4" s="65" t="s">
        <v>25</v>
      </c>
      <c r="W4" s="65" t="s">
        <v>37</v>
      </c>
      <c r="X4" s="65" t="s">
        <v>38</v>
      </c>
      <c r="Y4" s="37" t="s">
        <v>177</v>
      </c>
      <c r="Z4" s="37" t="s">
        <v>178</v>
      </c>
      <c r="AA4" s="65" t="s">
        <v>26</v>
      </c>
      <c r="AB4" s="65" t="s">
        <v>27</v>
      </c>
      <c r="AC4" s="65" t="s">
        <v>28</v>
      </c>
      <c r="AD4" s="65" t="s">
        <v>29</v>
      </c>
      <c r="AE4" s="65" t="s">
        <v>30</v>
      </c>
      <c r="AF4" s="65" t="s">
        <v>31</v>
      </c>
      <c r="AG4" s="37" t="s">
        <v>174</v>
      </c>
      <c r="AH4" s="37" t="s">
        <v>175</v>
      </c>
      <c r="AI4" s="38" t="s">
        <v>176</v>
      </c>
    </row>
    <row r="5" spans="3:35" ht="15" thickTop="1" thickBot="1" x14ac:dyDescent="0.2">
      <c r="C5" s="70"/>
      <c r="D5" s="71" t="s">
        <v>39</v>
      </c>
      <c r="E5" s="71" t="s">
        <v>32</v>
      </c>
      <c r="F5" s="71" t="s">
        <v>32</v>
      </c>
      <c r="G5" s="71" t="s">
        <v>32</v>
      </c>
      <c r="H5" s="71" t="s">
        <v>32</v>
      </c>
      <c r="I5" s="71" t="s">
        <v>32</v>
      </c>
      <c r="J5" s="71" t="s">
        <v>32</v>
      </c>
      <c r="K5" s="71" t="s">
        <v>32</v>
      </c>
      <c r="L5" s="71" t="s">
        <v>32</v>
      </c>
      <c r="M5" s="71" t="s">
        <v>32</v>
      </c>
      <c r="N5" s="71" t="s">
        <v>32</v>
      </c>
      <c r="O5" s="71" t="s">
        <v>32</v>
      </c>
      <c r="P5" s="65" t="s">
        <v>32</v>
      </c>
      <c r="Q5" s="65" t="s">
        <v>32</v>
      </c>
      <c r="R5" s="66" t="s">
        <v>32</v>
      </c>
      <c r="U5" s="70"/>
      <c r="V5" s="71" t="s">
        <v>39</v>
      </c>
      <c r="W5" s="71" t="s">
        <v>32</v>
      </c>
      <c r="X5" s="71" t="s">
        <v>32</v>
      </c>
      <c r="Y5" s="71" t="s">
        <v>32</v>
      </c>
      <c r="Z5" s="71" t="s">
        <v>32</v>
      </c>
      <c r="AA5" s="71" t="s">
        <v>32</v>
      </c>
      <c r="AB5" s="71" t="s">
        <v>32</v>
      </c>
      <c r="AC5" s="71" t="s">
        <v>32</v>
      </c>
      <c r="AD5" s="71" t="s">
        <v>32</v>
      </c>
      <c r="AE5" s="71" t="s">
        <v>32</v>
      </c>
      <c r="AF5" s="71" t="s">
        <v>32</v>
      </c>
      <c r="AG5" s="65" t="s">
        <v>32</v>
      </c>
      <c r="AH5" s="65" t="s">
        <v>32</v>
      </c>
      <c r="AI5" s="66" t="s">
        <v>32</v>
      </c>
    </row>
    <row r="6" spans="3:35" ht="17" thickTop="1" x14ac:dyDescent="0.2">
      <c r="C6" s="24" t="s">
        <v>0</v>
      </c>
      <c r="D6" s="39">
        <f>'[11]Formatted Vehicle Summary'!$C$3</f>
        <v>104978.65624</v>
      </c>
      <c r="E6" s="40">
        <f t="shared" ref="E6:E19" si="0">D6*4/5 + I6/5</f>
        <v>107186.7725909924</v>
      </c>
      <c r="F6" s="40">
        <f t="shared" ref="F6:F19" si="1">D6*3/5+I6*2/5</f>
        <v>109394.8889419848</v>
      </c>
      <c r="G6" s="40">
        <f>D6*2/5+I6*3/5</f>
        <v>111603.00529297721</v>
      </c>
      <c r="H6" s="40">
        <f>D6*1/5+I6*4/5</f>
        <v>113811.1216439696</v>
      </c>
      <c r="I6" s="40">
        <f>AA6*[12]Population!I25/[13]Population!T4</f>
        <v>116019.23799496201</v>
      </c>
      <c r="J6" s="40">
        <f>I6*4/5+K6/5</f>
        <v>117504.56961499182</v>
      </c>
      <c r="K6" s="40">
        <f>AB6*[12]Population!K25/[13]Population!U4</f>
        <v>123445.89609511109</v>
      </c>
      <c r="L6" s="40">
        <f>AC6*[12]Population!L25/[13]Population!V4</f>
        <v>129100.44187243997</v>
      </c>
      <c r="M6" s="40">
        <f>AD6*[12]Population!M25/[13]Population!W4</f>
        <v>134025.57373898677</v>
      </c>
      <c r="N6" s="40">
        <f>AE6*[12]Population!N25/[13]Population!X4</f>
        <v>137442.60512497538</v>
      </c>
      <c r="O6" s="40">
        <f>AF6*[12]Population!$O25/[13]Population!$Y4</f>
        <v>140936.27374630401</v>
      </c>
      <c r="P6" s="40">
        <f>AG6*[12]Population!$O25/[13]Population!$Y4</f>
        <v>141604.71976663999</v>
      </c>
      <c r="Q6" s="40">
        <f>AH6*[12]Population!$O25/[13]Population!$Y4</f>
        <v>141823.44606378675</v>
      </c>
      <c r="R6" s="41">
        <f>AI6*[12]Population!$O25/[13]Population!$Y4</f>
        <v>141737.25168311855</v>
      </c>
      <c r="U6" s="24" t="s">
        <v>0</v>
      </c>
      <c r="V6" s="39">
        <f>'[11]Formatted Vehicle Summary'!$C$3</f>
        <v>104978.65624</v>
      </c>
      <c r="W6" s="40">
        <f t="shared" ref="W6:W19" si="2">V6*4/5 + AA6/5</f>
        <v>106527.946708</v>
      </c>
      <c r="X6" s="40">
        <f t="shared" ref="X6:X19" si="3">V6*3/5+AA6*2/5</f>
        <v>108077.237176</v>
      </c>
      <c r="Y6" s="40">
        <f>V6*2/5+AA6*3/5</f>
        <v>109626.52764399999</v>
      </c>
      <c r="Z6" s="40">
        <f>V6*1/5+AA6*4/5</f>
        <v>111175.81811199999</v>
      </c>
      <c r="AA6" s="40">
        <f>'[11]Formatted Vehicle Summary'!$C$4</f>
        <v>112725.10858</v>
      </c>
      <c r="AB6" s="40">
        <f>'[11]Formatted Vehicle Summary'!$C$5</f>
        <v>118192.87923999999</v>
      </c>
      <c r="AC6" s="40">
        <f>'[11]Formatted Vehicle Summary'!$C$6</f>
        <v>122597.50339</v>
      </c>
      <c r="AD6" s="40">
        <f>'[11]Formatted Vehicle Summary'!$C$7</f>
        <v>126436.5932</v>
      </c>
      <c r="AE6" s="40">
        <f>'[11]Formatted Vehicle Summary'!$C$8</f>
        <v>128707.14483</v>
      </c>
      <c r="AF6" s="40">
        <f>'[11]Formatted Vehicle Summary'!$C$9</f>
        <v>131048.52297000001</v>
      </c>
      <c r="AG6" s="53">
        <f>$AF6*'[10]Total Distance Tables Sup #1'!I$7/'[10]Total Distance Tables Sup #1'!$H$7</f>
        <v>131670.07242154781</v>
      </c>
      <c r="AH6" s="53">
        <f>$AF6*'[10]Total Distance Tables Sup #1'!J$7/'[10]Total Distance Tables Sup #1'!$H$7</f>
        <v>131873.45340654091</v>
      </c>
      <c r="AI6" s="54">
        <f>$AF6*'[10]Total Distance Tables Sup #1'!K$7/'[10]Total Distance Tables Sup #1'!$H$7</f>
        <v>131793.30621678894</v>
      </c>
    </row>
    <row r="7" spans="3:35" ht="16" x14ac:dyDescent="0.2">
      <c r="C7" s="24" t="s">
        <v>1</v>
      </c>
      <c r="D7" s="42">
        <f>'[11]Formatted Vehicle Summary'!$C$10</f>
        <v>872467.79544999998</v>
      </c>
      <c r="E7" s="43">
        <f t="shared" si="0"/>
        <v>902690.1411304432</v>
      </c>
      <c r="F7" s="43">
        <f t="shared" si="1"/>
        <v>932912.48681088653</v>
      </c>
      <c r="G7" s="43">
        <f t="shared" ref="G7:G19" si="4">D7*2/5+I7*3/5</f>
        <v>963134.83249132987</v>
      </c>
      <c r="H7" s="43">
        <f t="shared" ref="H7:H19" si="5">D7*1/5+I7*4/5</f>
        <v>993357.17817177309</v>
      </c>
      <c r="I7" s="43">
        <f>AA7*[12]Population!I26/[13]Population!T5</f>
        <v>1023579.5238522163</v>
      </c>
      <c r="J7" s="43">
        <f t="shared" ref="J7:J19" si="6">I7*4/5+K7/5</f>
        <v>1048683.2110649673</v>
      </c>
      <c r="K7" s="43">
        <f>AB7*[12]Population!K26/[13]Population!U5</f>
        <v>1149097.9599159716</v>
      </c>
      <c r="L7" s="43">
        <f>AC7*[12]Population!L26/[13]Population!V5</f>
        <v>1253933.9792588982</v>
      </c>
      <c r="M7" s="43">
        <f>AD7*[12]Population!M26/[13]Population!W5</f>
        <v>1351383.6454836109</v>
      </c>
      <c r="N7" s="43">
        <f>AE7*[12]Population!N26/[13]Population!X5</f>
        <v>1439746.951291837</v>
      </c>
      <c r="O7" s="43">
        <f>AF7*[12]Population!$O26/[13]Population!$Y5</f>
        <v>1528995.3546479344</v>
      </c>
      <c r="P7" s="43">
        <f>AG7*[12]Population!$O26/[13]Population!$Y5</f>
        <v>1594704.5057944583</v>
      </c>
      <c r="Q7" s="43">
        <f>AH7*[12]Population!$O26/[13]Population!$Y5</f>
        <v>1657943.1608070012</v>
      </c>
      <c r="R7" s="44">
        <f>AI7*[12]Population!$O26/[13]Population!$Y5</f>
        <v>1719985.2501651077</v>
      </c>
      <c r="U7" s="24" t="s">
        <v>1</v>
      </c>
      <c r="V7" s="42">
        <f>'[11]Formatted Vehicle Summary'!$C$10</f>
        <v>872467.79544999998</v>
      </c>
      <c r="W7" s="43">
        <f t="shared" si="2"/>
        <v>896259.275012</v>
      </c>
      <c r="X7" s="43">
        <f t="shared" si="3"/>
        <v>920050.7545739999</v>
      </c>
      <c r="Y7" s="43">
        <f t="shared" ref="Y7:Y19" si="7">V7*2/5+AA7*3/5</f>
        <v>943842.23413599993</v>
      </c>
      <c r="Z7" s="43">
        <f t="shared" ref="Z7:Z19" si="8">V7*1/5+AA7*4/5</f>
        <v>967633.71369799995</v>
      </c>
      <c r="AA7" s="43">
        <f>'[11]Formatted Vehicle Summary'!$C$11</f>
        <v>991425.19325999997</v>
      </c>
      <c r="AB7" s="43">
        <f>'[11]Formatted Vehicle Summary'!$C$12</f>
        <v>1092363.0636</v>
      </c>
      <c r="AC7" s="43">
        <f>'[11]Formatted Vehicle Summary'!$C$13</f>
        <v>1191429.4565000001</v>
      </c>
      <c r="AD7" s="43">
        <f>'[11]Formatted Vehicle Summary'!$C$14</f>
        <v>1286437.8879</v>
      </c>
      <c r="AE7" s="43">
        <f>'[11]Formatted Vehicle Summary'!$C$15</f>
        <v>1375166.5891</v>
      </c>
      <c r="AF7" s="43">
        <f>'[11]Formatted Vehicle Summary'!$C$16</f>
        <v>1465303.6472</v>
      </c>
      <c r="AG7" s="56">
        <f>$AF7*'[10]Total Distance Tables Sup #1'!I$18/'[10]Total Distance Tables Sup #1'!$H$18</f>
        <v>1528275.6232342815</v>
      </c>
      <c r="AH7" s="56">
        <f>$AF7*'[10]Total Distance Tables Sup #1'!J$18/'[10]Total Distance Tables Sup #1'!$H$18</f>
        <v>1588880.0139227272</v>
      </c>
      <c r="AI7" s="57">
        <f>$AF7*'[10]Total Distance Tables Sup #1'!K$18/'[10]Total Distance Tables Sup #1'!$H$18</f>
        <v>1648337.6829993443</v>
      </c>
    </row>
    <row r="8" spans="3:35" ht="16" x14ac:dyDescent="0.2">
      <c r="C8" s="24" t="s">
        <v>2</v>
      </c>
      <c r="D8" s="42">
        <f>'[11]Formatted Vehicle Summary'!$C$17</f>
        <v>266387.73346999998</v>
      </c>
      <c r="E8" s="43">
        <f t="shared" si="0"/>
        <v>273540.83613739884</v>
      </c>
      <c r="F8" s="43">
        <f t="shared" si="1"/>
        <v>280693.93880479777</v>
      </c>
      <c r="G8" s="43">
        <f t="shared" si="4"/>
        <v>287847.04147219664</v>
      </c>
      <c r="H8" s="43">
        <f t="shared" si="5"/>
        <v>295000.14413959556</v>
      </c>
      <c r="I8" s="43">
        <f>AA8*[12]Population!I27/[13]Population!T6</f>
        <v>302153.24680699443</v>
      </c>
      <c r="J8" s="43">
        <f t="shared" si="6"/>
        <v>307189.8931339503</v>
      </c>
      <c r="K8" s="43">
        <f>AB8*[12]Population!K27/[13]Population!U6</f>
        <v>327336.4784417738</v>
      </c>
      <c r="L8" s="43">
        <f>AC8*[12]Population!L27/[13]Population!V6</f>
        <v>348183.54420062964</v>
      </c>
      <c r="M8" s="43">
        <f>AD8*[12]Population!M27/[13]Population!W6</f>
        <v>367139.44075759163</v>
      </c>
      <c r="N8" s="43">
        <f>AE8*[12]Population!N27/[13]Population!X6</f>
        <v>382675.5521720713</v>
      </c>
      <c r="O8" s="43">
        <f>AF8*[12]Population!$O27/[13]Population!$Y6</f>
        <v>398593.07909833209</v>
      </c>
      <c r="P8" s="43">
        <f>AG8*[12]Population!$O27/[13]Population!$Y6</f>
        <v>407075.12086116354</v>
      </c>
      <c r="Q8" s="43">
        <f>AH8*[12]Population!$O27/[13]Population!$Y6</f>
        <v>414414.29546381981</v>
      </c>
      <c r="R8" s="44">
        <f>AI8*[12]Population!$O27/[13]Population!$Y6</f>
        <v>420979.12855020532</v>
      </c>
      <c r="U8" s="24" t="s">
        <v>2</v>
      </c>
      <c r="V8" s="42">
        <f>'[11]Formatted Vehicle Summary'!$C$17</f>
        <v>266387.73346999998</v>
      </c>
      <c r="W8" s="43">
        <f t="shared" si="2"/>
        <v>271251.40443</v>
      </c>
      <c r="X8" s="43">
        <f t="shared" si="3"/>
        <v>276115.07539000001</v>
      </c>
      <c r="Y8" s="43">
        <f t="shared" si="7"/>
        <v>280978.74635000003</v>
      </c>
      <c r="Z8" s="43">
        <f t="shared" si="8"/>
        <v>285842.41730999999</v>
      </c>
      <c r="AA8" s="43">
        <f>'[11]Formatted Vehicle Summary'!$C$18</f>
        <v>290706.08827000001</v>
      </c>
      <c r="AB8" s="43">
        <f>'[11]Formatted Vehicle Summary'!$C$19</f>
        <v>309626.48051999998</v>
      </c>
      <c r="AC8" s="43">
        <f>'[11]Formatted Vehicle Summary'!$C$20</f>
        <v>326667.34383999999</v>
      </c>
      <c r="AD8" s="43">
        <f>'[11]Formatted Vehicle Summary'!$C$21</f>
        <v>342066.50334</v>
      </c>
      <c r="AE8" s="43">
        <f>'[11]Formatted Vehicle Summary'!$C$22</f>
        <v>354349.88686999999</v>
      </c>
      <c r="AF8" s="43">
        <f>'[11]Formatted Vehicle Summary'!$C$23</f>
        <v>366895.67537000001</v>
      </c>
      <c r="AG8" s="56">
        <f>$AF8*'[10]Total Distance Tables Sup #1'!I$29/'[10]Total Distance Tables Sup #1'!$H$29</f>
        <v>374703.19788928307</v>
      </c>
      <c r="AH8" s="56">
        <f>$AF8*'[10]Total Distance Tables Sup #1'!J$29/'[10]Total Distance Tables Sup #1'!$H$29</f>
        <v>381458.73772101116</v>
      </c>
      <c r="AI8" s="57">
        <f>$AF8*'[10]Total Distance Tables Sup #1'!K$29/'[10]Total Distance Tables Sup #1'!$H$29</f>
        <v>387501.51416451915</v>
      </c>
    </row>
    <row r="9" spans="3:35" ht="16" x14ac:dyDescent="0.2">
      <c r="C9" s="24" t="s">
        <v>3</v>
      </c>
      <c r="D9" s="42">
        <f>'[11]Formatted Vehicle Summary'!$C$24</f>
        <v>183297.22020000001</v>
      </c>
      <c r="E9" s="43">
        <f t="shared" si="0"/>
        <v>187510.52446480771</v>
      </c>
      <c r="F9" s="43">
        <f t="shared" si="1"/>
        <v>191723.82872961537</v>
      </c>
      <c r="G9" s="43">
        <f t="shared" si="4"/>
        <v>195937.13299442307</v>
      </c>
      <c r="H9" s="43">
        <f t="shared" si="5"/>
        <v>200150.43725923076</v>
      </c>
      <c r="I9" s="43">
        <f>AA9*[12]Population!I28/[13]Population!T7</f>
        <v>204363.74152403846</v>
      </c>
      <c r="J9" s="43">
        <f t="shared" si="6"/>
        <v>207423.23011895045</v>
      </c>
      <c r="K9" s="43">
        <f>AB9*[12]Population!K28/[13]Population!U7</f>
        <v>219661.18449859845</v>
      </c>
      <c r="L9" s="43">
        <f>AC9*[12]Population!L28/[13]Population!V7</f>
        <v>231405.46582056096</v>
      </c>
      <c r="M9" s="43">
        <f>AD9*[12]Population!M28/[13]Population!W7</f>
        <v>242122.39968877987</v>
      </c>
      <c r="N9" s="43">
        <f>AE9*[12]Population!N28/[13]Population!X7</f>
        <v>250571.9421735637</v>
      </c>
      <c r="O9" s="43">
        <f>AF9*[12]Population!$O28/[13]Population!$Y7</f>
        <v>259445.45687421356</v>
      </c>
      <c r="P9" s="43">
        <f>AG9*[12]Population!$O28/[13]Population!$Y7</f>
        <v>263176.6420947648</v>
      </c>
      <c r="Q9" s="43">
        <f>AH9*[12]Population!$O28/[13]Population!$Y7</f>
        <v>266111.70251809951</v>
      </c>
      <c r="R9" s="44">
        <f>AI9*[12]Population!$O28/[13]Population!$Y7</f>
        <v>268501.22679724556</v>
      </c>
      <c r="U9" s="24" t="s">
        <v>3</v>
      </c>
      <c r="V9" s="42">
        <f>'[11]Formatted Vehicle Summary'!$C$24</f>
        <v>183297.22020000001</v>
      </c>
      <c r="W9" s="43">
        <f t="shared" si="2"/>
        <v>185854.06712000002</v>
      </c>
      <c r="X9" s="43">
        <f t="shared" si="3"/>
        <v>188410.91404</v>
      </c>
      <c r="Y9" s="43">
        <f t="shared" si="7"/>
        <v>190967.76096000001</v>
      </c>
      <c r="Z9" s="43">
        <f t="shared" si="8"/>
        <v>193524.60788</v>
      </c>
      <c r="AA9" s="43">
        <f>'[11]Formatted Vehicle Summary'!$C$25</f>
        <v>196081.45480000001</v>
      </c>
      <c r="AB9" s="43">
        <f>'[11]Formatted Vehicle Summary'!$C$26</f>
        <v>207726.07616999999</v>
      </c>
      <c r="AC9" s="43">
        <f>'[11]Formatted Vehicle Summary'!$C$27</f>
        <v>217653.04881000001</v>
      </c>
      <c r="AD9" s="43">
        <f>'[11]Formatted Vehicle Summary'!$C$28</f>
        <v>226855.99028</v>
      </c>
      <c r="AE9" s="43">
        <f>'[11]Formatted Vehicle Summary'!$C$29</f>
        <v>234103.10308</v>
      </c>
      <c r="AF9" s="43">
        <f>'[11]Formatted Vehicle Summary'!$C$30</f>
        <v>241517.19534000001</v>
      </c>
      <c r="AG9" s="56">
        <f>$AF9*'[10]Total Distance Tables Sup #1'!I$40/'[10]Total Distance Tables Sup #1'!$H$40</f>
        <v>244990.54731393146</v>
      </c>
      <c r="AH9" s="56">
        <f>$AF9*'[10]Total Distance Tables Sup #1'!J$40/'[10]Total Distance Tables Sup #1'!$H$40</f>
        <v>247722.78849532513</v>
      </c>
      <c r="AI9" s="57">
        <f>$AF9*'[10]Total Distance Tables Sup #1'!K$40/'[10]Total Distance Tables Sup #1'!$H$40</f>
        <v>249947.19130063616</v>
      </c>
    </row>
    <row r="10" spans="3:35" ht="16" x14ac:dyDescent="0.2">
      <c r="C10" s="24" t="s">
        <v>4</v>
      </c>
      <c r="D10" s="42">
        <f>'[11]Formatted Vehicle Summary'!$C$31</f>
        <v>26650.955902999998</v>
      </c>
      <c r="E10" s="43">
        <f t="shared" si="0"/>
        <v>27006.342821084101</v>
      </c>
      <c r="F10" s="43">
        <f t="shared" si="1"/>
        <v>27361.7297391682</v>
      </c>
      <c r="G10" s="43">
        <f t="shared" si="4"/>
        <v>27717.1166572523</v>
      </c>
      <c r="H10" s="43">
        <f t="shared" si="5"/>
        <v>28072.503575336399</v>
      </c>
      <c r="I10" s="43">
        <f>AA10*[12]Population!I29/[13]Population!T8</f>
        <v>28427.890493420502</v>
      </c>
      <c r="J10" s="43">
        <f t="shared" si="6"/>
        <v>28653.544467437023</v>
      </c>
      <c r="K10" s="43">
        <f>AB10*[12]Population!K29/[13]Population!U8</f>
        <v>29556.160363503106</v>
      </c>
      <c r="L10" s="43">
        <f>AC10*[12]Population!L29/[13]Population!V8</f>
        <v>30831.385310699585</v>
      </c>
      <c r="M10" s="43">
        <f>AD10*[12]Population!M29/[13]Population!W8</f>
        <v>31722.799127434158</v>
      </c>
      <c r="N10" s="43">
        <f>AE10*[12]Population!N29/[13]Population!X8</f>
        <v>32322.012857933612</v>
      </c>
      <c r="O10" s="43">
        <f>AF10*[12]Population!$O29/[13]Population!$Y8</f>
        <v>32946.717785514702</v>
      </c>
      <c r="P10" s="43">
        <f>AG10*[12]Population!$O29/[13]Population!$Y8</f>
        <v>32637.496465521395</v>
      </c>
      <c r="Q10" s="43">
        <f>AH10*[12]Population!$O29/[13]Population!$Y8</f>
        <v>32228.261633010203</v>
      </c>
      <c r="R10" s="44">
        <f>AI10*[12]Population!$O29/[13]Population!$Y8</f>
        <v>31755.765940500274</v>
      </c>
      <c r="U10" s="24" t="s">
        <v>4</v>
      </c>
      <c r="V10" s="42">
        <f>'[11]Formatted Vehicle Summary'!$C$31</f>
        <v>26650.955902999998</v>
      </c>
      <c r="W10" s="43">
        <f t="shared" si="2"/>
        <v>26924.282931000002</v>
      </c>
      <c r="X10" s="43">
        <f t="shared" si="3"/>
        <v>27197.609959000001</v>
      </c>
      <c r="Y10" s="43">
        <f t="shared" si="7"/>
        <v>27470.936987000001</v>
      </c>
      <c r="Z10" s="43">
        <f t="shared" si="8"/>
        <v>27744.264015000001</v>
      </c>
      <c r="AA10" s="43">
        <f>'[11]Formatted Vehicle Summary'!$C$32</f>
        <v>28017.591043</v>
      </c>
      <c r="AB10" s="43">
        <f>'[11]Formatted Vehicle Summary'!$C$33</f>
        <v>28898.027237999999</v>
      </c>
      <c r="AC10" s="43">
        <f>'[11]Formatted Vehicle Summary'!$C$34</f>
        <v>29968.106521999998</v>
      </c>
      <c r="AD10" s="43">
        <f>'[11]Formatted Vehicle Summary'!$C$35</f>
        <v>30650.656811000001</v>
      </c>
      <c r="AE10" s="43">
        <f>'[11]Formatted Vehicle Summary'!$C$36</f>
        <v>31034.283262000001</v>
      </c>
      <c r="AF10" s="43">
        <f>'[11]Formatted Vehicle Summary'!$C$37</f>
        <v>31428.131594999999</v>
      </c>
      <c r="AG10" s="56">
        <f>$AF10*'[10]Total Distance Tables Sup #1'!I$51/'[10]Total Distance Tables Sup #1'!$H$51</f>
        <v>31133.162961098566</v>
      </c>
      <c r="AH10" s="56">
        <f>$AF10*'[10]Total Distance Tables Sup #1'!J$51/'[10]Total Distance Tables Sup #1'!$H$51</f>
        <v>30742.790655937584</v>
      </c>
      <c r="AI10" s="57">
        <f>$AF10*'[10]Total Distance Tables Sup #1'!K$51/'[10]Total Distance Tables Sup #1'!$H$51</f>
        <v>30292.073322000258</v>
      </c>
    </row>
    <row r="11" spans="3:35" ht="16" x14ac:dyDescent="0.2">
      <c r="C11" s="24" t="s">
        <v>5</v>
      </c>
      <c r="D11" s="42">
        <f>'[11]Formatted Vehicle Summary'!$C$38</f>
        <v>103541.16636</v>
      </c>
      <c r="E11" s="43">
        <f t="shared" si="0"/>
        <v>105044.86402140887</v>
      </c>
      <c r="F11" s="43">
        <f t="shared" si="1"/>
        <v>106548.56168281773</v>
      </c>
      <c r="G11" s="43">
        <f t="shared" si="4"/>
        <v>108052.25934422659</v>
      </c>
      <c r="H11" s="43">
        <f t="shared" si="5"/>
        <v>109555.95700563546</v>
      </c>
      <c r="I11" s="43">
        <f>AA11*[12]Population!I30/[13]Population!T9</f>
        <v>111059.65466704432</v>
      </c>
      <c r="J11" s="43">
        <f t="shared" si="6"/>
        <v>112070.59003329524</v>
      </c>
      <c r="K11" s="43">
        <f>AB11*[12]Population!K30/[13]Population!U9</f>
        <v>116114.3314982989</v>
      </c>
      <c r="L11" s="43">
        <f>AC11*[12]Population!L30/[13]Population!V9</f>
        <v>119744.51819313479</v>
      </c>
      <c r="M11" s="43">
        <f>AD11*[12]Population!M30/[13]Population!W9</f>
        <v>122614.32701330133</v>
      </c>
      <c r="N11" s="43">
        <f>AE11*[12]Population!N30/[13]Population!X9</f>
        <v>124214.80034112182</v>
      </c>
      <c r="O11" s="43">
        <f>AF11*[12]Population!$O30/[13]Population!$Y9</f>
        <v>126025.6887809756</v>
      </c>
      <c r="P11" s="43">
        <f>AG11*[12]Population!$O30/[13]Population!$Y9</f>
        <v>125153.78313565615</v>
      </c>
      <c r="Q11" s="43">
        <f>AH11*[12]Population!$O30/[13]Population!$Y9</f>
        <v>123892.27991614009</v>
      </c>
      <c r="R11" s="44">
        <f>AI11*[12]Population!$O30/[13]Population!$Y9</f>
        <v>122379.92339072881</v>
      </c>
      <c r="U11" s="24" t="s">
        <v>5</v>
      </c>
      <c r="V11" s="42">
        <f>'[11]Formatted Vehicle Summary'!$C$38</f>
        <v>103541.16636</v>
      </c>
      <c r="W11" s="43">
        <f t="shared" si="2"/>
        <v>104814.75870400001</v>
      </c>
      <c r="X11" s="43">
        <f t="shared" si="3"/>
        <v>106088.35104799998</v>
      </c>
      <c r="Y11" s="43">
        <f t="shared" si="7"/>
        <v>107361.94339199999</v>
      </c>
      <c r="Z11" s="43">
        <f t="shared" si="8"/>
        <v>108635.53573599999</v>
      </c>
      <c r="AA11" s="43">
        <f>'[11]Formatted Vehicle Summary'!$C$39</f>
        <v>109909.12807999999</v>
      </c>
      <c r="AB11" s="43">
        <f>'[11]Formatted Vehicle Summary'!$C$40</f>
        <v>114172.1563</v>
      </c>
      <c r="AC11" s="43">
        <f>'[11]Formatted Vehicle Summary'!$C$41</f>
        <v>117136.78001</v>
      </c>
      <c r="AD11" s="43">
        <f>'[11]Formatted Vehicle Summary'!$C$42</f>
        <v>119319.78318</v>
      </c>
      <c r="AE11" s="43">
        <f>'[11]Formatted Vehicle Summary'!$C$43</f>
        <v>120156.44047</v>
      </c>
      <c r="AF11" s="43">
        <f>'[11]Formatted Vehicle Summary'!$C$44</f>
        <v>121008.2726</v>
      </c>
      <c r="AG11" s="56">
        <f>$AF11*'[10]Total Distance Tables Sup #1'!I$62/'[10]Total Distance Tables Sup #1'!$H$62</f>
        <v>120171.07982580566</v>
      </c>
      <c r="AH11" s="56">
        <f>$AF11*'[10]Total Distance Tables Sup #1'!J$62/'[10]Total Distance Tables Sup #1'!$H$62</f>
        <v>118959.80038786285</v>
      </c>
      <c r="AI11" s="57">
        <f>$AF11*'[10]Total Distance Tables Sup #1'!K$62/'[10]Total Distance Tables Sup #1'!$H$62</f>
        <v>117507.65477798316</v>
      </c>
    </row>
    <row r="12" spans="3:35" ht="16" x14ac:dyDescent="0.2">
      <c r="C12" s="24" t="s">
        <v>6</v>
      </c>
      <c r="D12" s="42">
        <f>'[11]Formatted Vehicle Summary'!$C$45</f>
        <v>74060.272580000004</v>
      </c>
      <c r="E12" s="43">
        <f t="shared" si="0"/>
        <v>75121.088792336872</v>
      </c>
      <c r="F12" s="43">
        <f t="shared" si="1"/>
        <v>76181.905004673754</v>
      </c>
      <c r="G12" s="43">
        <f t="shared" si="4"/>
        <v>77242.721217010607</v>
      </c>
      <c r="H12" s="43">
        <f t="shared" si="5"/>
        <v>78303.537429347489</v>
      </c>
      <c r="I12" s="43">
        <f>AA12*[12]Population!I31/[13]Population!T10</f>
        <v>79364.353641684356</v>
      </c>
      <c r="J12" s="43">
        <f t="shared" si="6"/>
        <v>80150.352119261428</v>
      </c>
      <c r="K12" s="43">
        <f>AB12*[12]Population!K31/[13]Population!U10</f>
        <v>83294.346029569671</v>
      </c>
      <c r="L12" s="43">
        <f>AC12*[12]Population!L31/[13]Population!V10</f>
        <v>86607.455867966375</v>
      </c>
      <c r="M12" s="43">
        <f>AD12*[12]Population!M31/[13]Population!W10</f>
        <v>89194.729930613204</v>
      </c>
      <c r="N12" s="43">
        <f>AE12*[12]Population!N31/[13]Population!X10</f>
        <v>91580.708890744761</v>
      </c>
      <c r="O12" s="43">
        <f>AF12*[12]Population!$O31/[13]Population!$Y10</f>
        <v>94025.507144801828</v>
      </c>
      <c r="P12" s="43">
        <f>AG12*[12]Population!$O31/[13]Population!$Y10</f>
        <v>94643.657143288598</v>
      </c>
      <c r="Q12" s="43">
        <f>AH12*[12]Population!$O31/[13]Population!$Y10</f>
        <v>94962.623350641719</v>
      </c>
      <c r="R12" s="44">
        <f>AI12*[12]Population!$O31/[13]Population!$Y10</f>
        <v>95077.895931892053</v>
      </c>
      <c r="U12" s="24" t="s">
        <v>6</v>
      </c>
      <c r="V12" s="42">
        <f>'[11]Formatted Vehicle Summary'!$C$45</f>
        <v>74060.272580000004</v>
      </c>
      <c r="W12" s="43">
        <f t="shared" si="2"/>
        <v>75081.106750200008</v>
      </c>
      <c r="X12" s="43">
        <f t="shared" si="3"/>
        <v>76101.940920400011</v>
      </c>
      <c r="Y12" s="43">
        <f t="shared" si="7"/>
        <v>77122.775090600015</v>
      </c>
      <c r="Z12" s="43">
        <f t="shared" si="8"/>
        <v>78143.609260800004</v>
      </c>
      <c r="AA12" s="43">
        <f>'[11]Formatted Vehicle Summary'!$C$46</f>
        <v>79164.443431000007</v>
      </c>
      <c r="AB12" s="43">
        <f>'[11]Formatted Vehicle Summary'!$C$47</f>
        <v>82954.369107000006</v>
      </c>
      <c r="AC12" s="43">
        <f>'[11]Formatted Vehicle Summary'!$C$48</f>
        <v>86193.396317999999</v>
      </c>
      <c r="AD12" s="43">
        <f>'[11]Formatted Vehicle Summary'!$C$49</f>
        <v>88775.975330000001</v>
      </c>
      <c r="AE12" s="43">
        <f>'[11]Formatted Vehicle Summary'!$C$50</f>
        <v>91156.396726000006</v>
      </c>
      <c r="AF12" s="43">
        <f>'[11]Formatted Vehicle Summary'!$C$51</f>
        <v>93594.197478999995</v>
      </c>
      <c r="AG12" s="56">
        <f>$AF12*'[10]Total Distance Tables Sup #1'!I$73/'[10]Total Distance Tables Sup #1'!$H$73</f>
        <v>94209.511927034982</v>
      </c>
      <c r="AH12" s="56">
        <f>$AF12*'[10]Total Distance Tables Sup #1'!J$73/'[10]Total Distance Tables Sup #1'!$H$73</f>
        <v>94527.014986647948</v>
      </c>
      <c r="AI12" s="57">
        <f>$AF12*'[10]Total Distance Tables Sup #1'!K$73/'[10]Total Distance Tables Sup #1'!$H$73</f>
        <v>94641.758794589798</v>
      </c>
    </row>
    <row r="13" spans="3:35" ht="16" x14ac:dyDescent="0.2">
      <c r="C13" s="24" t="s">
        <v>7</v>
      </c>
      <c r="D13" s="42">
        <f>'[11]Formatted Vehicle Summary'!$C$52</f>
        <v>146543.66057000001</v>
      </c>
      <c r="E13" s="43">
        <f t="shared" si="0"/>
        <v>148736.20323154517</v>
      </c>
      <c r="F13" s="43">
        <f t="shared" si="1"/>
        <v>150928.74589309029</v>
      </c>
      <c r="G13" s="43">
        <f t="shared" si="4"/>
        <v>153121.28855463542</v>
      </c>
      <c r="H13" s="43">
        <f t="shared" si="5"/>
        <v>155313.83121618058</v>
      </c>
      <c r="I13" s="43">
        <f>AA13*[12]Population!I32/[13]Population!T11</f>
        <v>157506.37387772571</v>
      </c>
      <c r="J13" s="43">
        <f t="shared" si="6"/>
        <v>158741.15659874765</v>
      </c>
      <c r="K13" s="43">
        <f>AB13*[12]Population!K32/[13]Population!U11</f>
        <v>163680.28748283544</v>
      </c>
      <c r="L13" s="43">
        <f>AC13*[12]Population!L32/[13]Population!V11</f>
        <v>168206.36616320757</v>
      </c>
      <c r="M13" s="43">
        <f>AD13*[12]Population!M32/[13]Population!W11</f>
        <v>172238.17682158004</v>
      </c>
      <c r="N13" s="43">
        <f>AE13*[12]Population!N32/[13]Population!X11</f>
        <v>174382.41741785081</v>
      </c>
      <c r="O13" s="43">
        <f>AF13*[12]Population!$O32/[13]Population!$Y11</f>
        <v>176787.6189262548</v>
      </c>
      <c r="P13" s="43">
        <f>AG13*[12]Population!$O32/[13]Population!$Y11</f>
        <v>175331.50647214754</v>
      </c>
      <c r="Q13" s="43">
        <f>AH13*[12]Population!$O32/[13]Population!$Y11</f>
        <v>173333.87378308017</v>
      </c>
      <c r="R13" s="44">
        <f>AI13*[12]Population!$O32/[13]Population!$Y11</f>
        <v>170990.73948398244</v>
      </c>
      <c r="U13" s="24" t="s">
        <v>7</v>
      </c>
      <c r="V13" s="42">
        <f>'[11]Formatted Vehicle Summary'!$C$52</f>
        <v>146543.66057000001</v>
      </c>
      <c r="W13" s="43">
        <f t="shared" si="2"/>
        <v>147989.60337200001</v>
      </c>
      <c r="X13" s="43">
        <f t="shared" si="3"/>
        <v>149435.54617400002</v>
      </c>
      <c r="Y13" s="43">
        <f t="shared" si="7"/>
        <v>150881.48897599999</v>
      </c>
      <c r="Z13" s="43">
        <f t="shared" si="8"/>
        <v>152327.431778</v>
      </c>
      <c r="AA13" s="43">
        <f>'[11]Formatted Vehicle Summary'!$C$53</f>
        <v>153773.37458</v>
      </c>
      <c r="AB13" s="43">
        <f>'[11]Formatted Vehicle Summary'!$C$54</f>
        <v>158594.55492</v>
      </c>
      <c r="AC13" s="43">
        <f>'[11]Formatted Vehicle Summary'!$C$55</f>
        <v>162089.77103</v>
      </c>
      <c r="AD13" s="43">
        <f>'[11]Formatted Vehicle Summary'!$C$56</f>
        <v>165110.60261</v>
      </c>
      <c r="AE13" s="43">
        <f>'[11]Formatted Vehicle Summary'!$C$57</f>
        <v>166322.13686999999</v>
      </c>
      <c r="AF13" s="43">
        <f>'[11]Formatted Vehicle Summary'!$C$58</f>
        <v>167576.95542000001</v>
      </c>
      <c r="AG13" s="56">
        <f>$AF13*'[10]Total Distance Tables Sup #1'!I$84/'[10]Total Distance Tables Sup #1'!$H$84</f>
        <v>166196.70665998798</v>
      </c>
      <c r="AH13" s="56">
        <f>$AF13*'[10]Total Distance Tables Sup #1'!J$84/'[10]Total Distance Tables Sup #1'!$H$84</f>
        <v>164303.15095674037</v>
      </c>
      <c r="AI13" s="57">
        <f>$AF13*'[10]Total Distance Tables Sup #1'!K$84/'[10]Total Distance Tables Sup #1'!$H$84</f>
        <v>162082.09433316105</v>
      </c>
    </row>
    <row r="14" spans="3:35" ht="16" x14ac:dyDescent="0.2">
      <c r="C14" s="24" t="s">
        <v>8</v>
      </c>
      <c r="D14" s="42">
        <f>'[11]Formatted Vehicle Summary'!$C$59</f>
        <v>272805.11940000003</v>
      </c>
      <c r="E14" s="43">
        <f t="shared" si="0"/>
        <v>277353.40573346621</v>
      </c>
      <c r="F14" s="43">
        <f t="shared" si="1"/>
        <v>281901.69206693245</v>
      </c>
      <c r="G14" s="43">
        <f t="shared" si="4"/>
        <v>286449.97840039863</v>
      </c>
      <c r="H14" s="43">
        <f t="shared" si="5"/>
        <v>290998.26473386481</v>
      </c>
      <c r="I14" s="43">
        <f>AA14*[12]Population!I33/[13]Population!T12</f>
        <v>295546.55106733099</v>
      </c>
      <c r="J14" s="43">
        <f t="shared" si="6"/>
        <v>298756.79463803116</v>
      </c>
      <c r="K14" s="43">
        <f>AB14*[12]Population!K33/[13]Population!U12</f>
        <v>311597.76892083173</v>
      </c>
      <c r="L14" s="43">
        <f>AC14*[12]Population!L33/[13]Population!V12</f>
        <v>324819.57612518978</v>
      </c>
      <c r="M14" s="43">
        <f>AD14*[12]Population!M33/[13]Population!W12</f>
        <v>334927.96535998886</v>
      </c>
      <c r="N14" s="43">
        <f>AE14*[12]Population!N33/[13]Population!X12</f>
        <v>343820.49910930794</v>
      </c>
      <c r="O14" s="43">
        <f>AF14*[12]Population!$O33/[13]Population!$Y12</f>
        <v>352923.85978748358</v>
      </c>
      <c r="P14" s="43">
        <f>AG14*[12]Population!$O33/[13]Population!$Y12</f>
        <v>355257.86135790381</v>
      </c>
      <c r="Q14" s="43">
        <f>AH14*[12]Population!$O33/[13]Population!$Y12</f>
        <v>356468.9728001632</v>
      </c>
      <c r="R14" s="44">
        <f>AI14*[12]Population!$O33/[13]Population!$Y12</f>
        <v>356915.52657436376</v>
      </c>
      <c r="U14" s="24" t="s">
        <v>8</v>
      </c>
      <c r="V14" s="42">
        <f>'[11]Formatted Vehicle Summary'!$C$59</f>
        <v>272805.11940000003</v>
      </c>
      <c r="W14" s="43">
        <f t="shared" si="2"/>
        <v>276274.93617600005</v>
      </c>
      <c r="X14" s="43">
        <f t="shared" si="3"/>
        <v>279744.75295200001</v>
      </c>
      <c r="Y14" s="43">
        <f t="shared" si="7"/>
        <v>283214.56972800003</v>
      </c>
      <c r="Z14" s="43">
        <f t="shared" si="8"/>
        <v>286684.38650399999</v>
      </c>
      <c r="AA14" s="43">
        <f>'[11]Formatted Vehicle Summary'!$C$60</f>
        <v>290154.20328000002</v>
      </c>
      <c r="AB14" s="43">
        <f>'[11]Formatted Vehicle Summary'!$C$61</f>
        <v>303229.97907</v>
      </c>
      <c r="AC14" s="43">
        <f>'[11]Formatted Vehicle Summary'!$C$62</f>
        <v>314888.25624000002</v>
      </c>
      <c r="AD14" s="43">
        <f>'[11]Formatted Vehicle Summary'!$C$63</f>
        <v>323571.41970999999</v>
      </c>
      <c r="AE14" s="43">
        <f>'[11]Formatted Vehicle Summary'!$C$64</f>
        <v>331115.67515000002</v>
      </c>
      <c r="AF14" s="43">
        <f>'[11]Formatted Vehicle Summary'!$C$65</f>
        <v>338777.25312000001</v>
      </c>
      <c r="AG14" s="56">
        <f>$AF14*'[10]Total Distance Tables Sup #1'!I$95/'[10]Total Distance Tables Sup #1'!$H$95</f>
        <v>341017.69852734893</v>
      </c>
      <c r="AH14" s="56">
        <f>$AF14*'[10]Total Distance Tables Sup #1'!J$95/'[10]Total Distance Tables Sup #1'!$H$95</f>
        <v>342180.26375566167</v>
      </c>
      <c r="AI14" s="57">
        <f>$AF14*'[10]Total Distance Tables Sup #1'!K$95/'[10]Total Distance Tables Sup #1'!$H$95</f>
        <v>342608.91785993538</v>
      </c>
    </row>
    <row r="15" spans="3:35" ht="16" x14ac:dyDescent="0.2">
      <c r="C15" s="24" t="s">
        <v>9</v>
      </c>
      <c r="D15" s="42">
        <f>'[11]Formatted Vehicle Summary'!$C$66</f>
        <v>99341.522463999994</v>
      </c>
      <c r="E15" s="43">
        <f t="shared" si="0"/>
        <v>100814.47881384502</v>
      </c>
      <c r="F15" s="43">
        <f t="shared" si="1"/>
        <v>102287.43516369007</v>
      </c>
      <c r="G15" s="43">
        <f t="shared" si="4"/>
        <v>103760.39151353508</v>
      </c>
      <c r="H15" s="43">
        <f t="shared" si="5"/>
        <v>105233.34786338013</v>
      </c>
      <c r="I15" s="43">
        <f>AA15*[12]Population!I34/[13]Population!T13</f>
        <v>106706.30421322516</v>
      </c>
      <c r="J15" s="43">
        <f t="shared" si="6"/>
        <v>107904.12337704349</v>
      </c>
      <c r="K15" s="43">
        <f>AB15*[12]Population!K34/[13]Population!U13</f>
        <v>112695.40003231683</v>
      </c>
      <c r="L15" s="43">
        <f>AC15*[12]Population!L34/[13]Population!V13</f>
        <v>117477.27844203368</v>
      </c>
      <c r="M15" s="43">
        <f>AD15*[12]Population!M34/[13]Population!W13</f>
        <v>120861.62322655569</v>
      </c>
      <c r="N15" s="43">
        <f>AE15*[12]Population!N34/[13]Population!X13</f>
        <v>122506.37533368387</v>
      </c>
      <c r="O15" s="43">
        <f>AF15*[12]Population!$O34/[13]Population!$Y13</f>
        <v>124216.38877630906</v>
      </c>
      <c r="P15" s="43">
        <f>AG15*[12]Population!$O34/[13]Population!$Y13</f>
        <v>124027.28346968052</v>
      </c>
      <c r="Q15" s="43">
        <f>AH15*[12]Population!$O34/[13]Population!$Y13</f>
        <v>123450.09492429913</v>
      </c>
      <c r="R15" s="44">
        <f>AI15*[12]Population!$O34/[13]Population!$Y13</f>
        <v>122617.31990422799</v>
      </c>
      <c r="U15" s="24" t="s">
        <v>9</v>
      </c>
      <c r="V15" s="42">
        <f>'[11]Formatted Vehicle Summary'!$C$66</f>
        <v>99341.522463999994</v>
      </c>
      <c r="W15" s="43">
        <f t="shared" si="2"/>
        <v>100642.71816319998</v>
      </c>
      <c r="X15" s="43">
        <f t="shared" si="3"/>
        <v>101943.91386239999</v>
      </c>
      <c r="Y15" s="43">
        <f t="shared" si="7"/>
        <v>103245.10956159999</v>
      </c>
      <c r="Z15" s="43">
        <f t="shared" si="8"/>
        <v>104546.3052608</v>
      </c>
      <c r="AA15" s="43">
        <f>'[11]Formatted Vehicle Summary'!$C$67</f>
        <v>105847.50096</v>
      </c>
      <c r="AB15" s="43">
        <f>'[11]Formatted Vehicle Summary'!$C$68</f>
        <v>111154.64261</v>
      </c>
      <c r="AC15" s="43">
        <f>'[11]Formatted Vehicle Summary'!$C$69</f>
        <v>115531.79485000001</v>
      </c>
      <c r="AD15" s="43">
        <f>'[11]Formatted Vehicle Summary'!$C$70</f>
        <v>118435.29201999999</v>
      </c>
      <c r="AE15" s="43">
        <f>'[11]Formatted Vehicle Summary'!$C$71</f>
        <v>119609.52265</v>
      </c>
      <c r="AF15" s="43">
        <f>'[11]Formatted Vehicle Summary'!$C$72</f>
        <v>120821.65517</v>
      </c>
      <c r="AG15" s="56">
        <f>$AF15*'[10]Total Distance Tables Sup #1'!I$106/'[10]Total Distance Tables Sup #1'!$H$106</f>
        <v>120637.7179587079</v>
      </c>
      <c r="AH15" s="56">
        <f>$AF15*'[10]Total Distance Tables Sup #1'!J$106/'[10]Total Distance Tables Sup #1'!$H$106</f>
        <v>120076.3035102189</v>
      </c>
      <c r="AI15" s="57">
        <f>$AF15*'[10]Total Distance Tables Sup #1'!K$106/'[10]Total Distance Tables Sup #1'!$H$106</f>
        <v>119266.28755901926</v>
      </c>
    </row>
    <row r="16" spans="3:35" ht="16" x14ac:dyDescent="0.2">
      <c r="C16" s="24" t="s">
        <v>10</v>
      </c>
      <c r="D16" s="42">
        <f>'[11]Formatted Vehicle Summary'!$C$73</f>
        <v>22769.060554</v>
      </c>
      <c r="E16" s="43">
        <f t="shared" si="0"/>
        <v>22878.98091204615</v>
      </c>
      <c r="F16" s="43">
        <f t="shared" si="1"/>
        <v>22988.901270092309</v>
      </c>
      <c r="G16" s="43">
        <f t="shared" si="4"/>
        <v>23098.821628138459</v>
      </c>
      <c r="H16" s="43">
        <f t="shared" si="5"/>
        <v>23208.741986184614</v>
      </c>
      <c r="I16" s="43">
        <f>AA16*[12]Population!I35/[13]Population!T14</f>
        <v>23318.662344230768</v>
      </c>
      <c r="J16" s="43">
        <f t="shared" si="6"/>
        <v>23374.83433394344</v>
      </c>
      <c r="K16" s="43">
        <f>AB16*[12]Population!K35/[13]Population!U14</f>
        <v>23599.522292794118</v>
      </c>
      <c r="L16" s="43">
        <f>AC16*[12]Population!L35/[13]Population!V14</f>
        <v>23941.874016580648</v>
      </c>
      <c r="M16" s="43">
        <f>AD16*[12]Population!M35/[13]Population!W14</f>
        <v>23627.866943352939</v>
      </c>
      <c r="N16" s="43">
        <f>AE16*[12]Population!N35/[13]Population!X14</f>
        <v>23431.971235207715</v>
      </c>
      <c r="O16" s="43">
        <f>AF16*[12]Population!$O35/[13]Population!$Y14</f>
        <v>23286.697156843373</v>
      </c>
      <c r="P16" s="43">
        <f>AG16*[12]Population!$O35/[13]Population!$Y14</f>
        <v>22687.823641609855</v>
      </c>
      <c r="Q16" s="43">
        <f>AH16*[12]Population!$O35/[13]Population!$Y14</f>
        <v>22033.989641688007</v>
      </c>
      <c r="R16" s="44">
        <f>AI16*[12]Population!$O35/[13]Population!$Y14</f>
        <v>21353.010470295372</v>
      </c>
      <c r="U16" s="24" t="s">
        <v>10</v>
      </c>
      <c r="V16" s="42">
        <f>'[11]Formatted Vehicle Summary'!$C$73</f>
        <v>22769.060554</v>
      </c>
      <c r="W16" s="43">
        <f t="shared" si="2"/>
        <v>23065.530210799996</v>
      </c>
      <c r="X16" s="43">
        <f t="shared" si="3"/>
        <v>23361.9998676</v>
      </c>
      <c r="Y16" s="43">
        <f t="shared" si="7"/>
        <v>23658.469524399996</v>
      </c>
      <c r="Z16" s="43">
        <f t="shared" si="8"/>
        <v>23954.939181199996</v>
      </c>
      <c r="AA16" s="43">
        <f>'[11]Formatted Vehicle Summary'!$C$74</f>
        <v>24251.408837999999</v>
      </c>
      <c r="AB16" s="43">
        <f>'[11]Formatted Vehicle Summary'!$C$75</f>
        <v>24688.731014000001</v>
      </c>
      <c r="AC16" s="43">
        <f>'[11]Formatted Vehicle Summary'!$C$76</f>
        <v>25276.096098000002</v>
      </c>
      <c r="AD16" s="43">
        <f>'[11]Formatted Vehicle Summary'!$C$77</f>
        <v>25183.30646</v>
      </c>
      <c r="AE16" s="43">
        <f>'[11]Formatted Vehicle Summary'!$C$78</f>
        <v>25228.671904999999</v>
      </c>
      <c r="AF16" s="43">
        <f>'[11]Formatted Vehicle Summary'!$C$79</f>
        <v>25265.305412000002</v>
      </c>
      <c r="AG16" s="56">
        <f>$AF16*'[10]Total Distance Tables Sup #1'!I$117/'[10]Total Distance Tables Sup #1'!$H$117</f>
        <v>24615.547219001543</v>
      </c>
      <c r="AH16" s="56">
        <f>$AF16*'[10]Total Distance Tables Sup #1'!J$117/'[10]Total Distance Tables Sup #1'!$H$117</f>
        <v>23906.158696210518</v>
      </c>
      <c r="AI16" s="57">
        <f>$AF16*'[10]Total Distance Tables Sup #1'!K$117/'[10]Total Distance Tables Sup #1'!$H$117</f>
        <v>23167.318549470798</v>
      </c>
    </row>
    <row r="17" spans="3:35" ht="16" x14ac:dyDescent="0.2">
      <c r="C17" s="24" t="s">
        <v>11</v>
      </c>
      <c r="D17" s="42">
        <f>'[11]Formatted Vehicle Summary'!$C$80</f>
        <v>392663.75485000003</v>
      </c>
      <c r="E17" s="43">
        <f t="shared" si="0"/>
        <v>403197.78882826213</v>
      </c>
      <c r="F17" s="43">
        <f t="shared" si="1"/>
        <v>413731.82280652423</v>
      </c>
      <c r="G17" s="43">
        <f t="shared" si="4"/>
        <v>424265.85678478645</v>
      </c>
      <c r="H17" s="43">
        <f t="shared" si="5"/>
        <v>434799.89076304849</v>
      </c>
      <c r="I17" s="43">
        <f>AA17*[12]Population!I36/[13]Population!T15</f>
        <v>445333.92474131065</v>
      </c>
      <c r="J17" s="43">
        <f t="shared" si="6"/>
        <v>453217.75312573905</v>
      </c>
      <c r="K17" s="43">
        <f>AB17*[12]Population!K36/[13]Population!U15</f>
        <v>484753.06666345277</v>
      </c>
      <c r="L17" s="43">
        <f>AC17*[12]Population!L36/[13]Population!V15</f>
        <v>516493.4342648256</v>
      </c>
      <c r="M17" s="43">
        <f>AD17*[12]Population!M36/[13]Population!W15</f>
        <v>544951.05669248768</v>
      </c>
      <c r="N17" s="43">
        <f>AE17*[12]Population!N36/[13]Population!X15</f>
        <v>569119.95257455157</v>
      </c>
      <c r="O17" s="43">
        <f>AF17*[12]Population!$O36/[13]Population!$Y15</f>
        <v>593676.60230480798</v>
      </c>
      <c r="P17" s="43">
        <f>AG17*[12]Population!$O36/[13]Population!$Y15</f>
        <v>608696.22128220357</v>
      </c>
      <c r="Q17" s="43">
        <f>AH17*[12]Population!$O36/[13]Population!$Y15</f>
        <v>622109.22197349637</v>
      </c>
      <c r="R17" s="44">
        <f>AI17*[12]Population!$O36/[13]Population!$Y15</f>
        <v>634451.37300985702</v>
      </c>
      <c r="U17" s="24" t="s">
        <v>11</v>
      </c>
      <c r="V17" s="42">
        <f>'[11]Formatted Vehicle Summary'!$C$80</f>
        <v>392663.75485000003</v>
      </c>
      <c r="W17" s="43">
        <f t="shared" si="2"/>
        <v>401582.81021800003</v>
      </c>
      <c r="X17" s="43">
        <f t="shared" si="3"/>
        <v>410501.86558599997</v>
      </c>
      <c r="Y17" s="43">
        <f t="shared" si="7"/>
        <v>419420.92095399997</v>
      </c>
      <c r="Z17" s="43">
        <f t="shared" si="8"/>
        <v>428339.97632199997</v>
      </c>
      <c r="AA17" s="43">
        <f>'[11]Formatted Vehicle Summary'!$C$81</f>
        <v>437259.03168999997</v>
      </c>
      <c r="AB17" s="43">
        <f>'[11]Formatted Vehicle Summary'!$C$82</f>
        <v>466288.36839999998</v>
      </c>
      <c r="AC17" s="43">
        <f>'[11]Formatted Vehicle Summary'!$C$83</f>
        <v>494697.00962999999</v>
      </c>
      <c r="AD17" s="43">
        <f>'[11]Formatted Vehicle Summary'!$C$84</f>
        <v>520259.49572000001</v>
      </c>
      <c r="AE17" s="43">
        <f>'[11]Formatted Vehicle Summary'!$C$85</f>
        <v>542029.90388</v>
      </c>
      <c r="AF17" s="43">
        <f>'[11]Formatted Vehicle Summary'!$C$86</f>
        <v>564197.80842000002</v>
      </c>
      <c r="AG17" s="56">
        <f>$AF17*'[10]Total Distance Tables Sup #1'!I$128/'[10]Total Distance Tables Sup #1'!$H$128</f>
        <v>578471.63372733328</v>
      </c>
      <c r="AH17" s="56">
        <f>$AF17*'[10]Total Distance Tables Sup #1'!J$128/'[10]Total Distance Tables Sup #1'!$H$128</f>
        <v>591218.61679013888</v>
      </c>
      <c r="AI17" s="57">
        <f>$AF17*'[10]Total Distance Tables Sup #1'!K$128/'[10]Total Distance Tables Sup #1'!$H$128</f>
        <v>602947.92284476443</v>
      </c>
    </row>
    <row r="18" spans="3:35" ht="16" x14ac:dyDescent="0.2">
      <c r="C18" s="24" t="s">
        <v>12</v>
      </c>
      <c r="D18" s="42">
        <f>'[11]Formatted Vehicle Summary'!$C$87</f>
        <v>135772.67147</v>
      </c>
      <c r="E18" s="43">
        <f t="shared" si="0"/>
        <v>138663.26679791926</v>
      </c>
      <c r="F18" s="43">
        <f t="shared" si="1"/>
        <v>141553.86212583852</v>
      </c>
      <c r="G18" s="43">
        <f t="shared" si="4"/>
        <v>144444.45745375782</v>
      </c>
      <c r="H18" s="43">
        <f t="shared" si="5"/>
        <v>147335.05278167708</v>
      </c>
      <c r="I18" s="43">
        <f>AA18*[12]Population!I37/[13]Population!T16</f>
        <v>150225.64810959634</v>
      </c>
      <c r="J18" s="43">
        <f t="shared" si="6"/>
        <v>152222.28724202915</v>
      </c>
      <c r="K18" s="43">
        <f>AB18*[12]Population!K37/[13]Population!U16</f>
        <v>160208.84377176047</v>
      </c>
      <c r="L18" s="43">
        <f>AC18*[12]Population!L37/[13]Population!V16</f>
        <v>168051.19054773025</v>
      </c>
      <c r="M18" s="43">
        <f>AD18*[12]Population!M37/[13]Population!W16</f>
        <v>174565.75673680223</v>
      </c>
      <c r="N18" s="43">
        <f>AE18*[12]Population!N37/[13]Population!X16</f>
        <v>179620.47069340362</v>
      </c>
      <c r="O18" s="43">
        <f>AF18*[12]Population!$O37/[13]Population!$Y16</f>
        <v>184676.16737454964</v>
      </c>
      <c r="P18" s="43">
        <f>AG18*[12]Population!$O37/[13]Population!$Y16</f>
        <v>186518.98480412876</v>
      </c>
      <c r="Q18" s="43">
        <f>AH18*[12]Population!$O37/[13]Population!$Y16</f>
        <v>187780.54444296169</v>
      </c>
      <c r="R18" s="44">
        <f>AI18*[12]Population!$O37/[13]Population!$Y16</f>
        <v>188644.35487240873</v>
      </c>
      <c r="U18" s="24" t="s">
        <v>12</v>
      </c>
      <c r="V18" s="42">
        <f>'[11]Formatted Vehicle Summary'!$C$87</f>
        <v>135772.67147</v>
      </c>
      <c r="W18" s="43">
        <f t="shared" si="2"/>
        <v>137625.392524</v>
      </c>
      <c r="X18" s="43">
        <f t="shared" si="3"/>
        <v>139478.11357799999</v>
      </c>
      <c r="Y18" s="43">
        <f t="shared" si="7"/>
        <v>141330.83463200001</v>
      </c>
      <c r="Z18" s="43">
        <f t="shared" si="8"/>
        <v>143183.55568600001</v>
      </c>
      <c r="AA18" s="43">
        <f>'[11]Formatted Vehicle Summary'!$C$88</f>
        <v>145036.27674</v>
      </c>
      <c r="AB18" s="43">
        <f>'[11]Formatted Vehicle Summary'!$C$89</f>
        <v>151926.86116999999</v>
      </c>
      <c r="AC18" s="43">
        <f>'[11]Formatted Vehicle Summary'!$C$90</f>
        <v>158634.23055000001</v>
      </c>
      <c r="AD18" s="43">
        <f>'[11]Formatted Vehicle Summary'!$C$91</f>
        <v>164231.01399000001</v>
      </c>
      <c r="AE18" s="43">
        <f>'[11]Formatted Vehicle Summary'!$C$92</f>
        <v>168531.90977999999</v>
      </c>
      <c r="AF18" s="43">
        <f>'[11]Formatted Vehicle Summary'!$C$93</f>
        <v>172922.08097000001</v>
      </c>
      <c r="AG18" s="56">
        <f>$AF18*'[10]Total Distance Tables Sup #1'!I$139/'[10]Total Distance Tables Sup #1'!$H$139</f>
        <v>174647.60857489292</v>
      </c>
      <c r="AH18" s="56">
        <f>$AF18*'[10]Total Distance Tables Sup #1'!J$139/'[10]Total Distance Tables Sup #1'!$H$139</f>
        <v>175828.8737111371</v>
      </c>
      <c r="AI18" s="57">
        <f>$AF18*'[10]Total Distance Tables Sup #1'!K$139/'[10]Total Distance Tables Sup #1'!$H$139</f>
        <v>176637.70518705042</v>
      </c>
    </row>
    <row r="19" spans="3:35" ht="17" thickBot="1" x14ac:dyDescent="0.25">
      <c r="C19" s="25" t="s">
        <v>13</v>
      </c>
      <c r="D19" s="45">
        <f>'[11]Formatted Vehicle Summary'!$C$94</f>
        <v>68647.598836000005</v>
      </c>
      <c r="E19" s="46">
        <f t="shared" si="0"/>
        <v>69606.694991017896</v>
      </c>
      <c r="F19" s="46">
        <f t="shared" si="1"/>
        <v>70565.791146035772</v>
      </c>
      <c r="G19" s="46">
        <f t="shared" si="4"/>
        <v>71524.887301053663</v>
      </c>
      <c r="H19" s="46">
        <f t="shared" si="5"/>
        <v>72483.983456071554</v>
      </c>
      <c r="I19" s="46">
        <f>AA19*[12]Population!I38/[13]Population!T17</f>
        <v>73443.07961108943</v>
      </c>
      <c r="J19" s="46">
        <f t="shared" si="6"/>
        <v>73907.456130111386</v>
      </c>
      <c r="K19" s="46">
        <f>AB19*[12]Population!K38/[13]Population!U17</f>
        <v>75764.962206199198</v>
      </c>
      <c r="L19" s="46">
        <f>AC19*[12]Population!L38/[13]Population!V17</f>
        <v>77585.462354985895</v>
      </c>
      <c r="M19" s="46">
        <f>AD19*[12]Population!M38/[13]Population!W17</f>
        <v>78951.082134796758</v>
      </c>
      <c r="N19" s="46">
        <f>AE19*[12]Population!N38/[13]Population!X17</f>
        <v>79504.283281632655</v>
      </c>
      <c r="O19" s="46">
        <f>AF19*[12]Population!$O38/[13]Population!$Y17</f>
        <v>79992.38437772727</v>
      </c>
      <c r="P19" s="46">
        <f>AG19*[12]Population!$O38/[13]Population!$Y17</f>
        <v>78920.838412017256</v>
      </c>
      <c r="Q19" s="46">
        <f>AH19*[12]Population!$O38/[13]Population!$Y17</f>
        <v>77615.793044310922</v>
      </c>
      <c r="R19" s="47">
        <f>AI19*[12]Population!$O38/[13]Population!$Y17</f>
        <v>76168.284975640287</v>
      </c>
      <c r="U19" s="25" t="s">
        <v>13</v>
      </c>
      <c r="V19" s="45">
        <f>'[11]Formatted Vehicle Summary'!$C$94</f>
        <v>68647.598836000005</v>
      </c>
      <c r="W19" s="46">
        <f t="shared" si="2"/>
        <v>69488.238410999998</v>
      </c>
      <c r="X19" s="46">
        <f t="shared" si="3"/>
        <v>70328.877986000007</v>
      </c>
      <c r="Y19" s="46">
        <f t="shared" si="7"/>
        <v>71169.517561000001</v>
      </c>
      <c r="Z19" s="46">
        <f t="shared" si="8"/>
        <v>72010.157136000009</v>
      </c>
      <c r="AA19" s="46">
        <f>'[11]Formatted Vehicle Summary'!$C$95</f>
        <v>72850.796711000003</v>
      </c>
      <c r="AB19" s="46">
        <f>'[11]Formatted Vehicle Summary'!$C$96</f>
        <v>74856.690931000005</v>
      </c>
      <c r="AC19" s="46">
        <f>'[11]Formatted Vehicle Summary'!$C$97</f>
        <v>76505.744191000005</v>
      </c>
      <c r="AD19" s="46">
        <f>'[11]Formatted Vehicle Summary'!$C$98</f>
        <v>77616.918718999994</v>
      </c>
      <c r="AE19" s="46">
        <f>'[11]Formatted Vehicle Summary'!$C$99</f>
        <v>77914.197616000005</v>
      </c>
      <c r="AF19" s="46">
        <f>'[11]Formatted Vehicle Summary'!$C$100</f>
        <v>78214.775836000001</v>
      </c>
      <c r="AG19" s="59">
        <f>$AF19*'[10]Total Distance Tables Sup #1'!I$150/'[10]Total Distance Tables Sup #1'!$H$150</f>
        <v>77167.042002861315</v>
      </c>
      <c r="AH19" s="59">
        <f>$AF19*'[10]Total Distance Tables Sup #1'!J$150/'[10]Total Distance Tables Sup #1'!$H$150</f>
        <v>75890.997643326235</v>
      </c>
      <c r="AI19" s="60">
        <f>$AF19*'[10]Total Distance Tables Sup #1'!K$150/'[10]Total Distance Tables Sup #1'!$H$150</f>
        <v>74475.656420626052</v>
      </c>
    </row>
    <row r="20" spans="3:35" ht="18" customHeight="1" thickTop="1" thickBot="1" x14ac:dyDescent="0.25">
      <c r="C20" s="20" t="s">
        <v>24</v>
      </c>
      <c r="D20" s="48">
        <f t="shared" ref="D20:O20" si="9">SUM(D6:D19)</f>
        <v>2769927.1883470002</v>
      </c>
      <c r="E20" s="48">
        <f t="shared" si="9"/>
        <v>2839351.3892665738</v>
      </c>
      <c r="F20" s="48">
        <f t="shared" si="9"/>
        <v>2908775.590186148</v>
      </c>
      <c r="G20" s="48">
        <f t="shared" si="9"/>
        <v>2978199.7911057225</v>
      </c>
      <c r="H20" s="48">
        <f t="shared" si="9"/>
        <v>3047623.9920252957</v>
      </c>
      <c r="I20" s="48">
        <f t="shared" si="9"/>
        <v>3117048.1929448694</v>
      </c>
      <c r="J20" s="48">
        <f t="shared" ref="J20" si="10">SUM(J6:J19)</f>
        <v>3169799.7959984993</v>
      </c>
      <c r="K20" s="48">
        <f t="shared" si="9"/>
        <v>3380806.2082130169</v>
      </c>
      <c r="L20" s="48">
        <f t="shared" si="9"/>
        <v>3596381.972438883</v>
      </c>
      <c r="M20" s="48">
        <f t="shared" si="9"/>
        <v>3788326.4436558825</v>
      </c>
      <c r="N20" s="48">
        <f t="shared" si="9"/>
        <v>3950940.5424978863</v>
      </c>
      <c r="O20" s="48">
        <f t="shared" si="9"/>
        <v>4116527.7967820517</v>
      </c>
      <c r="P20" s="48">
        <f t="shared" ref="P20:R20" si="11">SUM(P6:P19)</f>
        <v>4210436.4447011845</v>
      </c>
      <c r="Q20" s="48">
        <f t="shared" si="11"/>
        <v>4294168.2603624985</v>
      </c>
      <c r="R20" s="49">
        <f t="shared" si="11"/>
        <v>4371557.051749574</v>
      </c>
      <c r="U20" s="20" t="s">
        <v>24</v>
      </c>
      <c r="V20" s="48">
        <f t="shared" ref="V20:AI20" si="12">SUM(V6:V19)</f>
        <v>2769927.1883470002</v>
      </c>
      <c r="W20" s="48">
        <f t="shared" si="12"/>
        <v>2823382.0707301996</v>
      </c>
      <c r="X20" s="48">
        <f t="shared" si="12"/>
        <v>2876836.9531133994</v>
      </c>
      <c r="Y20" s="48">
        <f t="shared" si="12"/>
        <v>2930291.8354965998</v>
      </c>
      <c r="Z20" s="48">
        <f t="shared" si="12"/>
        <v>2983746.7178797997</v>
      </c>
      <c r="AA20" s="48">
        <f t="shared" si="12"/>
        <v>3037201.600263</v>
      </c>
      <c r="AB20" s="48">
        <f t="shared" si="12"/>
        <v>3244672.8802899993</v>
      </c>
      <c r="AC20" s="48">
        <f t="shared" si="12"/>
        <v>3439268.5379790002</v>
      </c>
      <c r="AD20" s="48">
        <f t="shared" si="12"/>
        <v>3614951.43927</v>
      </c>
      <c r="AE20" s="48">
        <f t="shared" si="12"/>
        <v>3765425.8621890009</v>
      </c>
      <c r="AF20" s="48">
        <f t="shared" si="12"/>
        <v>3918571.4769020006</v>
      </c>
      <c r="AG20" s="48">
        <f t="shared" si="12"/>
        <v>4007907.150243117</v>
      </c>
      <c r="AH20" s="48">
        <f t="shared" si="12"/>
        <v>4087568.9646394858</v>
      </c>
      <c r="AI20" s="49">
        <f t="shared" si="12"/>
        <v>4161207.0843298901</v>
      </c>
    </row>
    <row r="21" spans="3:35" ht="18" thickTop="1" thickBot="1" x14ac:dyDescent="0.25">
      <c r="C21" s="34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U21" s="8" t="s">
        <v>35</v>
      </c>
      <c r="V21" s="75">
        <f>'[14]Formatted Vehicle Summary'!$C$3</f>
        <v>2769927.1883999999</v>
      </c>
      <c r="W21" s="48">
        <f>V21*4/5 + AA21/5</f>
        <v>2823382.0707799997</v>
      </c>
      <c r="X21" s="48">
        <f>V21*3/5+AA21*2/5</f>
        <v>2876836.95316</v>
      </c>
      <c r="Y21" s="48">
        <f t="shared" ref="Y21" si="13">V21*2/5+AA21*3/5</f>
        <v>2930291.8355400003</v>
      </c>
      <c r="Z21" s="48">
        <f t="shared" ref="Z21" si="14">V21*1/5+AA21*4/5</f>
        <v>2983746.7179200002</v>
      </c>
      <c r="AA21" s="48">
        <f>'[14]Formatted Vehicle Summary'!$C$4</f>
        <v>3037201.6003</v>
      </c>
      <c r="AB21" s="48">
        <f>'[14]Formatted Vehicle Summary'!$C$5</f>
        <v>3244672.8802</v>
      </c>
      <c r="AC21" s="48">
        <f>'[14]Formatted Vehicle Summary'!$C$6</f>
        <v>3439268.5380000002</v>
      </c>
      <c r="AD21" s="48">
        <f>'[14]Formatted Vehicle Summary'!$C$7</f>
        <v>3614951.4393000002</v>
      </c>
      <c r="AE21" s="48">
        <f>'[14]Formatted Vehicle Summary'!$C$8</f>
        <v>3765425.8621</v>
      </c>
      <c r="AF21" s="48">
        <f>'[14]Formatted Vehicle Summary'!$C$9</f>
        <v>3918571.477</v>
      </c>
      <c r="AG21" s="62"/>
      <c r="AH21" s="62"/>
      <c r="AI21" s="63"/>
    </row>
    <row r="22" spans="3:35" ht="14" thickTop="1" x14ac:dyDescent="0.15"/>
    <row r="23" spans="3:35" ht="14" thickBot="1" x14ac:dyDescent="0.2"/>
    <row r="24" spans="3:35" ht="17" thickTop="1" x14ac:dyDescent="0.2">
      <c r="C24" s="32" t="s">
        <v>133</v>
      </c>
      <c r="D24" s="34"/>
      <c r="E24" s="33"/>
      <c r="F24" s="33"/>
      <c r="G24" s="33"/>
      <c r="H24" s="33"/>
      <c r="I24" s="34"/>
      <c r="J24" s="34"/>
      <c r="K24" s="34"/>
      <c r="L24" s="34"/>
      <c r="M24" s="34"/>
      <c r="N24" s="34"/>
      <c r="O24" s="34"/>
      <c r="P24" s="34"/>
      <c r="Q24" s="34"/>
      <c r="R24" s="35"/>
    </row>
    <row r="25" spans="3:35" ht="14" thickBot="1" x14ac:dyDescent="0.2">
      <c r="C25" s="18"/>
      <c r="D25" s="65" t="s">
        <v>25</v>
      </c>
      <c r="E25" s="65" t="s">
        <v>37</v>
      </c>
      <c r="F25" s="65" t="s">
        <v>38</v>
      </c>
      <c r="G25" s="37" t="s">
        <v>177</v>
      </c>
      <c r="H25" s="37" t="s">
        <v>178</v>
      </c>
      <c r="I25" s="65" t="s">
        <v>26</v>
      </c>
      <c r="J25" s="65"/>
      <c r="K25" s="65" t="s">
        <v>27</v>
      </c>
      <c r="L25" s="65" t="s">
        <v>28</v>
      </c>
      <c r="M25" s="65" t="s">
        <v>29</v>
      </c>
      <c r="N25" s="65" t="s">
        <v>30</v>
      </c>
      <c r="O25" s="65" t="s">
        <v>31</v>
      </c>
      <c r="P25" s="37" t="s">
        <v>174</v>
      </c>
      <c r="Q25" s="37" t="s">
        <v>175</v>
      </c>
      <c r="R25" s="38" t="s">
        <v>176</v>
      </c>
    </row>
    <row r="26" spans="3:35" ht="15" thickTop="1" thickBot="1" x14ac:dyDescent="0.2">
      <c r="C26" s="70"/>
      <c r="D26" s="71" t="s">
        <v>39</v>
      </c>
      <c r="E26" s="71" t="s">
        <v>32</v>
      </c>
      <c r="F26" s="71" t="s">
        <v>32</v>
      </c>
      <c r="G26" s="71" t="s">
        <v>32</v>
      </c>
      <c r="H26" s="71" t="s">
        <v>32</v>
      </c>
      <c r="I26" s="71" t="s">
        <v>32</v>
      </c>
      <c r="J26" s="71" t="s">
        <v>32</v>
      </c>
      <c r="K26" s="71" t="s">
        <v>32</v>
      </c>
      <c r="L26" s="71" t="s">
        <v>32</v>
      </c>
      <c r="M26" s="71" t="s">
        <v>32</v>
      </c>
      <c r="N26" s="71" t="s">
        <v>32</v>
      </c>
      <c r="O26" s="71" t="s">
        <v>32</v>
      </c>
      <c r="P26" s="65" t="s">
        <v>32</v>
      </c>
      <c r="Q26" s="65" t="s">
        <v>32</v>
      </c>
      <c r="R26" s="66" t="s">
        <v>32</v>
      </c>
    </row>
    <row r="27" spans="3:35" ht="17" thickTop="1" x14ac:dyDescent="0.2">
      <c r="C27" s="24" t="s">
        <v>0</v>
      </c>
      <c r="D27" s="39">
        <f t="shared" ref="D27:H40" si="15">D6</f>
        <v>104978.65624</v>
      </c>
      <c r="E27" s="40">
        <f t="shared" si="15"/>
        <v>107186.7725909924</v>
      </c>
      <c r="F27" s="40">
        <f t="shared" si="15"/>
        <v>109394.8889419848</v>
      </c>
      <c r="G27" s="40">
        <f t="shared" si="15"/>
        <v>111603.00529297721</v>
      </c>
      <c r="H27" s="40">
        <f t="shared" si="15"/>
        <v>113811.1216439696</v>
      </c>
      <c r="I27" s="40">
        <f t="shared" ref="I27:J27" si="16">I6</f>
        <v>116019.23799496201</v>
      </c>
      <c r="J27" s="40">
        <f t="shared" si="16"/>
        <v>117504.56961499182</v>
      </c>
      <c r="K27" s="40">
        <f t="shared" ref="K27:O40" si="17">K6*(1-K47)</f>
        <v>123445.89609511109</v>
      </c>
      <c r="L27" s="40">
        <f t="shared" si="17"/>
        <v>122645.41977881797</v>
      </c>
      <c r="M27" s="40">
        <f t="shared" si="17"/>
        <v>120623.0163650881</v>
      </c>
      <c r="N27" s="40">
        <f t="shared" si="17"/>
        <v>116826.21435622907</v>
      </c>
      <c r="O27" s="40">
        <f t="shared" si="17"/>
        <v>112749.01899704321</v>
      </c>
      <c r="P27" s="53">
        <f t="shared" ref="P27:R27" si="18">P6*(1-P47)</f>
        <v>106203.53982497999</v>
      </c>
      <c r="Q27" s="53">
        <f t="shared" si="18"/>
        <v>99276.41224465071</v>
      </c>
      <c r="R27" s="54">
        <f t="shared" si="18"/>
        <v>92129.213594027067</v>
      </c>
      <c r="T27" s="43"/>
      <c r="U27" s="43"/>
      <c r="V27" s="43"/>
      <c r="W27" s="43"/>
      <c r="X27" s="43"/>
      <c r="Y27" s="43"/>
    </row>
    <row r="28" spans="3:35" ht="16" x14ac:dyDescent="0.2">
      <c r="C28" s="24" t="s">
        <v>1</v>
      </c>
      <c r="D28" s="42">
        <f t="shared" si="15"/>
        <v>872467.79544999998</v>
      </c>
      <c r="E28" s="43">
        <f t="shared" si="15"/>
        <v>902690.1411304432</v>
      </c>
      <c r="F28" s="43">
        <f t="shared" si="15"/>
        <v>932912.48681088653</v>
      </c>
      <c r="G28" s="43">
        <f t="shared" ref="G28:H28" si="19">G7</f>
        <v>963134.83249132987</v>
      </c>
      <c r="H28" s="43">
        <f t="shared" si="19"/>
        <v>993357.17817177309</v>
      </c>
      <c r="I28" s="43">
        <f t="shared" ref="I28:J28" si="20">I7</f>
        <v>1023579.5238522163</v>
      </c>
      <c r="J28" s="43">
        <f t="shared" si="20"/>
        <v>1048683.2110649673</v>
      </c>
      <c r="K28" s="43">
        <f t="shared" si="17"/>
        <v>1149097.9599159716</v>
      </c>
      <c r="L28" s="43">
        <f t="shared" si="17"/>
        <v>1191237.2802959532</v>
      </c>
      <c r="M28" s="43">
        <f t="shared" si="17"/>
        <v>1216245.2809352498</v>
      </c>
      <c r="N28" s="43">
        <f t="shared" si="17"/>
        <v>1223784.9085980614</v>
      </c>
      <c r="O28" s="43">
        <f t="shared" si="17"/>
        <v>1223196.2837183475</v>
      </c>
      <c r="P28" s="56">
        <f t="shared" ref="P28:R28" si="21">P7*(1-P48)</f>
        <v>1196028.3793458438</v>
      </c>
      <c r="Q28" s="56">
        <f t="shared" si="21"/>
        <v>1160560.2125649008</v>
      </c>
      <c r="R28" s="57">
        <f t="shared" si="21"/>
        <v>1117990.4126073201</v>
      </c>
      <c r="T28" s="43"/>
      <c r="U28" s="43"/>
      <c r="V28" s="43"/>
      <c r="W28" s="43"/>
      <c r="X28" s="43"/>
      <c r="Y28" s="43"/>
    </row>
    <row r="29" spans="3:35" ht="16" x14ac:dyDescent="0.2">
      <c r="C29" s="24" t="s">
        <v>2</v>
      </c>
      <c r="D29" s="42">
        <f t="shared" si="15"/>
        <v>266387.73346999998</v>
      </c>
      <c r="E29" s="43">
        <f t="shared" si="15"/>
        <v>273540.83613739884</v>
      </c>
      <c r="F29" s="43">
        <f t="shared" si="15"/>
        <v>280693.93880479777</v>
      </c>
      <c r="G29" s="43">
        <f t="shared" ref="G29:H29" si="22">G8</f>
        <v>287847.04147219664</v>
      </c>
      <c r="H29" s="43">
        <f t="shared" si="22"/>
        <v>295000.14413959556</v>
      </c>
      <c r="I29" s="43">
        <f t="shared" ref="I29:J29" si="23">I8</f>
        <v>302153.24680699443</v>
      </c>
      <c r="J29" s="43">
        <f t="shared" si="23"/>
        <v>307189.8931339503</v>
      </c>
      <c r="K29" s="43">
        <f t="shared" si="17"/>
        <v>327336.4784417738</v>
      </c>
      <c r="L29" s="43">
        <f t="shared" si="17"/>
        <v>330774.36699059815</v>
      </c>
      <c r="M29" s="43">
        <f t="shared" si="17"/>
        <v>330425.49668183248</v>
      </c>
      <c r="N29" s="43">
        <f t="shared" si="17"/>
        <v>325274.21934626059</v>
      </c>
      <c r="O29" s="43">
        <f t="shared" si="17"/>
        <v>318874.46327866567</v>
      </c>
      <c r="P29" s="56">
        <f t="shared" ref="P29:R29" si="24">P8*(1-P49)</f>
        <v>305306.34064587264</v>
      </c>
      <c r="Q29" s="56">
        <f t="shared" si="24"/>
        <v>290090.00682467385</v>
      </c>
      <c r="R29" s="57">
        <f t="shared" si="24"/>
        <v>273636.43355763349</v>
      </c>
      <c r="T29" s="43"/>
      <c r="U29" s="43"/>
      <c r="V29" s="43"/>
      <c r="W29" s="43"/>
      <c r="X29" s="43"/>
      <c r="Y29" s="43"/>
    </row>
    <row r="30" spans="3:35" ht="16" x14ac:dyDescent="0.2">
      <c r="C30" s="24" t="s">
        <v>3</v>
      </c>
      <c r="D30" s="42">
        <f t="shared" si="15"/>
        <v>183297.22020000001</v>
      </c>
      <c r="E30" s="43">
        <f t="shared" si="15"/>
        <v>187510.52446480771</v>
      </c>
      <c r="F30" s="43">
        <f t="shared" si="15"/>
        <v>191723.82872961537</v>
      </c>
      <c r="G30" s="43">
        <f t="shared" ref="G30:H30" si="25">G9</f>
        <v>195937.13299442307</v>
      </c>
      <c r="H30" s="43">
        <f t="shared" si="25"/>
        <v>200150.43725923076</v>
      </c>
      <c r="I30" s="43">
        <f t="shared" ref="I30:J30" si="26">I9</f>
        <v>204363.74152403846</v>
      </c>
      <c r="J30" s="43">
        <f t="shared" si="26"/>
        <v>207423.23011895045</v>
      </c>
      <c r="K30" s="43">
        <f t="shared" si="17"/>
        <v>219661.18449859845</v>
      </c>
      <c r="L30" s="43">
        <f t="shared" si="17"/>
        <v>219835.19252953291</v>
      </c>
      <c r="M30" s="43">
        <f t="shared" si="17"/>
        <v>217910.15971990189</v>
      </c>
      <c r="N30" s="43">
        <f t="shared" si="17"/>
        <v>212986.15084752915</v>
      </c>
      <c r="O30" s="43">
        <f t="shared" si="17"/>
        <v>207556.36549937085</v>
      </c>
      <c r="P30" s="56">
        <f t="shared" ref="P30:R30" si="27">P9*(1-P50)</f>
        <v>197382.48157107359</v>
      </c>
      <c r="Q30" s="56">
        <f t="shared" si="27"/>
        <v>186278.19176266965</v>
      </c>
      <c r="R30" s="57">
        <f t="shared" si="27"/>
        <v>174525.79741820961</v>
      </c>
      <c r="T30" s="43"/>
      <c r="U30" s="43"/>
      <c r="V30" s="43"/>
      <c r="W30" s="43"/>
      <c r="X30" s="43"/>
      <c r="Y30" s="43"/>
    </row>
    <row r="31" spans="3:35" ht="16" x14ac:dyDescent="0.2">
      <c r="C31" s="24" t="s">
        <v>4</v>
      </c>
      <c r="D31" s="42">
        <f t="shared" si="15"/>
        <v>26650.955902999998</v>
      </c>
      <c r="E31" s="43">
        <f t="shared" si="15"/>
        <v>27006.342821084101</v>
      </c>
      <c r="F31" s="43">
        <f t="shared" si="15"/>
        <v>27361.7297391682</v>
      </c>
      <c r="G31" s="43">
        <f t="shared" ref="G31:H31" si="28">G10</f>
        <v>27717.1166572523</v>
      </c>
      <c r="H31" s="43">
        <f t="shared" si="28"/>
        <v>28072.503575336399</v>
      </c>
      <c r="I31" s="43">
        <f t="shared" ref="I31:J31" si="29">I10</f>
        <v>28427.890493420502</v>
      </c>
      <c r="J31" s="43">
        <f t="shared" si="29"/>
        <v>28653.544467437023</v>
      </c>
      <c r="K31" s="43">
        <f t="shared" si="17"/>
        <v>29556.160363503106</v>
      </c>
      <c r="L31" s="43">
        <f t="shared" si="17"/>
        <v>29289.816045164604</v>
      </c>
      <c r="M31" s="43">
        <f t="shared" si="17"/>
        <v>28550.519214690743</v>
      </c>
      <c r="N31" s="43">
        <f t="shared" si="17"/>
        <v>27473.710929243571</v>
      </c>
      <c r="O31" s="43">
        <f t="shared" si="17"/>
        <v>26357.374228411762</v>
      </c>
      <c r="P31" s="56">
        <f t="shared" ref="P31:R31" si="30">P10*(1-P51)</f>
        <v>24478.122349141046</v>
      </c>
      <c r="Q31" s="56">
        <f t="shared" si="30"/>
        <v>22559.783143107139</v>
      </c>
      <c r="R31" s="57">
        <f t="shared" si="30"/>
        <v>20641.247861325181</v>
      </c>
      <c r="T31" s="43"/>
      <c r="U31" s="43"/>
      <c r="V31" s="43"/>
      <c r="W31" s="43"/>
      <c r="X31" s="43"/>
      <c r="Y31" s="43"/>
    </row>
    <row r="32" spans="3:35" ht="16" x14ac:dyDescent="0.2">
      <c r="C32" s="24" t="s">
        <v>5</v>
      </c>
      <c r="D32" s="42">
        <f t="shared" si="15"/>
        <v>103541.16636</v>
      </c>
      <c r="E32" s="43">
        <f t="shared" si="15"/>
        <v>105044.86402140887</v>
      </c>
      <c r="F32" s="43">
        <f t="shared" si="15"/>
        <v>106548.56168281773</v>
      </c>
      <c r="G32" s="43">
        <f t="shared" ref="G32:H32" si="31">G11</f>
        <v>108052.25934422659</v>
      </c>
      <c r="H32" s="43">
        <f t="shared" si="31"/>
        <v>109555.95700563546</v>
      </c>
      <c r="I32" s="43">
        <f t="shared" ref="I32:J32" si="32">I11</f>
        <v>111059.65466704432</v>
      </c>
      <c r="J32" s="43">
        <f t="shared" si="32"/>
        <v>112070.59003329524</v>
      </c>
      <c r="K32" s="43">
        <f t="shared" si="17"/>
        <v>116114.3314982989</v>
      </c>
      <c r="L32" s="43">
        <f t="shared" si="17"/>
        <v>113757.29228347805</v>
      </c>
      <c r="M32" s="43">
        <f t="shared" si="17"/>
        <v>110352.89431197119</v>
      </c>
      <c r="N32" s="43">
        <f t="shared" si="17"/>
        <v>105582.58028995355</v>
      </c>
      <c r="O32" s="43">
        <f t="shared" si="17"/>
        <v>100820.55102478049</v>
      </c>
      <c r="P32" s="56">
        <f t="shared" ref="P32:R32" si="33">P11*(1-P52)</f>
        <v>93865.337351742113</v>
      </c>
      <c r="Q32" s="56">
        <f t="shared" si="33"/>
        <v>86724.595941298059</v>
      </c>
      <c r="R32" s="57">
        <f t="shared" si="33"/>
        <v>79546.950203973727</v>
      </c>
      <c r="T32" s="43"/>
      <c r="U32" s="43"/>
      <c r="V32" s="43"/>
      <c r="W32" s="43"/>
      <c r="X32" s="43"/>
      <c r="Y32" s="43"/>
    </row>
    <row r="33" spans="3:25" ht="16" x14ac:dyDescent="0.2">
      <c r="C33" s="24" t="s">
        <v>6</v>
      </c>
      <c r="D33" s="42">
        <f t="shared" si="15"/>
        <v>74060.272580000004</v>
      </c>
      <c r="E33" s="43">
        <f t="shared" si="15"/>
        <v>75121.088792336872</v>
      </c>
      <c r="F33" s="43">
        <f t="shared" si="15"/>
        <v>76181.905004673754</v>
      </c>
      <c r="G33" s="43">
        <f t="shared" ref="G33:H33" si="34">G12</f>
        <v>77242.721217010607</v>
      </c>
      <c r="H33" s="43">
        <f t="shared" si="34"/>
        <v>78303.537429347489</v>
      </c>
      <c r="I33" s="43">
        <f t="shared" ref="I33:J33" si="35">I12</f>
        <v>79364.353641684356</v>
      </c>
      <c r="J33" s="43">
        <f t="shared" si="35"/>
        <v>80150.352119261428</v>
      </c>
      <c r="K33" s="43">
        <f t="shared" si="17"/>
        <v>83294.346029569671</v>
      </c>
      <c r="L33" s="43">
        <f t="shared" si="17"/>
        <v>82277.083074568058</v>
      </c>
      <c r="M33" s="43">
        <f t="shared" si="17"/>
        <v>80275.25693755188</v>
      </c>
      <c r="N33" s="43">
        <f t="shared" si="17"/>
        <v>77843.602557133039</v>
      </c>
      <c r="O33" s="43">
        <f t="shared" si="17"/>
        <v>75220.405715841465</v>
      </c>
      <c r="P33" s="56">
        <f t="shared" ref="P33:R33" si="36">P12*(1-P53)</f>
        <v>70982.742857466452</v>
      </c>
      <c r="Q33" s="56">
        <f t="shared" si="36"/>
        <v>66473.836345449206</v>
      </c>
      <c r="R33" s="57">
        <f t="shared" si="36"/>
        <v>61800.632355729838</v>
      </c>
      <c r="T33" s="43"/>
      <c r="U33" s="43"/>
      <c r="V33" s="43"/>
      <c r="W33" s="43"/>
      <c r="X33" s="43"/>
      <c r="Y33" s="43"/>
    </row>
    <row r="34" spans="3:25" ht="16" x14ac:dyDescent="0.2">
      <c r="C34" s="24" t="s">
        <v>7</v>
      </c>
      <c r="D34" s="42">
        <f t="shared" si="15"/>
        <v>146543.66057000001</v>
      </c>
      <c r="E34" s="43">
        <f t="shared" si="15"/>
        <v>148736.20323154517</v>
      </c>
      <c r="F34" s="43">
        <f t="shared" si="15"/>
        <v>150928.74589309029</v>
      </c>
      <c r="G34" s="43">
        <f t="shared" ref="G34:H34" si="37">G13</f>
        <v>153121.28855463542</v>
      </c>
      <c r="H34" s="43">
        <f t="shared" si="37"/>
        <v>155313.83121618058</v>
      </c>
      <c r="I34" s="43">
        <f t="shared" ref="I34:J34" si="38">I13</f>
        <v>157506.37387772571</v>
      </c>
      <c r="J34" s="43">
        <f t="shared" si="38"/>
        <v>158741.15659874765</v>
      </c>
      <c r="K34" s="43">
        <f t="shared" si="17"/>
        <v>163680.28748283544</v>
      </c>
      <c r="L34" s="43">
        <f t="shared" si="17"/>
        <v>159796.04785504719</v>
      </c>
      <c r="M34" s="43">
        <f t="shared" si="17"/>
        <v>155014.35913942204</v>
      </c>
      <c r="N34" s="43">
        <f t="shared" si="17"/>
        <v>148225.05480517319</v>
      </c>
      <c r="O34" s="43">
        <f t="shared" si="17"/>
        <v>141430.09514100384</v>
      </c>
      <c r="P34" s="56">
        <f t="shared" ref="P34:R34" si="39">P13*(1-P54)</f>
        <v>131498.62985411065</v>
      </c>
      <c r="Q34" s="56">
        <f t="shared" si="39"/>
        <v>121333.71164815611</v>
      </c>
      <c r="R34" s="57">
        <f t="shared" si="39"/>
        <v>111143.98066458858</v>
      </c>
      <c r="T34" s="43"/>
      <c r="U34" s="43"/>
      <c r="V34" s="43"/>
      <c r="W34" s="43"/>
      <c r="X34" s="43"/>
      <c r="Y34" s="43"/>
    </row>
    <row r="35" spans="3:25" ht="16" x14ac:dyDescent="0.2">
      <c r="C35" s="24" t="s">
        <v>8</v>
      </c>
      <c r="D35" s="42">
        <f t="shared" si="15"/>
        <v>272805.11940000003</v>
      </c>
      <c r="E35" s="43">
        <f t="shared" si="15"/>
        <v>277353.40573346621</v>
      </c>
      <c r="F35" s="43">
        <f t="shared" si="15"/>
        <v>281901.69206693245</v>
      </c>
      <c r="G35" s="43">
        <f t="shared" ref="G35:H35" si="40">G14</f>
        <v>286449.97840039863</v>
      </c>
      <c r="H35" s="43">
        <f t="shared" si="40"/>
        <v>290998.26473386481</v>
      </c>
      <c r="I35" s="43">
        <f t="shared" ref="I35:J35" si="41">I14</f>
        <v>295546.55106733099</v>
      </c>
      <c r="J35" s="43">
        <f t="shared" si="41"/>
        <v>298756.79463803116</v>
      </c>
      <c r="K35" s="43">
        <f t="shared" si="17"/>
        <v>311597.76892083173</v>
      </c>
      <c r="L35" s="43">
        <f t="shared" si="17"/>
        <v>308578.59731893026</v>
      </c>
      <c r="M35" s="43">
        <f t="shared" si="17"/>
        <v>301435.16882398998</v>
      </c>
      <c r="N35" s="43">
        <f t="shared" si="17"/>
        <v>292247.42424291174</v>
      </c>
      <c r="O35" s="43">
        <f t="shared" si="17"/>
        <v>282339.08782998688</v>
      </c>
      <c r="P35" s="56">
        <f t="shared" ref="P35:R35" si="42">P14*(1-P55)</f>
        <v>266443.39601842785</v>
      </c>
      <c r="Q35" s="56">
        <f t="shared" si="42"/>
        <v>249528.28096011424</v>
      </c>
      <c r="R35" s="57">
        <f t="shared" si="42"/>
        <v>231995.09227333646</v>
      </c>
      <c r="T35" s="43"/>
      <c r="U35" s="43"/>
      <c r="V35" s="43"/>
      <c r="W35" s="43"/>
      <c r="X35" s="43"/>
      <c r="Y35" s="43"/>
    </row>
    <row r="36" spans="3:25" ht="16" x14ac:dyDescent="0.2">
      <c r="C36" s="24" t="s">
        <v>9</v>
      </c>
      <c r="D36" s="42">
        <f t="shared" si="15"/>
        <v>99341.522463999994</v>
      </c>
      <c r="E36" s="43">
        <f t="shared" si="15"/>
        <v>100814.47881384502</v>
      </c>
      <c r="F36" s="43">
        <f t="shared" si="15"/>
        <v>102287.43516369007</v>
      </c>
      <c r="G36" s="43">
        <f t="shared" ref="G36:H36" si="43">G15</f>
        <v>103760.39151353508</v>
      </c>
      <c r="H36" s="43">
        <f t="shared" si="43"/>
        <v>105233.34786338013</v>
      </c>
      <c r="I36" s="43">
        <f t="shared" ref="I36:J36" si="44">I15</f>
        <v>106706.30421322516</v>
      </c>
      <c r="J36" s="43">
        <f t="shared" si="44"/>
        <v>107904.12337704349</v>
      </c>
      <c r="K36" s="43">
        <f t="shared" si="17"/>
        <v>112695.40003231683</v>
      </c>
      <c r="L36" s="43">
        <f t="shared" si="17"/>
        <v>111603.41451993199</v>
      </c>
      <c r="M36" s="43">
        <f t="shared" si="17"/>
        <v>108775.46090390012</v>
      </c>
      <c r="N36" s="43">
        <f t="shared" si="17"/>
        <v>104130.41903363129</v>
      </c>
      <c r="O36" s="43">
        <f t="shared" si="17"/>
        <v>99373.111021047254</v>
      </c>
      <c r="P36" s="56">
        <f t="shared" ref="P36:R36" si="45">P15*(1-P56)</f>
        <v>93020.462602260392</v>
      </c>
      <c r="Q36" s="56">
        <f t="shared" si="45"/>
        <v>86415.066447009391</v>
      </c>
      <c r="R36" s="57">
        <f t="shared" si="45"/>
        <v>79701.257937748189</v>
      </c>
      <c r="T36" s="43"/>
      <c r="U36" s="43"/>
      <c r="V36" s="43"/>
      <c r="W36" s="43"/>
      <c r="X36" s="43"/>
      <c r="Y36" s="43"/>
    </row>
    <row r="37" spans="3:25" ht="16" x14ac:dyDescent="0.2">
      <c r="C37" s="24" t="s">
        <v>10</v>
      </c>
      <c r="D37" s="42">
        <f t="shared" si="15"/>
        <v>22769.060554</v>
      </c>
      <c r="E37" s="43">
        <f t="shared" si="15"/>
        <v>22878.98091204615</v>
      </c>
      <c r="F37" s="43">
        <f t="shared" si="15"/>
        <v>22988.901270092309</v>
      </c>
      <c r="G37" s="43">
        <f t="shared" ref="G37:H37" si="46">G16</f>
        <v>23098.821628138459</v>
      </c>
      <c r="H37" s="43">
        <f t="shared" si="46"/>
        <v>23208.741986184614</v>
      </c>
      <c r="I37" s="43">
        <f t="shared" ref="I37:J37" si="47">I16</f>
        <v>23318.662344230768</v>
      </c>
      <c r="J37" s="43">
        <f t="shared" si="47"/>
        <v>23374.83433394344</v>
      </c>
      <c r="K37" s="43">
        <f t="shared" si="17"/>
        <v>23599.522292794118</v>
      </c>
      <c r="L37" s="43">
        <f t="shared" si="17"/>
        <v>22744.780315751614</v>
      </c>
      <c r="M37" s="43">
        <f t="shared" si="17"/>
        <v>21265.080249017647</v>
      </c>
      <c r="N37" s="43">
        <f t="shared" si="17"/>
        <v>19917.175549926556</v>
      </c>
      <c r="O37" s="43">
        <f t="shared" si="17"/>
        <v>18629.3577254747</v>
      </c>
      <c r="P37" s="56">
        <f t="shared" ref="P37:R37" si="48">P16*(1-P57)</f>
        <v>17015.867731207392</v>
      </c>
      <c r="Q37" s="56">
        <f t="shared" si="48"/>
        <v>15423.792749181604</v>
      </c>
      <c r="R37" s="57">
        <f t="shared" si="48"/>
        <v>13879.456805691992</v>
      </c>
      <c r="T37" s="43"/>
      <c r="U37" s="43"/>
      <c r="V37" s="43"/>
      <c r="W37" s="43"/>
      <c r="X37" s="43"/>
      <c r="Y37" s="43"/>
    </row>
    <row r="38" spans="3:25" ht="16" x14ac:dyDescent="0.2">
      <c r="C38" s="24" t="s">
        <v>11</v>
      </c>
      <c r="D38" s="42">
        <f t="shared" si="15"/>
        <v>392663.75485000003</v>
      </c>
      <c r="E38" s="43">
        <f t="shared" si="15"/>
        <v>403197.78882826213</v>
      </c>
      <c r="F38" s="43">
        <f t="shared" si="15"/>
        <v>413731.82280652423</v>
      </c>
      <c r="G38" s="43">
        <f t="shared" ref="G38:H38" si="49">G17</f>
        <v>424265.85678478645</v>
      </c>
      <c r="H38" s="43">
        <f t="shared" si="49"/>
        <v>434799.89076304849</v>
      </c>
      <c r="I38" s="43">
        <f t="shared" ref="I38:J38" si="50">I17</f>
        <v>445333.92474131065</v>
      </c>
      <c r="J38" s="43">
        <f t="shared" si="50"/>
        <v>453217.75312573905</v>
      </c>
      <c r="K38" s="43">
        <f t="shared" si="17"/>
        <v>484753.06666345277</v>
      </c>
      <c r="L38" s="43">
        <f t="shared" si="17"/>
        <v>490668.76255158428</v>
      </c>
      <c r="M38" s="43">
        <f t="shared" si="17"/>
        <v>490455.95102323894</v>
      </c>
      <c r="N38" s="43">
        <f t="shared" si="17"/>
        <v>483751.95968836884</v>
      </c>
      <c r="O38" s="43">
        <f t="shared" si="17"/>
        <v>474941.28184384643</v>
      </c>
      <c r="P38" s="56">
        <f t="shared" ref="P38:R38" si="51">P17*(1-P58)</f>
        <v>456522.16596165264</v>
      </c>
      <c r="Q38" s="56">
        <f t="shared" si="51"/>
        <v>435476.45538144745</v>
      </c>
      <c r="R38" s="57">
        <f t="shared" si="51"/>
        <v>412393.39245640708</v>
      </c>
      <c r="T38" s="43"/>
      <c r="U38" s="43"/>
      <c r="V38" s="43"/>
      <c r="W38" s="43"/>
      <c r="X38" s="43"/>
      <c r="Y38" s="43"/>
    </row>
    <row r="39" spans="3:25" ht="16" x14ac:dyDescent="0.2">
      <c r="C39" s="24" t="s">
        <v>12</v>
      </c>
      <c r="D39" s="42">
        <f t="shared" si="15"/>
        <v>135772.67147</v>
      </c>
      <c r="E39" s="43">
        <f t="shared" si="15"/>
        <v>138663.26679791926</v>
      </c>
      <c r="F39" s="43">
        <f t="shared" si="15"/>
        <v>141553.86212583852</v>
      </c>
      <c r="G39" s="43">
        <f t="shared" ref="G39:H39" si="52">G18</f>
        <v>144444.45745375782</v>
      </c>
      <c r="H39" s="43">
        <f t="shared" si="52"/>
        <v>147335.05278167708</v>
      </c>
      <c r="I39" s="43">
        <f t="shared" ref="I39:J39" si="53">I18</f>
        <v>150225.64810959634</v>
      </c>
      <c r="J39" s="43">
        <f t="shared" si="53"/>
        <v>152222.28724202915</v>
      </c>
      <c r="K39" s="43">
        <f t="shared" si="17"/>
        <v>160208.84377176047</v>
      </c>
      <c r="L39" s="43">
        <f t="shared" si="17"/>
        <v>159648.63102034372</v>
      </c>
      <c r="M39" s="43">
        <f t="shared" si="17"/>
        <v>157109.181063122</v>
      </c>
      <c r="N39" s="43">
        <f t="shared" si="17"/>
        <v>152677.40008939308</v>
      </c>
      <c r="O39" s="43">
        <f t="shared" si="17"/>
        <v>147740.93389963973</v>
      </c>
      <c r="P39" s="56">
        <f t="shared" ref="P39:R39" si="54">P18*(1-P59)</f>
        <v>139889.23860309657</v>
      </c>
      <c r="Q39" s="56">
        <f t="shared" si="54"/>
        <v>131446.38111007318</v>
      </c>
      <c r="R39" s="57">
        <f t="shared" si="54"/>
        <v>122618.83066706567</v>
      </c>
      <c r="T39" s="43"/>
      <c r="U39" s="43"/>
      <c r="V39" s="43"/>
      <c r="W39" s="43"/>
      <c r="X39" s="43"/>
      <c r="Y39" s="43"/>
    </row>
    <row r="40" spans="3:25" ht="17" thickBot="1" x14ac:dyDescent="0.25">
      <c r="C40" s="25" t="s">
        <v>13</v>
      </c>
      <c r="D40" s="45">
        <f t="shared" si="15"/>
        <v>68647.598836000005</v>
      </c>
      <c r="E40" s="46">
        <f t="shared" si="15"/>
        <v>69606.694991017896</v>
      </c>
      <c r="F40" s="46">
        <f t="shared" si="15"/>
        <v>70565.791146035772</v>
      </c>
      <c r="G40" s="46">
        <f t="shared" ref="G40:H40" si="55">G19</f>
        <v>71524.887301053663</v>
      </c>
      <c r="H40" s="46">
        <f t="shared" si="55"/>
        <v>72483.983456071554</v>
      </c>
      <c r="I40" s="46">
        <f t="shared" ref="I40:J40" si="56">I19</f>
        <v>73443.07961108943</v>
      </c>
      <c r="J40" s="46">
        <f t="shared" si="56"/>
        <v>73907.456130111386</v>
      </c>
      <c r="K40" s="46">
        <f t="shared" si="17"/>
        <v>75764.962206199198</v>
      </c>
      <c r="L40" s="46">
        <f t="shared" si="17"/>
        <v>73706.189237236598</v>
      </c>
      <c r="M40" s="46">
        <f t="shared" si="17"/>
        <v>71055.973921317083</v>
      </c>
      <c r="N40" s="46">
        <f t="shared" si="17"/>
        <v>67578.640789387762</v>
      </c>
      <c r="O40" s="46">
        <f t="shared" si="17"/>
        <v>63993.907502181821</v>
      </c>
      <c r="P40" s="59">
        <f t="shared" ref="P40:R40" si="57">P19*(1-P60)</f>
        <v>59190.628809012938</v>
      </c>
      <c r="Q40" s="59">
        <f t="shared" si="57"/>
        <v>54331.055131017645</v>
      </c>
      <c r="R40" s="60">
        <f t="shared" si="57"/>
        <v>49509.385234166191</v>
      </c>
      <c r="T40" s="43"/>
      <c r="U40" s="43"/>
      <c r="V40" s="43"/>
      <c r="W40" s="43"/>
      <c r="X40" s="43"/>
      <c r="Y40" s="43"/>
    </row>
    <row r="41" spans="3:25" ht="19.5" customHeight="1" thickTop="1" thickBot="1" x14ac:dyDescent="0.25">
      <c r="C41" s="20" t="s">
        <v>24</v>
      </c>
      <c r="D41" s="48">
        <f t="shared" ref="D41:O41" si="58">SUM(D27:D40)</f>
        <v>2769927.1883470002</v>
      </c>
      <c r="E41" s="48">
        <f t="shared" si="58"/>
        <v>2839351.3892665738</v>
      </c>
      <c r="F41" s="48">
        <f t="shared" si="58"/>
        <v>2908775.590186148</v>
      </c>
      <c r="G41" s="48">
        <f t="shared" si="58"/>
        <v>2978199.7911057225</v>
      </c>
      <c r="H41" s="48">
        <f t="shared" si="58"/>
        <v>3047623.9920252957</v>
      </c>
      <c r="I41" s="48">
        <f t="shared" si="58"/>
        <v>3117048.1929448694</v>
      </c>
      <c r="J41" s="48">
        <f t="shared" ref="J41" si="59">SUM(J27:J40)</f>
        <v>3169799.7959984993</v>
      </c>
      <c r="K41" s="48">
        <f t="shared" si="58"/>
        <v>3380806.2082130169</v>
      </c>
      <c r="L41" s="48">
        <f t="shared" si="58"/>
        <v>3416562.8738169386</v>
      </c>
      <c r="M41" s="48">
        <f t="shared" si="58"/>
        <v>3409493.7992902943</v>
      </c>
      <c r="N41" s="48">
        <f t="shared" si="58"/>
        <v>3358299.4611232029</v>
      </c>
      <c r="O41" s="48">
        <f t="shared" si="58"/>
        <v>3293222.2374256426</v>
      </c>
      <c r="P41" s="62">
        <f t="shared" ref="P41:R41" si="60">SUM(P27:P40)</f>
        <v>3157827.3335258882</v>
      </c>
      <c r="Q41" s="62">
        <f t="shared" si="60"/>
        <v>3005917.7822537487</v>
      </c>
      <c r="R41" s="63">
        <f t="shared" si="60"/>
        <v>2841512.0836372236</v>
      </c>
      <c r="T41" s="43"/>
      <c r="U41" s="43"/>
      <c r="V41" s="43"/>
      <c r="W41" s="43"/>
      <c r="X41" s="43"/>
      <c r="Y41" s="43"/>
    </row>
    <row r="42" spans="3:25" ht="14" thickTop="1" x14ac:dyDescent="0.15">
      <c r="P42" s="53"/>
      <c r="Q42" s="53"/>
      <c r="R42" s="53"/>
    </row>
    <row r="43" spans="3:25" ht="14" thickBot="1" x14ac:dyDescent="0.2"/>
    <row r="44" spans="3:25" ht="17" thickTop="1" x14ac:dyDescent="0.2">
      <c r="C44" s="32" t="s">
        <v>134</v>
      </c>
      <c r="D44" s="34"/>
      <c r="E44" s="33"/>
      <c r="F44" s="33"/>
      <c r="G44" s="33"/>
      <c r="H44" s="33"/>
      <c r="I44" s="34"/>
      <c r="J44" s="34"/>
      <c r="K44" s="34"/>
      <c r="L44" s="34"/>
      <c r="M44" s="34"/>
      <c r="N44" s="34"/>
      <c r="O44" s="34"/>
      <c r="P44" s="34"/>
      <c r="Q44" s="34"/>
      <c r="R44" s="35"/>
    </row>
    <row r="45" spans="3:25" ht="14" thickBot="1" x14ac:dyDescent="0.2">
      <c r="C45" s="18"/>
      <c r="D45" s="65" t="s">
        <v>25</v>
      </c>
      <c r="E45" s="65" t="s">
        <v>37</v>
      </c>
      <c r="F45" s="65" t="s">
        <v>38</v>
      </c>
      <c r="G45" s="37" t="s">
        <v>177</v>
      </c>
      <c r="H45" s="37" t="s">
        <v>178</v>
      </c>
      <c r="I45" s="65" t="s">
        <v>26</v>
      </c>
      <c r="J45" s="65"/>
      <c r="K45" s="65" t="s">
        <v>27</v>
      </c>
      <c r="L45" s="65" t="s">
        <v>28</v>
      </c>
      <c r="M45" s="65" t="s">
        <v>29</v>
      </c>
      <c r="N45" s="65" t="s">
        <v>30</v>
      </c>
      <c r="O45" s="65" t="s">
        <v>31</v>
      </c>
      <c r="P45" s="37" t="s">
        <v>174</v>
      </c>
      <c r="Q45" s="37" t="s">
        <v>175</v>
      </c>
      <c r="R45" s="38" t="s">
        <v>176</v>
      </c>
    </row>
    <row r="46" spans="3:25" ht="15" thickTop="1" thickBot="1" x14ac:dyDescent="0.2">
      <c r="C46" s="70"/>
      <c r="D46" s="71" t="s">
        <v>39</v>
      </c>
      <c r="E46" s="71" t="s">
        <v>39</v>
      </c>
      <c r="F46" s="71" t="s">
        <v>39</v>
      </c>
      <c r="G46" s="65" t="s">
        <v>39</v>
      </c>
      <c r="H46" s="65" t="s">
        <v>39</v>
      </c>
      <c r="I46" s="71" t="s">
        <v>39</v>
      </c>
      <c r="J46" s="71" t="s">
        <v>39</v>
      </c>
      <c r="K46" s="71" t="s">
        <v>32</v>
      </c>
      <c r="L46" s="71" t="s">
        <v>32</v>
      </c>
      <c r="M46" s="71" t="s">
        <v>32</v>
      </c>
      <c r="N46" s="71" t="s">
        <v>32</v>
      </c>
      <c r="O46" s="71" t="s">
        <v>32</v>
      </c>
      <c r="P46" s="65" t="s">
        <v>32</v>
      </c>
      <c r="Q46" s="65" t="s">
        <v>32</v>
      </c>
      <c r="R46" s="66" t="s">
        <v>32</v>
      </c>
    </row>
    <row r="47" spans="3:25" ht="17" thickTop="1" x14ac:dyDescent="0.2">
      <c r="C47" s="24" t="s">
        <v>0</v>
      </c>
      <c r="D47" s="67">
        <v>0</v>
      </c>
      <c r="E47" s="68">
        <v>0</v>
      </c>
      <c r="F47" s="68">
        <v>0</v>
      </c>
      <c r="G47" s="68">
        <v>0</v>
      </c>
      <c r="H47" s="68">
        <v>0</v>
      </c>
      <c r="I47" s="68">
        <v>0</v>
      </c>
      <c r="J47" s="68">
        <v>0</v>
      </c>
      <c r="K47" s="178">
        <f>'[12]Other Assumptions'!K6</f>
        <v>0</v>
      </c>
      <c r="L47" s="178">
        <f>'[12]Other Assumptions'!L6</f>
        <v>0.05</v>
      </c>
      <c r="M47" s="178">
        <f>'[12]Other Assumptions'!M6</f>
        <v>0.1</v>
      </c>
      <c r="N47" s="178">
        <f>'[12]Other Assumptions'!N6</f>
        <v>0.15</v>
      </c>
      <c r="O47" s="178">
        <f>'[12]Other Assumptions'!O6</f>
        <v>0.2</v>
      </c>
      <c r="P47" s="68">
        <f>'[12]Other Assumptions'!P6</f>
        <v>0.25</v>
      </c>
      <c r="Q47" s="68">
        <f>'[12]Other Assumptions'!Q6</f>
        <v>0.3</v>
      </c>
      <c r="R47" s="69">
        <f>'[12]Other Assumptions'!R6</f>
        <v>0.35</v>
      </c>
    </row>
    <row r="48" spans="3:25" ht="16" x14ac:dyDescent="0.2">
      <c r="C48" s="24" t="s">
        <v>1</v>
      </c>
      <c r="D48" s="149">
        <v>0</v>
      </c>
      <c r="E48" s="150">
        <v>0</v>
      </c>
      <c r="F48" s="150">
        <v>0</v>
      </c>
      <c r="G48" s="150">
        <v>0</v>
      </c>
      <c r="H48" s="150">
        <v>0</v>
      </c>
      <c r="I48" s="150">
        <v>0</v>
      </c>
      <c r="J48" s="150">
        <v>0</v>
      </c>
      <c r="K48" s="169">
        <f>'[12]Other Assumptions'!K7</f>
        <v>0</v>
      </c>
      <c r="L48" s="169">
        <f>'[12]Other Assumptions'!L7</f>
        <v>0.05</v>
      </c>
      <c r="M48" s="169">
        <f>'[12]Other Assumptions'!M7</f>
        <v>0.1</v>
      </c>
      <c r="N48" s="169">
        <f>'[12]Other Assumptions'!N7</f>
        <v>0.15</v>
      </c>
      <c r="O48" s="169">
        <f>'[12]Other Assumptions'!O7</f>
        <v>0.2</v>
      </c>
      <c r="P48" s="150">
        <f>'[12]Other Assumptions'!P7</f>
        <v>0.25</v>
      </c>
      <c r="Q48" s="150">
        <f>'[12]Other Assumptions'!Q7</f>
        <v>0.3</v>
      </c>
      <c r="R48" s="192">
        <f>'[12]Other Assumptions'!R7</f>
        <v>0.35</v>
      </c>
    </row>
    <row r="49" spans="3:18" ht="16" x14ac:dyDescent="0.2">
      <c r="C49" s="24" t="s">
        <v>2</v>
      </c>
      <c r="D49" s="149">
        <v>0</v>
      </c>
      <c r="E49" s="150">
        <v>0</v>
      </c>
      <c r="F49" s="150">
        <v>0</v>
      </c>
      <c r="G49" s="150">
        <v>0</v>
      </c>
      <c r="H49" s="150">
        <v>0</v>
      </c>
      <c r="I49" s="150">
        <v>0</v>
      </c>
      <c r="J49" s="150">
        <v>0</v>
      </c>
      <c r="K49" s="169">
        <f>'[12]Other Assumptions'!K8</f>
        <v>0</v>
      </c>
      <c r="L49" s="169">
        <f>'[12]Other Assumptions'!L8</f>
        <v>0.05</v>
      </c>
      <c r="M49" s="169">
        <f>'[12]Other Assumptions'!M8</f>
        <v>0.1</v>
      </c>
      <c r="N49" s="169">
        <f>'[12]Other Assumptions'!N8</f>
        <v>0.15</v>
      </c>
      <c r="O49" s="169">
        <f>'[12]Other Assumptions'!O8</f>
        <v>0.2</v>
      </c>
      <c r="P49" s="150">
        <f>'[12]Other Assumptions'!P8</f>
        <v>0.25</v>
      </c>
      <c r="Q49" s="150">
        <f>'[12]Other Assumptions'!Q8</f>
        <v>0.3</v>
      </c>
      <c r="R49" s="192">
        <f>'[12]Other Assumptions'!R8</f>
        <v>0.35</v>
      </c>
    </row>
    <row r="50" spans="3:18" ht="16" x14ac:dyDescent="0.2">
      <c r="C50" s="24" t="s">
        <v>3</v>
      </c>
      <c r="D50" s="149">
        <v>0</v>
      </c>
      <c r="E50" s="150">
        <v>0</v>
      </c>
      <c r="F50" s="150">
        <v>0</v>
      </c>
      <c r="G50" s="150">
        <v>0</v>
      </c>
      <c r="H50" s="150">
        <v>0</v>
      </c>
      <c r="I50" s="150">
        <v>0</v>
      </c>
      <c r="J50" s="150">
        <v>0</v>
      </c>
      <c r="K50" s="169">
        <f>'[12]Other Assumptions'!K9</f>
        <v>0</v>
      </c>
      <c r="L50" s="169">
        <f>'[12]Other Assumptions'!L9</f>
        <v>0.05</v>
      </c>
      <c r="M50" s="169">
        <f>'[12]Other Assumptions'!M9</f>
        <v>0.1</v>
      </c>
      <c r="N50" s="169">
        <f>'[12]Other Assumptions'!N9</f>
        <v>0.15</v>
      </c>
      <c r="O50" s="169">
        <f>'[12]Other Assumptions'!O9</f>
        <v>0.2</v>
      </c>
      <c r="P50" s="150">
        <f>'[12]Other Assumptions'!P9</f>
        <v>0.25</v>
      </c>
      <c r="Q50" s="150">
        <f>'[12]Other Assumptions'!Q9</f>
        <v>0.3</v>
      </c>
      <c r="R50" s="192">
        <f>'[12]Other Assumptions'!R9</f>
        <v>0.35</v>
      </c>
    </row>
    <row r="51" spans="3:18" ht="16" x14ac:dyDescent="0.2">
      <c r="C51" s="24" t="s">
        <v>4</v>
      </c>
      <c r="D51" s="149">
        <v>0</v>
      </c>
      <c r="E51" s="150">
        <v>0</v>
      </c>
      <c r="F51" s="150">
        <v>0</v>
      </c>
      <c r="G51" s="150">
        <v>0</v>
      </c>
      <c r="H51" s="150">
        <v>0</v>
      </c>
      <c r="I51" s="150">
        <v>0</v>
      </c>
      <c r="J51" s="150">
        <v>0</v>
      </c>
      <c r="K51" s="169">
        <f>'[12]Other Assumptions'!K10</f>
        <v>0</v>
      </c>
      <c r="L51" s="169">
        <f>'[12]Other Assumptions'!L10</f>
        <v>0.05</v>
      </c>
      <c r="M51" s="169">
        <f>'[12]Other Assumptions'!M10</f>
        <v>0.1</v>
      </c>
      <c r="N51" s="169">
        <f>'[12]Other Assumptions'!N10</f>
        <v>0.15</v>
      </c>
      <c r="O51" s="169">
        <f>'[12]Other Assumptions'!O10</f>
        <v>0.2</v>
      </c>
      <c r="P51" s="150">
        <f>'[12]Other Assumptions'!P10</f>
        <v>0.25</v>
      </c>
      <c r="Q51" s="150">
        <f>'[12]Other Assumptions'!Q10</f>
        <v>0.3</v>
      </c>
      <c r="R51" s="192">
        <f>'[12]Other Assumptions'!R10</f>
        <v>0.35</v>
      </c>
    </row>
    <row r="52" spans="3:18" ht="16" x14ac:dyDescent="0.2">
      <c r="C52" s="24" t="s">
        <v>5</v>
      </c>
      <c r="D52" s="149">
        <v>0</v>
      </c>
      <c r="E52" s="150">
        <v>0</v>
      </c>
      <c r="F52" s="150">
        <v>0</v>
      </c>
      <c r="G52" s="150">
        <v>0</v>
      </c>
      <c r="H52" s="150">
        <v>0</v>
      </c>
      <c r="I52" s="150">
        <v>0</v>
      </c>
      <c r="J52" s="150">
        <v>0</v>
      </c>
      <c r="K52" s="169">
        <f>'[12]Other Assumptions'!K11</f>
        <v>0</v>
      </c>
      <c r="L52" s="169">
        <f>'[12]Other Assumptions'!L11</f>
        <v>0.05</v>
      </c>
      <c r="M52" s="169">
        <f>'[12]Other Assumptions'!M11</f>
        <v>0.1</v>
      </c>
      <c r="N52" s="169">
        <f>'[12]Other Assumptions'!N11</f>
        <v>0.15</v>
      </c>
      <c r="O52" s="169">
        <f>'[12]Other Assumptions'!O11</f>
        <v>0.2</v>
      </c>
      <c r="P52" s="150">
        <f>'[12]Other Assumptions'!P11</f>
        <v>0.25</v>
      </c>
      <c r="Q52" s="150">
        <f>'[12]Other Assumptions'!Q11</f>
        <v>0.3</v>
      </c>
      <c r="R52" s="192">
        <f>'[12]Other Assumptions'!R11</f>
        <v>0.35</v>
      </c>
    </row>
    <row r="53" spans="3:18" ht="16" x14ac:dyDescent="0.2">
      <c r="C53" s="24" t="s">
        <v>6</v>
      </c>
      <c r="D53" s="149">
        <v>0</v>
      </c>
      <c r="E53" s="150">
        <v>0</v>
      </c>
      <c r="F53" s="150">
        <v>0</v>
      </c>
      <c r="G53" s="150">
        <v>0</v>
      </c>
      <c r="H53" s="150">
        <v>0</v>
      </c>
      <c r="I53" s="150">
        <v>0</v>
      </c>
      <c r="J53" s="150">
        <v>0</v>
      </c>
      <c r="K53" s="169">
        <f>'[12]Other Assumptions'!K12</f>
        <v>0</v>
      </c>
      <c r="L53" s="169">
        <f>'[12]Other Assumptions'!L12</f>
        <v>0.05</v>
      </c>
      <c r="M53" s="169">
        <f>'[12]Other Assumptions'!M12</f>
        <v>0.1</v>
      </c>
      <c r="N53" s="169">
        <f>'[12]Other Assumptions'!N12</f>
        <v>0.15</v>
      </c>
      <c r="O53" s="169">
        <f>'[12]Other Assumptions'!O12</f>
        <v>0.2</v>
      </c>
      <c r="P53" s="150">
        <f>'[12]Other Assumptions'!P12</f>
        <v>0.25</v>
      </c>
      <c r="Q53" s="150">
        <f>'[12]Other Assumptions'!Q12</f>
        <v>0.3</v>
      </c>
      <c r="R53" s="192">
        <f>'[12]Other Assumptions'!R12</f>
        <v>0.35</v>
      </c>
    </row>
    <row r="54" spans="3:18" ht="16" x14ac:dyDescent="0.2">
      <c r="C54" s="24" t="s">
        <v>7</v>
      </c>
      <c r="D54" s="149">
        <v>0</v>
      </c>
      <c r="E54" s="150">
        <v>0</v>
      </c>
      <c r="F54" s="150">
        <v>0</v>
      </c>
      <c r="G54" s="150">
        <v>0</v>
      </c>
      <c r="H54" s="150">
        <v>0</v>
      </c>
      <c r="I54" s="150">
        <v>0</v>
      </c>
      <c r="J54" s="150">
        <v>0</v>
      </c>
      <c r="K54" s="169">
        <f>'[12]Other Assumptions'!K13</f>
        <v>0</v>
      </c>
      <c r="L54" s="169">
        <f>'[12]Other Assumptions'!L13</f>
        <v>0.05</v>
      </c>
      <c r="M54" s="169">
        <f>'[12]Other Assumptions'!M13</f>
        <v>0.1</v>
      </c>
      <c r="N54" s="169">
        <f>'[12]Other Assumptions'!N13</f>
        <v>0.15</v>
      </c>
      <c r="O54" s="169">
        <f>'[12]Other Assumptions'!O13</f>
        <v>0.2</v>
      </c>
      <c r="P54" s="150">
        <f>'[12]Other Assumptions'!P13</f>
        <v>0.25</v>
      </c>
      <c r="Q54" s="150">
        <f>'[12]Other Assumptions'!Q13</f>
        <v>0.3</v>
      </c>
      <c r="R54" s="192">
        <f>'[12]Other Assumptions'!R13</f>
        <v>0.35</v>
      </c>
    </row>
    <row r="55" spans="3:18" ht="16" x14ac:dyDescent="0.2">
      <c r="C55" s="24" t="s">
        <v>8</v>
      </c>
      <c r="D55" s="149">
        <v>0</v>
      </c>
      <c r="E55" s="150">
        <v>0</v>
      </c>
      <c r="F55" s="150">
        <v>0</v>
      </c>
      <c r="G55" s="150">
        <v>0</v>
      </c>
      <c r="H55" s="150">
        <v>0</v>
      </c>
      <c r="I55" s="150">
        <v>0</v>
      </c>
      <c r="J55" s="150">
        <v>0</v>
      </c>
      <c r="K55" s="169">
        <f>'[12]Other Assumptions'!K14</f>
        <v>0</v>
      </c>
      <c r="L55" s="169">
        <f>'[12]Other Assumptions'!L14</f>
        <v>0.05</v>
      </c>
      <c r="M55" s="169">
        <f>'[12]Other Assumptions'!M14</f>
        <v>0.1</v>
      </c>
      <c r="N55" s="169">
        <f>'[12]Other Assumptions'!N14</f>
        <v>0.15</v>
      </c>
      <c r="O55" s="169">
        <f>'[12]Other Assumptions'!O14</f>
        <v>0.2</v>
      </c>
      <c r="P55" s="150">
        <f>'[12]Other Assumptions'!P14</f>
        <v>0.25</v>
      </c>
      <c r="Q55" s="150">
        <f>'[12]Other Assumptions'!Q14</f>
        <v>0.3</v>
      </c>
      <c r="R55" s="192">
        <f>'[12]Other Assumptions'!R14</f>
        <v>0.35</v>
      </c>
    </row>
    <row r="56" spans="3:18" ht="16" x14ac:dyDescent="0.2">
      <c r="C56" s="24" t="s">
        <v>9</v>
      </c>
      <c r="D56" s="149">
        <v>0</v>
      </c>
      <c r="E56" s="150">
        <v>0</v>
      </c>
      <c r="F56" s="150">
        <v>0</v>
      </c>
      <c r="G56" s="150">
        <v>0</v>
      </c>
      <c r="H56" s="150">
        <v>0</v>
      </c>
      <c r="I56" s="150">
        <v>0</v>
      </c>
      <c r="J56" s="150">
        <v>0</v>
      </c>
      <c r="K56" s="169">
        <f>'[12]Other Assumptions'!K15</f>
        <v>0</v>
      </c>
      <c r="L56" s="169">
        <f>'[12]Other Assumptions'!L15</f>
        <v>0.05</v>
      </c>
      <c r="M56" s="169">
        <f>'[12]Other Assumptions'!M15</f>
        <v>0.1</v>
      </c>
      <c r="N56" s="169">
        <f>'[12]Other Assumptions'!N15</f>
        <v>0.15</v>
      </c>
      <c r="O56" s="169">
        <f>'[12]Other Assumptions'!O15</f>
        <v>0.2</v>
      </c>
      <c r="P56" s="150">
        <f>'[12]Other Assumptions'!P15</f>
        <v>0.25</v>
      </c>
      <c r="Q56" s="150">
        <f>'[12]Other Assumptions'!Q15</f>
        <v>0.3</v>
      </c>
      <c r="R56" s="192">
        <f>'[12]Other Assumptions'!R15</f>
        <v>0.35</v>
      </c>
    </row>
    <row r="57" spans="3:18" ht="16" x14ac:dyDescent="0.2">
      <c r="C57" s="24" t="s">
        <v>10</v>
      </c>
      <c r="D57" s="149">
        <v>0</v>
      </c>
      <c r="E57" s="150">
        <v>0</v>
      </c>
      <c r="F57" s="150">
        <v>0</v>
      </c>
      <c r="G57" s="150">
        <v>0</v>
      </c>
      <c r="H57" s="150">
        <v>0</v>
      </c>
      <c r="I57" s="150">
        <v>0</v>
      </c>
      <c r="J57" s="150">
        <v>0</v>
      </c>
      <c r="K57" s="169">
        <f>'[12]Other Assumptions'!K16</f>
        <v>0</v>
      </c>
      <c r="L57" s="169">
        <f>'[12]Other Assumptions'!L16</f>
        <v>0.05</v>
      </c>
      <c r="M57" s="169">
        <f>'[12]Other Assumptions'!M16</f>
        <v>0.1</v>
      </c>
      <c r="N57" s="169">
        <f>'[12]Other Assumptions'!N16</f>
        <v>0.15</v>
      </c>
      <c r="O57" s="169">
        <f>'[12]Other Assumptions'!O16</f>
        <v>0.2</v>
      </c>
      <c r="P57" s="150">
        <f>'[12]Other Assumptions'!P16</f>
        <v>0.25</v>
      </c>
      <c r="Q57" s="150">
        <f>'[12]Other Assumptions'!Q16</f>
        <v>0.3</v>
      </c>
      <c r="R57" s="192">
        <f>'[12]Other Assumptions'!R16</f>
        <v>0.35</v>
      </c>
    </row>
    <row r="58" spans="3:18" ht="16" x14ac:dyDescent="0.2">
      <c r="C58" s="24" t="s">
        <v>11</v>
      </c>
      <c r="D58" s="149">
        <v>0</v>
      </c>
      <c r="E58" s="150">
        <v>0</v>
      </c>
      <c r="F58" s="150">
        <v>0</v>
      </c>
      <c r="G58" s="150">
        <v>0</v>
      </c>
      <c r="H58" s="150">
        <v>0</v>
      </c>
      <c r="I58" s="150">
        <v>0</v>
      </c>
      <c r="J58" s="150">
        <v>0</v>
      </c>
      <c r="K58" s="169">
        <f>'[12]Other Assumptions'!K17</f>
        <v>0</v>
      </c>
      <c r="L58" s="169">
        <f>'[12]Other Assumptions'!L17</f>
        <v>0.05</v>
      </c>
      <c r="M58" s="169">
        <f>'[12]Other Assumptions'!M17</f>
        <v>0.1</v>
      </c>
      <c r="N58" s="169">
        <f>'[12]Other Assumptions'!N17</f>
        <v>0.15</v>
      </c>
      <c r="O58" s="169">
        <f>'[12]Other Assumptions'!O17</f>
        <v>0.2</v>
      </c>
      <c r="P58" s="150">
        <f>'[12]Other Assumptions'!P17</f>
        <v>0.25</v>
      </c>
      <c r="Q58" s="150">
        <f>'[12]Other Assumptions'!Q17</f>
        <v>0.3</v>
      </c>
      <c r="R58" s="192">
        <f>'[12]Other Assumptions'!R17</f>
        <v>0.35</v>
      </c>
    </row>
    <row r="59" spans="3:18" ht="16" x14ac:dyDescent="0.2">
      <c r="C59" s="24" t="s">
        <v>12</v>
      </c>
      <c r="D59" s="149">
        <v>0</v>
      </c>
      <c r="E59" s="150">
        <v>0</v>
      </c>
      <c r="F59" s="150">
        <v>0</v>
      </c>
      <c r="G59" s="150">
        <v>0</v>
      </c>
      <c r="H59" s="150">
        <v>0</v>
      </c>
      <c r="I59" s="150">
        <v>0</v>
      </c>
      <c r="J59" s="150">
        <v>0</v>
      </c>
      <c r="K59" s="169">
        <f>'[12]Other Assumptions'!K18</f>
        <v>0</v>
      </c>
      <c r="L59" s="169">
        <f>'[12]Other Assumptions'!L18</f>
        <v>0.05</v>
      </c>
      <c r="M59" s="169">
        <f>'[12]Other Assumptions'!M18</f>
        <v>0.1</v>
      </c>
      <c r="N59" s="169">
        <f>'[12]Other Assumptions'!N18</f>
        <v>0.15</v>
      </c>
      <c r="O59" s="169">
        <f>'[12]Other Assumptions'!O18</f>
        <v>0.2</v>
      </c>
      <c r="P59" s="150">
        <f>'[12]Other Assumptions'!P18</f>
        <v>0.25</v>
      </c>
      <c r="Q59" s="150">
        <f>'[12]Other Assumptions'!Q18</f>
        <v>0.3</v>
      </c>
      <c r="R59" s="192">
        <f>'[12]Other Assumptions'!R18</f>
        <v>0.35</v>
      </c>
    </row>
    <row r="60" spans="3:18" ht="17" thickBot="1" x14ac:dyDescent="0.25">
      <c r="C60" s="25" t="s">
        <v>13</v>
      </c>
      <c r="D60" s="151">
        <v>0</v>
      </c>
      <c r="E60" s="152">
        <v>0</v>
      </c>
      <c r="F60" s="152">
        <v>0</v>
      </c>
      <c r="G60" s="152">
        <v>0</v>
      </c>
      <c r="H60" s="152">
        <v>0</v>
      </c>
      <c r="I60" s="152">
        <v>0</v>
      </c>
      <c r="J60" s="152">
        <v>0</v>
      </c>
      <c r="K60" s="179">
        <f>'[12]Other Assumptions'!K19</f>
        <v>0</v>
      </c>
      <c r="L60" s="179">
        <f>'[12]Other Assumptions'!L19</f>
        <v>0.05</v>
      </c>
      <c r="M60" s="179">
        <f>'[12]Other Assumptions'!M19</f>
        <v>0.1</v>
      </c>
      <c r="N60" s="179">
        <f>'[12]Other Assumptions'!N19</f>
        <v>0.15</v>
      </c>
      <c r="O60" s="179">
        <f>'[12]Other Assumptions'!O19</f>
        <v>0.2</v>
      </c>
      <c r="P60" s="152">
        <f>'[12]Other Assumptions'!P19</f>
        <v>0.25</v>
      </c>
      <c r="Q60" s="152">
        <f>'[12]Other Assumptions'!Q19</f>
        <v>0.3</v>
      </c>
      <c r="R60" s="193">
        <f>'[12]Other Assumptions'!R19</f>
        <v>0.35</v>
      </c>
    </row>
    <row r="61" spans="3:18" ht="14" thickTop="1" x14ac:dyDescent="0.15"/>
    <row r="62" spans="3:18" ht="14" thickBot="1" x14ac:dyDescent="0.2"/>
    <row r="63" spans="3:18" ht="17" thickTop="1" x14ac:dyDescent="0.2">
      <c r="C63" s="32" t="s">
        <v>136</v>
      </c>
      <c r="D63" s="34"/>
      <c r="E63" s="33"/>
      <c r="F63" s="33"/>
      <c r="G63" s="33"/>
      <c r="H63" s="33"/>
      <c r="I63" s="34"/>
      <c r="J63" s="34"/>
      <c r="K63" s="34"/>
      <c r="L63" s="34"/>
      <c r="M63" s="34"/>
      <c r="N63" s="34"/>
      <c r="O63" s="53"/>
      <c r="P63" s="34"/>
      <c r="Q63" s="34"/>
      <c r="R63" s="35"/>
    </row>
    <row r="64" spans="3:18" ht="14" thickBot="1" x14ac:dyDescent="0.2">
      <c r="C64" s="18"/>
      <c r="D64" s="65" t="s">
        <v>25</v>
      </c>
      <c r="E64" s="65" t="s">
        <v>37</v>
      </c>
      <c r="F64" s="65" t="s">
        <v>38</v>
      </c>
      <c r="G64" s="37" t="s">
        <v>177</v>
      </c>
      <c r="H64" s="37" t="s">
        <v>178</v>
      </c>
      <c r="I64" s="65" t="s">
        <v>26</v>
      </c>
      <c r="J64" s="65"/>
      <c r="K64" s="65" t="s">
        <v>27</v>
      </c>
      <c r="L64" s="65" t="s">
        <v>28</v>
      </c>
      <c r="M64" s="65" t="s">
        <v>29</v>
      </c>
      <c r="N64" s="65" t="s">
        <v>30</v>
      </c>
      <c r="O64" s="65" t="s">
        <v>31</v>
      </c>
      <c r="P64" s="37" t="s">
        <v>174</v>
      </c>
      <c r="Q64" s="37" t="s">
        <v>175</v>
      </c>
      <c r="R64" s="38" t="s">
        <v>176</v>
      </c>
    </row>
    <row r="65" spans="3:20" ht="15" thickTop="1" thickBot="1" x14ac:dyDescent="0.2">
      <c r="C65" s="70"/>
      <c r="D65" s="71" t="s">
        <v>39</v>
      </c>
      <c r="E65" s="71" t="s">
        <v>39</v>
      </c>
      <c r="F65" s="71" t="s">
        <v>39</v>
      </c>
      <c r="G65" s="65" t="s">
        <v>39</v>
      </c>
      <c r="H65" s="65" t="s">
        <v>39</v>
      </c>
      <c r="I65" s="71" t="s">
        <v>39</v>
      </c>
      <c r="J65" s="71" t="s">
        <v>39</v>
      </c>
      <c r="K65" s="71" t="s">
        <v>32</v>
      </c>
      <c r="L65" s="71" t="s">
        <v>32</v>
      </c>
      <c r="M65" s="71" t="s">
        <v>32</v>
      </c>
      <c r="N65" s="71" t="s">
        <v>32</v>
      </c>
      <c r="O65" s="71" t="s">
        <v>32</v>
      </c>
      <c r="P65" s="65" t="s">
        <v>32</v>
      </c>
      <c r="Q65" s="65" t="s">
        <v>32</v>
      </c>
      <c r="R65" s="66" t="s">
        <v>32</v>
      </c>
    </row>
    <row r="66" spans="3:20" ht="17" thickTop="1" x14ac:dyDescent="0.2">
      <c r="C66" s="24" t="s">
        <v>0</v>
      </c>
      <c r="D66" s="52">
        <f>'Car+SUV'!D7*('[1]12_13 fleet'!$D287/'Original 2012-13 Data'!$C6)/1000000</f>
        <v>141.26262811366777</v>
      </c>
      <c r="E66" s="53">
        <f>'Car+SUV'!E7*('[2]13_14 fleet'!$D289/'Original 2013-14 Data'!$C6)/1000000</f>
        <v>147.36766217047045</v>
      </c>
      <c r="F66" s="53">
        <f>'Car+SUV'!F7*('[3]14_15 fleet'!$D289/'Original 2014-15 Data'!$C6)/1000000</f>
        <v>143.20240717260239</v>
      </c>
      <c r="G66" s="53">
        <f>'Car+SUV'!G7*('[4]15_16 fleet'!$D289/'Original 2015-16 Data'!$C6)/1000000</f>
        <v>137.36004809687591</v>
      </c>
      <c r="H66" s="53">
        <f>'Car+SUV'!H7*('[5]16_17 fleet_v2'!$D289/'Original 2016-17 Data'!$C6)/1000000</f>
        <v>148.84539602487905</v>
      </c>
      <c r="I66" s="53">
        <f>'Car+SUV'!I7*('[6]17_18 fleet_v3'!$D339/'Original 2017-18 Data'!$C6)/1000000</f>
        <v>159.9336117942878</v>
      </c>
      <c r="J66" s="53">
        <f>'Car+SUV'!J7*('[7]18_19 fleet_v3'!$D339/'Original 2018-19 Data'!$C6)/1000000</f>
        <v>156.6625644797293</v>
      </c>
      <c r="K66" s="53">
        <f>$J66*'[12]Regional GDP'!K7/'[12]Regional GDP'!$I7</f>
        <v>169.50997613833687</v>
      </c>
      <c r="L66" s="53">
        <f>$J66*'[12]Regional GDP'!L7/'[12]Regional GDP'!$I7</f>
        <v>191.32573079450131</v>
      </c>
      <c r="M66" s="53">
        <f>$J66*'[12]Regional GDP'!M7/'[12]Regional GDP'!$I7</f>
        <v>207.74834123228322</v>
      </c>
      <c r="N66" s="53">
        <f>$J66*'[12]Regional GDP'!N7/'[12]Regional GDP'!$I7</f>
        <v>222.90100167829189</v>
      </c>
      <c r="O66" s="53">
        <f>$J66*'[12]Regional GDP'!O7/'[12]Regional GDP'!$I7</f>
        <v>238.79140198794119</v>
      </c>
      <c r="P66" s="53">
        <f>$J66*'[12]Regional GDP'!P7/'[12]Regional GDP'!$I7</f>
        <v>255.03846486403529</v>
      </c>
      <c r="Q66" s="53">
        <f>$J66*'[12]Regional GDP'!Q7/'[12]Regional GDP'!$I7</f>
        <v>270.1363323502199</v>
      </c>
      <c r="R66" s="54">
        <f>$J66*'[12]Regional GDP'!R7/'[12]Regional GDP'!$I7</f>
        <v>283.2454588516286</v>
      </c>
      <c r="S66" s="172"/>
      <c r="T66" s="172"/>
    </row>
    <row r="67" spans="3:20" ht="16" x14ac:dyDescent="0.2">
      <c r="C67" s="24" t="s">
        <v>1</v>
      </c>
      <c r="D67" s="55">
        <f>'Car+SUV'!D8*('[1]12_13 fleet'!$D288/'Original 2012-13 Data'!$C7)/1000000</f>
        <v>1779.3694813204588</v>
      </c>
      <c r="E67" s="56">
        <f>'Car+SUV'!E8*('[2]13_14 fleet'!$D290/'Original 2013-14 Data'!$C7)/1000000</f>
        <v>1805.4590989449773</v>
      </c>
      <c r="F67" s="56">
        <f>'Car+SUV'!F8*('[3]14_15 fleet'!$D290/'Original 2014-15 Data'!$C7)/1000000</f>
        <v>1750.6526443500418</v>
      </c>
      <c r="G67" s="56">
        <f>'Car+SUV'!G8*('[4]15_16 fleet'!$D290/'Original 2015-16 Data'!$C7)/1000000</f>
        <v>1708.7235604575023</v>
      </c>
      <c r="H67" s="56">
        <f>'Car+SUV'!H8*('[5]16_17 fleet_v2'!$D290/'Original 2016-17 Data'!$C7)/1000000</f>
        <v>1971.5374283486256</v>
      </c>
      <c r="I67" s="56">
        <f>'Car+SUV'!I8*('[6]17_18 fleet_v3'!$D340/'Original 2017-18 Data'!$C7)/1000000</f>
        <v>1958.3060465413741</v>
      </c>
      <c r="J67" s="56">
        <f>'Car+SUV'!J8*('[7]18_19 fleet_v3'!$D340/'Original 2018-19 Data'!$C7)/1000000</f>
        <v>2010.6199261057795</v>
      </c>
      <c r="K67" s="56">
        <f>$J67*'[12]Regional GDP'!K8/'[12]Regional GDP'!$I8</f>
        <v>2286.0356563757177</v>
      </c>
      <c r="L67" s="56">
        <f>$J67*'[12]Regional GDP'!L8/'[12]Regional GDP'!$I8</f>
        <v>2684.15335580893</v>
      </c>
      <c r="M67" s="56">
        <f>$J67*'[12]Regional GDP'!M8/'[12]Regional GDP'!$I8</f>
        <v>3030.4106094921858</v>
      </c>
      <c r="N67" s="56">
        <f>$J67*'[12]Regional GDP'!N8/'[12]Regional GDP'!$I8</f>
        <v>3376.2634956684792</v>
      </c>
      <c r="O67" s="56">
        <f>$J67*'[12]Regional GDP'!O8/'[12]Regional GDP'!$I8</f>
        <v>3754.5864611612965</v>
      </c>
      <c r="P67" s="56">
        <f>$J67*'[12]Regional GDP'!P8/'[12]Regional GDP'!$I8</f>
        <v>4162.6339443366169</v>
      </c>
      <c r="Q67" s="56">
        <f>$J67*'[12]Regional GDP'!Q8/'[12]Regional GDP'!$I8</f>
        <v>4576.8285752936454</v>
      </c>
      <c r="R67" s="57">
        <f>$J67*'[12]Regional GDP'!R8/'[12]Regional GDP'!$I8</f>
        <v>4981.5410591719756</v>
      </c>
    </row>
    <row r="68" spans="3:20" ht="16" x14ac:dyDescent="0.2">
      <c r="C68" s="24" t="s">
        <v>2</v>
      </c>
      <c r="D68" s="55">
        <f>'Car+SUV'!D9*('[1]12_13 fleet'!$D289/'Original 2012-13 Data'!$C8)/1000000</f>
        <v>560.07858504956528</v>
      </c>
      <c r="E68" s="56">
        <f>'Car+SUV'!E9*('[2]13_14 fleet'!$D291/'Original 2013-14 Data'!$C8)/1000000</f>
        <v>547.56847646451286</v>
      </c>
      <c r="F68" s="56">
        <f>'Car+SUV'!F9*('[3]14_15 fleet'!$D291/'Original 2014-15 Data'!$C8)/1000000</f>
        <v>555.21567584297941</v>
      </c>
      <c r="G68" s="56">
        <f>'Car+SUV'!G9*('[4]15_16 fleet'!$D291/'Original 2015-16 Data'!$C8)/1000000</f>
        <v>544.95563258312256</v>
      </c>
      <c r="H68" s="56">
        <f>'Car+SUV'!H9*('[5]16_17 fleet_v2'!$D291/'Original 2016-17 Data'!$C8)/1000000</f>
        <v>594.57170798494383</v>
      </c>
      <c r="I68" s="56">
        <f>'Car+SUV'!I9*('[6]17_18 fleet_v3'!$D341/'Original 2017-18 Data'!$C8)/1000000</f>
        <v>623.32983185058663</v>
      </c>
      <c r="J68" s="56">
        <f>'Car+SUV'!J9*('[7]18_19 fleet_v3'!$D341/'Original 2018-19 Data'!$C8)/1000000</f>
        <v>616.40994240049918</v>
      </c>
      <c r="K68" s="56">
        <f>$J68*'[12]Regional GDP'!K9/'[12]Regional GDP'!$I9</f>
        <v>676.83199489741116</v>
      </c>
      <c r="L68" s="56">
        <f>$J68*'[12]Regional GDP'!L9/'[12]Regional GDP'!$I9</f>
        <v>774.21645921225831</v>
      </c>
      <c r="M68" s="56">
        <f>$J68*'[12]Regional GDP'!M9/'[12]Regional GDP'!$I9</f>
        <v>853.09022468595902</v>
      </c>
      <c r="N68" s="56">
        <f>$J68*'[12]Regional GDP'!N9/'[12]Regional GDP'!$I9</f>
        <v>929.37782964360565</v>
      </c>
      <c r="O68" s="56">
        <f>$J68*'[12]Regional GDP'!O9/'[12]Regional GDP'!$I9</f>
        <v>1012.0193963091029</v>
      </c>
      <c r="P68" s="56">
        <f>$J68*'[12]Regional GDP'!P9/'[12]Regional GDP'!$I9</f>
        <v>1098.6660368395746</v>
      </c>
      <c r="Q68" s="56">
        <f>$J68*'[12]Regional GDP'!Q9/'[12]Regional GDP'!$I9</f>
        <v>1182.8587197301167</v>
      </c>
      <c r="R68" s="57">
        <f>$J68*'[12]Regional GDP'!R9/'[12]Regional GDP'!$I9</f>
        <v>1260.6737071242503</v>
      </c>
    </row>
    <row r="69" spans="3:20" ht="16" x14ac:dyDescent="0.2">
      <c r="C69" s="24" t="s">
        <v>3</v>
      </c>
      <c r="D69" s="55">
        <f>'Car+SUV'!D10*('[1]12_13 fleet'!$D290/'Original 2012-13 Data'!$C9)/1000000</f>
        <v>274.41879789371825</v>
      </c>
      <c r="E69" s="56">
        <f>'Car+SUV'!E10*('[2]13_14 fleet'!$D292/'Original 2013-14 Data'!$C9)/1000000</f>
        <v>278.91289362123439</v>
      </c>
      <c r="F69" s="56">
        <f>'Car+SUV'!F10*('[3]14_15 fleet'!$D292/'Original 2014-15 Data'!$C9)/1000000</f>
        <v>265.47297835011824</v>
      </c>
      <c r="G69" s="56">
        <f>'Car+SUV'!G10*('[4]15_16 fleet'!$D292/'Original 2015-16 Data'!$C9)/1000000</f>
        <v>252.94350506099713</v>
      </c>
      <c r="H69" s="56">
        <f>'Car+SUV'!H10*('[5]16_17 fleet_v2'!$D292/'Original 2016-17 Data'!$C9)/1000000</f>
        <v>302.28052500383734</v>
      </c>
      <c r="I69" s="56">
        <f>'Car+SUV'!I10*('[6]17_18 fleet_v3'!$D342/'Original 2017-18 Data'!$C9)/1000000</f>
        <v>296.6008084200659</v>
      </c>
      <c r="J69" s="56">
        <f>'Car+SUV'!J10*('[7]18_19 fleet_v3'!$D342/'Original 2018-19 Data'!$C9)/1000000</f>
        <v>284.11240758585888</v>
      </c>
      <c r="K69" s="56">
        <f>$J69*'[12]Regional GDP'!K10/'[12]Regional GDP'!$I10</f>
        <v>309.83572113063195</v>
      </c>
      <c r="L69" s="56">
        <f>$J69*'[12]Regional GDP'!L10/'[12]Regional GDP'!$I10</f>
        <v>352.05293821875898</v>
      </c>
      <c r="M69" s="56">
        <f>$J69*'[12]Regional GDP'!M10/'[12]Regional GDP'!$I10</f>
        <v>385.42892036285707</v>
      </c>
      <c r="N69" s="56">
        <f>$J69*'[12]Regional GDP'!N10/'[12]Regional GDP'!$I10</f>
        <v>417.04669138004635</v>
      </c>
      <c r="O69" s="56">
        <f>$J69*'[12]Regional GDP'!O10/'[12]Regional GDP'!$I10</f>
        <v>451.0634865622701</v>
      </c>
      <c r="P69" s="56">
        <f>$J69*'[12]Regional GDP'!P10/'[12]Regional GDP'!$I10</f>
        <v>486.3747269037811</v>
      </c>
      <c r="Q69" s="56">
        <f>$J69*'[12]Regional GDP'!Q10/'[12]Regional GDP'!$I10</f>
        <v>520.10932549243296</v>
      </c>
      <c r="R69" s="57">
        <f>$J69*'[12]Regional GDP'!R10/'[12]Regional GDP'!$I10</f>
        <v>550.58062504798033</v>
      </c>
    </row>
    <row r="70" spans="3:20" ht="16" x14ac:dyDescent="0.2">
      <c r="C70" s="24" t="s">
        <v>4</v>
      </c>
      <c r="D70" s="55">
        <f>'Car+SUV'!D11*('[1]12_13 fleet'!$D291/'Original 2012-13 Data'!$C10)/1000000</f>
        <v>27.30869306171903</v>
      </c>
      <c r="E70" s="56">
        <f>'Car+SUV'!E11*('[2]13_14 fleet'!$D293/'Original 2013-14 Data'!$C10)/1000000</f>
        <v>27.05681267433361</v>
      </c>
      <c r="F70" s="56">
        <f>'Car+SUV'!F11*('[3]14_15 fleet'!$D293/'Original 2014-15 Data'!$C10)/1000000</f>
        <v>27.693291242003188</v>
      </c>
      <c r="G70" s="56">
        <f>'Car+SUV'!G11*('[4]15_16 fleet'!$D293/'Original 2015-16 Data'!$C10)/1000000</f>
        <v>26.430826498734035</v>
      </c>
      <c r="H70" s="56">
        <f>'Car+SUV'!H11*('[5]16_17 fleet_v2'!$D293/'Original 2016-17 Data'!$C10)/1000000</f>
        <v>25.876135456483702</v>
      </c>
      <c r="I70" s="56">
        <f>'Car+SUV'!I11*('[6]17_18 fleet_v3'!$D343/'Original 2017-18 Data'!$C10)/1000000</f>
        <v>27.24047152970649</v>
      </c>
      <c r="J70" s="56">
        <f>'Car+SUV'!J11*('[7]18_19 fleet_v3'!$D343/'Original 2018-19 Data'!$C10)/1000000</f>
        <v>27.336563404362206</v>
      </c>
      <c r="K70" s="56">
        <f>$J70*'[12]Regional GDP'!K11/'[12]Regional GDP'!$I11</f>
        <v>28.943833371006971</v>
      </c>
      <c r="L70" s="56">
        <f>$J70*'[12]Regional GDP'!L11/'[12]Regional GDP'!$I11</f>
        <v>32.136457346492371</v>
      </c>
      <c r="M70" s="56">
        <f>$J70*'[12]Regional GDP'!M11/'[12]Regional GDP'!$I11</f>
        <v>34.393083861290108</v>
      </c>
      <c r="N70" s="56">
        <f>$J70*'[12]Regional GDP'!N11/'[12]Regional GDP'!$I11</f>
        <v>36.337477049004704</v>
      </c>
      <c r="O70" s="56">
        <f>$J70*'[12]Regional GDP'!O11/'[12]Regional GDP'!$I11</f>
        <v>38.380548206931145</v>
      </c>
      <c r="P70" s="56">
        <f>$J70*'[12]Regional GDP'!P11/'[12]Regional GDP'!$I11</f>
        <v>40.415495888601917</v>
      </c>
      <c r="Q70" s="56">
        <f>$J70*'[12]Regional GDP'!Q11/'[12]Regional GDP'!$I11</f>
        <v>42.206074708665163</v>
      </c>
      <c r="R70" s="57">
        <f>$J70*'[12]Regional GDP'!R11/'[12]Regional GDP'!$I11</f>
        <v>43.63195351468876</v>
      </c>
    </row>
    <row r="71" spans="3:20" ht="16" x14ac:dyDescent="0.2">
      <c r="C71" s="24" t="s">
        <v>5</v>
      </c>
      <c r="D71" s="55">
        <f>'Car+SUV'!D12*('[1]12_13 fleet'!$D292/'Original 2012-13 Data'!$C11)/1000000</f>
        <v>141.76302835979683</v>
      </c>
      <c r="E71" s="56">
        <f>'Car+SUV'!E12*('[2]13_14 fleet'!$D294/'Original 2013-14 Data'!$C11)/1000000</f>
        <v>137.57829605064359</v>
      </c>
      <c r="F71" s="56">
        <f>'Car+SUV'!F12*('[3]14_15 fleet'!$D294/'Original 2014-15 Data'!$C11)/1000000</f>
        <v>138.81144157627637</v>
      </c>
      <c r="G71" s="56">
        <f>'Car+SUV'!G12*('[4]15_16 fleet'!$D294/'Original 2015-16 Data'!$C11)/1000000</f>
        <v>133.832811274222</v>
      </c>
      <c r="H71" s="56">
        <f>'Car+SUV'!H12*('[5]16_17 fleet_v2'!$D294/'Original 2016-17 Data'!$C11)/1000000</f>
        <v>148.2158799822765</v>
      </c>
      <c r="I71" s="56">
        <f>'Car+SUV'!I12*('[6]17_18 fleet_v3'!$D344/'Original 2017-18 Data'!$C11)/1000000</f>
        <v>152.81266965174169</v>
      </c>
      <c r="J71" s="56">
        <f>'Car+SUV'!J12*('[7]18_19 fleet_v3'!$D344/'Original 2018-19 Data'!$C11)/1000000</f>
        <v>152.22562715295041</v>
      </c>
      <c r="K71" s="56">
        <f>$J71*'[12]Regional GDP'!K12/'[12]Regional GDP'!$I12</f>
        <v>161.42156997115114</v>
      </c>
      <c r="L71" s="56">
        <f>$J71*'[12]Regional GDP'!L12/'[12]Regional GDP'!$I12</f>
        <v>179.72081806821674</v>
      </c>
      <c r="M71" s="56">
        <f>$J71*'[12]Regional GDP'!M12/'[12]Regional GDP'!$I12</f>
        <v>192.65660674615043</v>
      </c>
      <c r="N71" s="56">
        <f>$J71*'[12]Regional GDP'!N12/'[12]Regional GDP'!$I12</f>
        <v>204.19207562358608</v>
      </c>
      <c r="O71" s="56">
        <f>$J71*'[12]Regional GDP'!O12/'[12]Regional GDP'!$I12</f>
        <v>216.20986582624542</v>
      </c>
      <c r="P71" s="56">
        <f>$J71*'[12]Regional GDP'!P12/'[12]Regional GDP'!$I12</f>
        <v>228.24037160804139</v>
      </c>
      <c r="Q71" s="56">
        <f>$J71*'[12]Regional GDP'!Q12/'[12]Regional GDP'!$I12</f>
        <v>238.94598501803506</v>
      </c>
      <c r="R71" s="57">
        <f>$J71*'[12]Regional GDP'!R12/'[12]Regional GDP'!$I12</f>
        <v>247.63364621943353</v>
      </c>
    </row>
    <row r="72" spans="3:20" ht="16" x14ac:dyDescent="0.2">
      <c r="C72" s="24" t="s">
        <v>6</v>
      </c>
      <c r="D72" s="55">
        <f>'Car+SUV'!D13*('[1]12_13 fleet'!$D293/'Original 2012-13 Data'!$C12)/1000000</f>
        <v>84.745209562274127</v>
      </c>
      <c r="E72" s="56">
        <f>'Car+SUV'!E13*('[2]13_14 fleet'!$D295/'Original 2013-14 Data'!$C12)/1000000</f>
        <v>86.89162737404493</v>
      </c>
      <c r="F72" s="56">
        <f>'Car+SUV'!F13*('[3]14_15 fleet'!$D295/'Original 2014-15 Data'!$C12)/1000000</f>
        <v>86.525924771083922</v>
      </c>
      <c r="G72" s="56">
        <f>'Car+SUV'!G13*('[4]15_16 fleet'!$D295/'Original 2015-16 Data'!$C12)/1000000</f>
        <v>83.635590058695499</v>
      </c>
      <c r="H72" s="56">
        <f>'Car+SUV'!H13*('[5]16_17 fleet_v2'!$D295/'Original 2016-17 Data'!$C12)/1000000</f>
        <v>88.709538517146555</v>
      </c>
      <c r="I72" s="56">
        <f>'Car+SUV'!I13*('[6]17_18 fleet_v3'!$D345/'Original 2017-18 Data'!$C12)/1000000</f>
        <v>93.086685679264619</v>
      </c>
      <c r="J72" s="56">
        <f>'Car+SUV'!J13*('[7]18_19 fleet_v3'!$D345/'Original 2018-19 Data'!$C12)/1000000</f>
        <v>84.551295323823155</v>
      </c>
      <c r="K72" s="56">
        <f>$J72*'[12]Regional GDP'!K13/'[12]Regional GDP'!$I13</f>
        <v>90.400642037598871</v>
      </c>
      <c r="L72" s="56">
        <f>$J72*'[12]Regional GDP'!L13/'[12]Regional GDP'!$I13</f>
        <v>101.59633623029026</v>
      </c>
      <c r="M72" s="56">
        <f>$J72*'[12]Regional GDP'!M13/'[12]Regional GDP'!$I13</f>
        <v>110.06273820622351</v>
      </c>
      <c r="N72" s="56">
        <f>$J72*'[12]Regional GDP'!N13/'[12]Regional GDP'!$I13</f>
        <v>118.06662464856709</v>
      </c>
      <c r="O72" s="56">
        <f>$J72*'[12]Regional GDP'!O13/'[12]Regional GDP'!$I13</f>
        <v>126.71402838648841</v>
      </c>
      <c r="P72" s="56">
        <f>$J72*'[12]Regional GDP'!P13/'[12]Regional GDP'!$I13</f>
        <v>135.5821708141674</v>
      </c>
      <c r="Q72" s="56">
        <f>$J72*'[12]Regional GDP'!Q13/'[12]Regional GDP'!$I13</f>
        <v>143.87017826427456</v>
      </c>
      <c r="R72" s="57">
        <f>$J72*'[12]Regional GDP'!R13/'[12]Regional GDP'!$I13</f>
        <v>151.12684760286194</v>
      </c>
    </row>
    <row r="73" spans="3:20" ht="16" x14ac:dyDescent="0.2">
      <c r="C73" s="24" t="s">
        <v>7</v>
      </c>
      <c r="D73" s="55">
        <f>'Car+SUV'!D14*('[1]12_13 fleet'!$D294/'Original 2012-13 Data'!$C13)/1000000</f>
        <v>218.23147519157882</v>
      </c>
      <c r="E73" s="56">
        <f>'Car+SUV'!E14*('[2]13_14 fleet'!$D296/'Original 2013-14 Data'!$C13)/1000000</f>
        <v>222.59904800804958</v>
      </c>
      <c r="F73" s="56">
        <f>'Car+SUV'!F14*('[3]14_15 fleet'!$D296/'Original 2014-15 Data'!$C13)/1000000</f>
        <v>216.83557997778985</v>
      </c>
      <c r="G73" s="56">
        <f>'Car+SUV'!G14*('[4]15_16 fleet'!$D296/'Original 2015-16 Data'!$C13)/1000000</f>
        <v>208.09135197342349</v>
      </c>
      <c r="H73" s="56">
        <f>'Car+SUV'!H14*('[5]16_17 fleet_v2'!$D296/'Original 2016-17 Data'!$C13)/1000000</f>
        <v>221.07226508958252</v>
      </c>
      <c r="I73" s="56">
        <f>'Car+SUV'!I14*('[6]17_18 fleet_v3'!$D346/'Original 2017-18 Data'!$C13)/1000000</f>
        <v>219.33541067918955</v>
      </c>
      <c r="J73" s="56">
        <f>'Car+SUV'!J14*('[7]18_19 fleet_v3'!$D346/'Original 2018-19 Data'!$C13)/1000000</f>
        <v>213.47030786771978</v>
      </c>
      <c r="K73" s="56">
        <f>$J73*'[12]Regional GDP'!K14/'[12]Regional GDP'!$I14</f>
        <v>225.6865983677684</v>
      </c>
      <c r="L73" s="56">
        <f>$J73*'[12]Regional GDP'!L14/'[12]Regional GDP'!$I14</f>
        <v>250.50904768132565</v>
      </c>
      <c r="M73" s="56">
        <f>$J73*'[12]Regional GDP'!M14/'[12]Regional GDP'!$I14</f>
        <v>268.00830239611776</v>
      </c>
      <c r="N73" s="56">
        <f>$J73*'[12]Regional GDP'!N14/'[12]Regional GDP'!$I14</f>
        <v>283.61006996933298</v>
      </c>
      <c r="O73" s="56">
        <f>$J73*'[12]Regional GDP'!O14/'[12]Regional GDP'!$I14</f>
        <v>299.90346676452543</v>
      </c>
      <c r="P73" s="56">
        <f>$J73*'[12]Regional GDP'!P14/'[12]Regional GDP'!$I14</f>
        <v>316.17072864018894</v>
      </c>
      <c r="Q73" s="56">
        <f>$J73*'[12]Regional GDP'!Q14/'[12]Regional GDP'!$I14</f>
        <v>330.56140628734556</v>
      </c>
      <c r="R73" s="57">
        <f>$J73*'[12]Regional GDP'!R14/'[12]Regional GDP'!$I14</f>
        <v>342.12536822516603</v>
      </c>
    </row>
    <row r="74" spans="3:20" ht="16" x14ac:dyDescent="0.2">
      <c r="C74" s="24" t="s">
        <v>8</v>
      </c>
      <c r="D74" s="55">
        <f>'Car+SUV'!D15*('[1]12_13 fleet'!$D295/'Original 2012-13 Data'!$C14)/1000000</f>
        <v>389.05725540424424</v>
      </c>
      <c r="E74" s="56">
        <f>'Car+SUV'!E15*('[2]13_14 fleet'!$D297/'Original 2013-14 Data'!$C14)/1000000</f>
        <v>396.13325692537563</v>
      </c>
      <c r="F74" s="56">
        <f>'Car+SUV'!F15*('[3]14_15 fleet'!$D297/'Original 2014-15 Data'!$C14)/1000000</f>
        <v>407.76859043861577</v>
      </c>
      <c r="G74" s="56">
        <f>'Car+SUV'!G15*('[4]15_16 fleet'!$D297/'Original 2015-16 Data'!$C14)/1000000</f>
        <v>368.04630363278324</v>
      </c>
      <c r="H74" s="56">
        <f>'Car+SUV'!H15*('[5]16_17 fleet_v2'!$D297/'Original 2016-17 Data'!$C14)/1000000</f>
        <v>384.01839873871967</v>
      </c>
      <c r="I74" s="56">
        <f>'Car+SUV'!I15*('[6]17_18 fleet_v3'!$D347/'Original 2017-18 Data'!$C14)/1000000</f>
        <v>399.20660638568438</v>
      </c>
      <c r="J74" s="56">
        <f>'Car+SUV'!J15*('[7]18_19 fleet_v3'!$D347/'Original 2018-19 Data'!$C14)/1000000</f>
        <v>395.34605551381475</v>
      </c>
      <c r="K74" s="56">
        <f>$J74*'[12]Regional GDP'!K15/'[12]Regional GDP'!$I15</f>
        <v>424.76437973216207</v>
      </c>
      <c r="L74" s="56">
        <f>$J74*'[12]Regional GDP'!L15/'[12]Regional GDP'!$I15</f>
        <v>477.94626107223655</v>
      </c>
      <c r="M74" s="56">
        <f>$J74*'[12]Regional GDP'!M15/'[12]Regional GDP'!$I15</f>
        <v>518.88303985738355</v>
      </c>
      <c r="N74" s="56">
        <f>$J74*'[12]Regional GDP'!N15/'[12]Regional GDP'!$I15</f>
        <v>557.39084566687245</v>
      </c>
      <c r="O74" s="56">
        <f>$J74*'[12]Regional GDP'!O15/'[12]Regional GDP'!$I15</f>
        <v>598.23832215376865</v>
      </c>
      <c r="P74" s="56">
        <f>$J74*'[12]Regional GDP'!P15/'[12]Regional GDP'!$I15</f>
        <v>640.13115212959826</v>
      </c>
      <c r="Q74" s="56">
        <f>$J74*'[12]Regional GDP'!Q15/'[12]Regional GDP'!$I15</f>
        <v>679.28810389830892</v>
      </c>
      <c r="R74" s="57">
        <f>$J74*'[12]Regional GDP'!R15/'[12]Regional GDP'!$I15</f>
        <v>713.57840476069748</v>
      </c>
    </row>
    <row r="75" spans="3:20" ht="16" x14ac:dyDescent="0.2">
      <c r="C75" s="24" t="s">
        <v>9</v>
      </c>
      <c r="D75" s="55">
        <f>'Car+SUV'!D16*('[1]12_13 fleet'!$D296/'Original 2012-13 Data'!$C15)/1000000</f>
        <v>133.92169843201475</v>
      </c>
      <c r="E75" s="56">
        <f>'Car+SUV'!E16*('[2]13_14 fleet'!$D298/'Original 2013-14 Data'!$C15)/1000000</f>
        <v>137.32045222312735</v>
      </c>
      <c r="F75" s="56">
        <f>'Car+SUV'!F16*('[3]14_15 fleet'!$D298/'Original 2014-15 Data'!$C15)/1000000</f>
        <v>124.11205636235701</v>
      </c>
      <c r="G75" s="56">
        <f>'Car+SUV'!G16*('[4]15_16 fleet'!$D298/'Original 2015-16 Data'!$C15)/1000000</f>
        <v>141.78134028151956</v>
      </c>
      <c r="H75" s="56">
        <f>'Car+SUV'!H16*('[5]16_17 fleet_v2'!$D298/'Original 2016-17 Data'!$C15)/1000000</f>
        <v>160.13443890566549</v>
      </c>
      <c r="I75" s="56">
        <f>'Car+SUV'!I16*('[6]17_18 fleet_v3'!$D348/'Original 2017-18 Data'!$C15)/1000000</f>
        <v>186.80994319493789</v>
      </c>
      <c r="J75" s="56">
        <f>'Car+SUV'!J16*('[7]18_19 fleet_v3'!$D348/'Original 2018-19 Data'!$C15)/1000000</f>
        <v>185.53812250678769</v>
      </c>
      <c r="K75" s="56">
        <f>$J75*'[12]Regional GDP'!K16/'[12]Regional GDP'!$I16</f>
        <v>198.68892138918508</v>
      </c>
      <c r="L75" s="56">
        <f>$J75*'[12]Regional GDP'!L16/'[12]Regional GDP'!$I16</f>
        <v>222.78245401973163</v>
      </c>
      <c r="M75" s="56">
        <f>$J75*'[12]Regional GDP'!M16/'[12]Regional GDP'!$I16</f>
        <v>240.62723834203177</v>
      </c>
      <c r="N75" s="56">
        <f>$J75*'[12]Regional GDP'!N16/'[12]Regional GDP'!$I16</f>
        <v>256.81492894604673</v>
      </c>
      <c r="O75" s="56">
        <f>$J75*'[12]Regional GDP'!O16/'[12]Regional GDP'!$I16</f>
        <v>273.3945420071102</v>
      </c>
      <c r="P75" s="56">
        <f>$J75*'[12]Regional GDP'!P16/'[12]Regional GDP'!$I16</f>
        <v>290.17515741354231</v>
      </c>
      <c r="Q75" s="56">
        <f>$J75*'[12]Regional GDP'!Q16/'[12]Regional GDP'!$I16</f>
        <v>305.45091749099538</v>
      </c>
      <c r="R75" s="57">
        <f>$J75*'[12]Regional GDP'!R16/'[12]Regional GDP'!$I16</f>
        <v>318.30672045705137</v>
      </c>
    </row>
    <row r="76" spans="3:20" ht="16" x14ac:dyDescent="0.2">
      <c r="C76" s="24" t="s">
        <v>10</v>
      </c>
      <c r="D76" s="55">
        <f>'Car+SUV'!D17*('[1]12_13 fleet'!$D297/'Original 2012-13 Data'!$C16)/1000000</f>
        <v>46.924945220543997</v>
      </c>
      <c r="E76" s="56">
        <f>'Car+SUV'!E17*('[2]13_14 fleet'!$D299/'Original 2013-14 Data'!$C16)/1000000</f>
        <v>45.293154230930504</v>
      </c>
      <c r="F76" s="56">
        <f>'Car+SUV'!F17*('[3]14_15 fleet'!$D299/'Original 2014-15 Data'!$C16)/1000000</f>
        <v>49.24859581376252</v>
      </c>
      <c r="G76" s="56">
        <f>'Car+SUV'!G17*('[4]15_16 fleet'!$D299/'Original 2015-16 Data'!$C16)/1000000</f>
        <v>48.135843520237707</v>
      </c>
      <c r="H76" s="56">
        <f>'Car+SUV'!H17*('[5]16_17 fleet_v2'!$D299/'Original 2016-17 Data'!$C16)/1000000</f>
        <v>47.746434168783182</v>
      </c>
      <c r="I76" s="56">
        <f>'Car+SUV'!I17*('[6]17_18 fleet_v3'!$D349/'Original 2017-18 Data'!$C16)/1000000</f>
        <v>58.66969382983855</v>
      </c>
      <c r="J76" s="56">
        <f>'Car+SUV'!J17*('[7]18_19 fleet_v3'!$D349/'Original 2018-19 Data'!$C16)/1000000</f>
        <v>57.295104038331608</v>
      </c>
      <c r="K76" s="56">
        <f>$J76*'[12]Regional GDP'!K17/'[12]Regional GDP'!$I17</f>
        <v>59.558593709365134</v>
      </c>
      <c r="L76" s="56">
        <f>$J76*'[12]Regional GDP'!L17/'[12]Regional GDP'!$I17</f>
        <v>64.932554799383226</v>
      </c>
      <c r="M76" s="56">
        <f>$J76*'[12]Regional GDP'!M17/'[12]Regional GDP'!$I17</f>
        <v>68.222210956849324</v>
      </c>
      <c r="N76" s="56">
        <f>$J76*'[12]Regional GDP'!N17/'[12]Regional GDP'!$I17</f>
        <v>70.864277597659623</v>
      </c>
      <c r="O76" s="56">
        <f>$J76*'[12]Regional GDP'!O17/'[12]Regional GDP'!$I17</f>
        <v>73.614612079322669</v>
      </c>
      <c r="P76" s="56">
        <f>$J76*'[12]Regional GDP'!P17/'[12]Regional GDP'!$I17</f>
        <v>76.239673282464892</v>
      </c>
      <c r="Q76" s="56">
        <f>$J76*'[12]Regional GDP'!Q17/'[12]Regional GDP'!$I17</f>
        <v>78.304791668872198</v>
      </c>
      <c r="R76" s="57">
        <f>$J76*'[12]Regional GDP'!R17/'[12]Regional GDP'!$I17</f>
        <v>79.615622196333533</v>
      </c>
    </row>
    <row r="77" spans="3:20" ht="16" x14ac:dyDescent="0.2">
      <c r="C77" s="24" t="s">
        <v>11</v>
      </c>
      <c r="D77" s="55">
        <f>'Car+SUV'!D18*('[1]12_13 fleet'!$D298/'Original 2012-13 Data'!$C17)/1000000</f>
        <v>697.97626335213374</v>
      </c>
      <c r="E77" s="56">
        <f>'Car+SUV'!E18*('[2]13_14 fleet'!$D300/'Original 2013-14 Data'!$C17)/1000000</f>
        <v>741.0100265202376</v>
      </c>
      <c r="F77" s="56">
        <f>'Car+SUV'!F18*('[3]14_15 fleet'!$D300/'Original 2014-15 Data'!$C17)/1000000</f>
        <v>735.04754192563757</v>
      </c>
      <c r="G77" s="56">
        <f>'Car+SUV'!G18*('[4]15_16 fleet'!$D300/'Original 2015-16 Data'!$C17)/1000000</f>
        <v>734.4043648993545</v>
      </c>
      <c r="H77" s="56">
        <f>'Car+SUV'!H18*('[5]16_17 fleet_v2'!$D300/'Original 2016-17 Data'!$C17)/1000000</f>
        <v>829.3521087079439</v>
      </c>
      <c r="I77" s="56">
        <f>'Car+SUV'!I18*('[6]17_18 fleet_v3'!$D350/'Original 2017-18 Data'!$C17)/1000000</f>
        <v>891.80566152179915</v>
      </c>
      <c r="J77" s="56">
        <f>'Car+SUV'!J18*('[7]18_19 fleet_v3'!$D350/'Original 2018-19 Data'!$C17)/1000000</f>
        <v>905.55919180579065</v>
      </c>
      <c r="K77" s="56">
        <f>$J77*'[12]Regional GDP'!K18/'[12]Regional GDP'!$I18</f>
        <v>1003.2639152923274</v>
      </c>
      <c r="L77" s="56">
        <f>$J77*'[12]Regional GDP'!L18/'[12]Regional GDP'!$I18</f>
        <v>1150.435781145846</v>
      </c>
      <c r="M77" s="56">
        <f>$J77*'[12]Regional GDP'!M18/'[12]Regional GDP'!$I18</f>
        <v>1272.1755932984236</v>
      </c>
      <c r="N77" s="56">
        <f>$J77*'[12]Regional GDP'!N18/'[12]Regional GDP'!$I18</f>
        <v>1391.7481504850443</v>
      </c>
      <c r="O77" s="56">
        <f>$J77*'[12]Regional GDP'!O18/'[12]Regional GDP'!$I18</f>
        <v>1521.4687853057287</v>
      </c>
      <c r="P77" s="56">
        <f>$J77*'[12]Regional GDP'!P18/'[12]Regional GDP'!$I18</f>
        <v>1658.2338474780579</v>
      </c>
      <c r="Q77" s="56">
        <f>$J77*'[12]Regional GDP'!Q18/'[12]Regional GDP'!$I18</f>
        <v>1792.333482081284</v>
      </c>
      <c r="R77" s="57">
        <f>$J77*'[12]Regional GDP'!R18/'[12]Regional GDP'!$I18</f>
        <v>1917.7610908709689</v>
      </c>
    </row>
    <row r="78" spans="3:20" ht="16" x14ac:dyDescent="0.2">
      <c r="C78" s="24" t="s">
        <v>12</v>
      </c>
      <c r="D78" s="55">
        <f>'Car+SUV'!D19*('[1]12_13 fleet'!$D299/'Original 2012-13 Data'!$C18)/1000000</f>
        <v>276.5722530241905</v>
      </c>
      <c r="E78" s="56">
        <f>'Car+SUV'!E19*('[2]13_14 fleet'!$D301/'Original 2013-14 Data'!$C18)/1000000</f>
        <v>294.86422990880612</v>
      </c>
      <c r="F78" s="56">
        <f>'Car+SUV'!F19*('[3]14_15 fleet'!$D301/'Original 2014-15 Data'!$C18)/1000000</f>
        <v>295.98099494561546</v>
      </c>
      <c r="G78" s="56">
        <f>'Car+SUV'!G19*('[4]15_16 fleet'!$D301/'Original 2015-16 Data'!$C18)/1000000</f>
        <v>293.63515157128177</v>
      </c>
      <c r="H78" s="56">
        <f>'Car+SUV'!H19*('[5]16_17 fleet_v2'!$D301/'Original 2016-17 Data'!$C18)/1000000</f>
        <v>333.12798427313521</v>
      </c>
      <c r="I78" s="56">
        <f>'Car+SUV'!I19*('[6]17_18 fleet_v3'!$D351/'Original 2017-18 Data'!$C18)/1000000</f>
        <v>388.52786289910267</v>
      </c>
      <c r="J78" s="56">
        <f>'Car+SUV'!J19*('[7]18_19 fleet_v3'!$D351/'Original 2018-19 Data'!$C18)/1000000</f>
        <v>394.25614405624782</v>
      </c>
      <c r="K78" s="56">
        <f>$J78*'[12]Regional GDP'!K19/'[12]Regional GDP'!$I19</f>
        <v>428.34475929053923</v>
      </c>
      <c r="L78" s="56">
        <f>$J78*'[12]Regional GDP'!L19/'[12]Regional GDP'!$I19</f>
        <v>483.22581342730416</v>
      </c>
      <c r="M78" s="56">
        <f>$J78*'[12]Regional GDP'!M19/'[12]Regional GDP'!$I19</f>
        <v>525.93516264080199</v>
      </c>
      <c r="N78" s="56">
        <f>$J78*'[12]Regional GDP'!N19/'[12]Regional GDP'!$I19</f>
        <v>566.64185387773739</v>
      </c>
      <c r="O78" s="56">
        <f>$J78*'[12]Regional GDP'!O19/'[12]Regional GDP'!$I19</f>
        <v>610.20050248316113</v>
      </c>
      <c r="P78" s="56">
        <f>$J78*'[12]Regional GDP'!P19/'[12]Regional GDP'!$I19</f>
        <v>655.1138893513878</v>
      </c>
      <c r="Q78" s="56">
        <f>$J78*'[12]Regional GDP'!Q19/'[12]Regional GDP'!$I19</f>
        <v>697.5114910918644</v>
      </c>
      <c r="R78" s="57">
        <f>$J78*'[12]Regional GDP'!R19/'[12]Regional GDP'!$I19</f>
        <v>735.17134212208134</v>
      </c>
    </row>
    <row r="79" spans="3:20" ht="17" thickBot="1" x14ac:dyDescent="0.25">
      <c r="C79" s="25" t="s">
        <v>13</v>
      </c>
      <c r="D79" s="58">
        <f>'Car+SUV'!D20*('[1]12_13 fleet'!$D300/'Original 2012-13 Data'!$C19)/1000000</f>
        <v>96.784270553560106</v>
      </c>
      <c r="E79" s="59">
        <f>'Car+SUV'!E20*('[2]13_14 fleet'!$D302/'Original 2013-14 Data'!$C19)/1000000</f>
        <v>99.023073894774981</v>
      </c>
      <c r="F79" s="59">
        <f>'Car+SUV'!F20*('[3]14_15 fleet'!$D302/'Original 2014-15 Data'!$C19)/1000000</f>
        <v>91.563509587567026</v>
      </c>
      <c r="G79" s="59">
        <f>'Car+SUV'!G20*('[4]15_16 fleet'!$D302/'Original 2015-16 Data'!$C19)/1000000</f>
        <v>94.994588104692752</v>
      </c>
      <c r="H79" s="59">
        <f>'Car+SUV'!H20*('[5]16_17 fleet_v2'!$D302/'Original 2016-17 Data'!$C19)/1000000</f>
        <v>107.77665332631699</v>
      </c>
      <c r="I79" s="59">
        <f>'Car+SUV'!I20*('[6]17_18 fleet_v3'!$D352/'Original 2017-18 Data'!$C19)/1000000</f>
        <v>108.50813337929121</v>
      </c>
      <c r="J79" s="59">
        <f>'Car+SUV'!J20*('[7]18_19 fleet_v3'!$D352/'Original 2018-19 Data'!$C19)/1000000</f>
        <v>115.24434815418668</v>
      </c>
      <c r="K79" s="59">
        <f>$J79*'[12]Regional GDP'!K20/'[12]Regional GDP'!$I20</f>
        <v>120.88403931625207</v>
      </c>
      <c r="L79" s="59">
        <f>$J79*'[12]Regional GDP'!L20/'[12]Regional GDP'!$I20</f>
        <v>133.26980471969239</v>
      </c>
      <c r="M79" s="59">
        <f>$J79*'[12]Regional GDP'!M20/'[12]Regional GDP'!$I20</f>
        <v>141.77736479657551</v>
      </c>
      <c r="N79" s="59">
        <f>$J79*'[12]Regional GDP'!N20/'[12]Regional GDP'!$I20</f>
        <v>149.19588292825478</v>
      </c>
      <c r="O79" s="59">
        <f>$J79*'[12]Regional GDP'!O20/'[12]Regional GDP'!$I20</f>
        <v>156.94649028154529</v>
      </c>
      <c r="P79" s="59">
        <f>$J79*'[12]Regional GDP'!P20/'[12]Regional GDP'!$I20</f>
        <v>164.5988181353386</v>
      </c>
      <c r="Q79" s="59">
        <f>$J79*'[12]Regional GDP'!Q20/'[12]Regional GDP'!$I20</f>
        <v>171.19541540631485</v>
      </c>
      <c r="R79" s="60">
        <f>$J79*'[12]Regional GDP'!R20/'[12]Regional GDP'!$I20</f>
        <v>176.26260764126036</v>
      </c>
    </row>
    <row r="80" spans="3:20" ht="18" customHeight="1" thickTop="1" thickBot="1" x14ac:dyDescent="0.25">
      <c r="C80" s="20" t="s">
        <v>24</v>
      </c>
      <c r="D80" s="61">
        <f t="shared" ref="D80:O80" si="61">SUM(D66:D79)</f>
        <v>4868.4145845394669</v>
      </c>
      <c r="E80" s="62">
        <f t="shared" si="61"/>
        <v>4967.0781090115188</v>
      </c>
      <c r="F80" s="62">
        <f t="shared" si="61"/>
        <v>4888.1312323564507</v>
      </c>
      <c r="G80" s="62">
        <f t="shared" si="61"/>
        <v>4776.9709180134423</v>
      </c>
      <c r="H80" s="62">
        <f t="shared" si="61"/>
        <v>5363.264894528339</v>
      </c>
      <c r="I80" s="62">
        <f t="shared" si="61"/>
        <v>5564.1734373568706</v>
      </c>
      <c r="J80" s="62">
        <f t="shared" ref="J80" si="62">SUM(J66:J79)</f>
        <v>5598.627600395881</v>
      </c>
      <c r="K80" s="62">
        <f t="shared" si="61"/>
        <v>6184.1706010194539</v>
      </c>
      <c r="L80" s="62">
        <f t="shared" si="61"/>
        <v>7098.3038125449675</v>
      </c>
      <c r="M80" s="62">
        <f t="shared" si="61"/>
        <v>7849.4194368751341</v>
      </c>
      <c r="N80" s="62">
        <f t="shared" si="61"/>
        <v>8580.4512051625297</v>
      </c>
      <c r="O80" s="62">
        <f t="shared" si="61"/>
        <v>9371.5319095154391</v>
      </c>
      <c r="P80" s="62">
        <f t="shared" ref="P80:R80" si="63">SUM(P66:P79)</f>
        <v>10207.614477685396</v>
      </c>
      <c r="Q80" s="62">
        <f t="shared" si="63"/>
        <v>11029.600798782374</v>
      </c>
      <c r="R80" s="63">
        <f t="shared" si="63"/>
        <v>11801.254453806376</v>
      </c>
    </row>
    <row r="81" spans="3:18" ht="14" thickTop="1" x14ac:dyDescent="0.15"/>
    <row r="82" spans="3:18" ht="14" thickBot="1" x14ac:dyDescent="0.2"/>
    <row r="83" spans="3:18" ht="17" thickTop="1" x14ac:dyDescent="0.2">
      <c r="C83" s="32" t="s">
        <v>137</v>
      </c>
      <c r="D83" s="34"/>
      <c r="E83" s="33"/>
      <c r="F83" s="33"/>
      <c r="G83" s="33"/>
      <c r="H83" s="33"/>
      <c r="I83" s="34"/>
      <c r="J83" s="34"/>
      <c r="K83" s="34"/>
      <c r="L83" s="34"/>
      <c r="M83" s="34"/>
      <c r="N83" s="34"/>
      <c r="O83" s="34"/>
      <c r="P83" s="34"/>
      <c r="Q83" s="34"/>
      <c r="R83" s="35"/>
    </row>
    <row r="84" spans="3:18" ht="14" thickBot="1" x14ac:dyDescent="0.2">
      <c r="C84" s="18"/>
      <c r="D84" s="65" t="s">
        <v>25</v>
      </c>
      <c r="E84" s="65" t="s">
        <v>37</v>
      </c>
      <c r="F84" s="65" t="s">
        <v>38</v>
      </c>
      <c r="G84" s="37" t="s">
        <v>177</v>
      </c>
      <c r="H84" s="37" t="s">
        <v>178</v>
      </c>
      <c r="I84" s="65" t="s">
        <v>26</v>
      </c>
      <c r="J84" s="65"/>
      <c r="K84" s="65" t="s">
        <v>27</v>
      </c>
      <c r="L84" s="65" t="s">
        <v>28</v>
      </c>
      <c r="M84" s="65" t="s">
        <v>29</v>
      </c>
      <c r="N84" s="65" t="s">
        <v>30</v>
      </c>
      <c r="O84" s="65" t="s">
        <v>31</v>
      </c>
      <c r="P84" s="37" t="s">
        <v>174</v>
      </c>
      <c r="Q84" s="37" t="s">
        <v>175</v>
      </c>
      <c r="R84" s="38" t="s">
        <v>176</v>
      </c>
    </row>
    <row r="85" spans="3:18" ht="15" thickTop="1" thickBot="1" x14ac:dyDescent="0.2">
      <c r="C85" s="70"/>
      <c r="D85" s="71" t="s">
        <v>39</v>
      </c>
      <c r="E85" s="71" t="s">
        <v>39</v>
      </c>
      <c r="F85" s="71" t="s">
        <v>39</v>
      </c>
      <c r="G85" s="65" t="s">
        <v>39</v>
      </c>
      <c r="H85" s="65" t="s">
        <v>39</v>
      </c>
      <c r="I85" s="71" t="s">
        <v>39</v>
      </c>
      <c r="J85" s="71" t="s">
        <v>39</v>
      </c>
      <c r="K85" s="71" t="s">
        <v>32</v>
      </c>
      <c r="L85" s="71" t="s">
        <v>32</v>
      </c>
      <c r="M85" s="71" t="s">
        <v>32</v>
      </c>
      <c r="N85" s="71" t="s">
        <v>32</v>
      </c>
      <c r="O85" s="71" t="s">
        <v>32</v>
      </c>
      <c r="P85" s="65" t="s">
        <v>32</v>
      </c>
      <c r="Q85" s="65" t="s">
        <v>32</v>
      </c>
      <c r="R85" s="66" t="s">
        <v>32</v>
      </c>
    </row>
    <row r="86" spans="3:18" ht="17" thickTop="1" x14ac:dyDescent="0.2">
      <c r="C86" s="24" t="s">
        <v>0</v>
      </c>
      <c r="D86" s="52">
        <f>'Van+Ute'!D7*('[1]12_13 fleet'!$D407/'Original 2012-13 Data'!$D6)/1000000</f>
        <v>123.18200576581287</v>
      </c>
      <c r="E86" s="53">
        <f>'Van+Ute'!E7*('[2]13_14 fleet'!$D409/'Original 2013-14 Data'!$D6)/1000000</f>
        <v>133.99119481901039</v>
      </c>
      <c r="F86" s="53">
        <f>'Van+Ute'!F7*('[3]14_15 fleet'!$D409/'Original 2014-15 Data'!$D6)/1000000</f>
        <v>144.58018892751744</v>
      </c>
      <c r="G86" s="53">
        <f>'Van+Ute'!G7*('[4]15_16 fleet'!$D409/'Original 2015-16 Data'!$D6)/1000000</f>
        <v>149.01755583123835</v>
      </c>
      <c r="H86" s="53">
        <f>'Van+Ute'!H7*('[5]16_17 fleet_v2'!$D409/'Original 2016-17 Data'!$D6)/1000000</f>
        <v>158.09913792085203</v>
      </c>
      <c r="I86" s="53">
        <f>'Van+Ute'!I7*('[6]17_18 fleet_v3'!$D459/'Original 2017-18 Data'!$D6)/1000000</f>
        <v>178.28654091766253</v>
      </c>
      <c r="J86" s="53">
        <f>'Van+Ute'!J7*('[7]18_19 fleet_v3'!$D459/'Original 2017-18 Data'!$D6)/1000000</f>
        <v>206.99496386062876</v>
      </c>
      <c r="K86" s="53">
        <f>$J86*'[12]Regional GDP'!K7/'[12]Regional GDP'!$I7</f>
        <v>223.96997969040086</v>
      </c>
      <c r="L86" s="53">
        <f>$J86*'[12]Regional GDP'!L7/'[12]Regional GDP'!$I7</f>
        <v>252.79467920710891</v>
      </c>
      <c r="M86" s="53">
        <f>$J86*'[12]Regional GDP'!M7/'[12]Regional GDP'!$I7</f>
        <v>274.49353027184878</v>
      </c>
      <c r="N86" s="53">
        <f>$J86*'[12]Regional GDP'!N7/'[12]Regional GDP'!$I7</f>
        <v>294.51442302201042</v>
      </c>
      <c r="O86" s="53">
        <f>$J86*'[12]Regional GDP'!O7/'[12]Regional GDP'!$I7</f>
        <v>315.51007599596886</v>
      </c>
      <c r="P86" s="53">
        <f>$J86*'[12]Regional GDP'!P7/'[12]Regional GDP'!$I7</f>
        <v>336.97697974573873</v>
      </c>
      <c r="Q86" s="53">
        <f>$J86*'[12]Regional GDP'!Q7/'[12]Regional GDP'!$I7</f>
        <v>356.92547570617421</v>
      </c>
      <c r="R86" s="54">
        <f>$J86*'[12]Regional GDP'!R7/'[12]Regional GDP'!$I7</f>
        <v>374.24628987396864</v>
      </c>
    </row>
    <row r="87" spans="3:18" ht="16" x14ac:dyDescent="0.2">
      <c r="C87" s="24" t="s">
        <v>1</v>
      </c>
      <c r="D87" s="55">
        <f>'Van+Ute'!D8*('[1]12_13 fleet'!$D408/'Original 2012-13 Data'!$D7)/1000000</f>
        <v>796.91126556532868</v>
      </c>
      <c r="E87" s="56">
        <f>'Van+Ute'!E8*('[2]13_14 fleet'!$D410/'Original 2013-14 Data'!$D7)/1000000</f>
        <v>836.71681085294404</v>
      </c>
      <c r="F87" s="56">
        <f>'Van+Ute'!F8*('[3]14_15 fleet'!$D410/'Original 2014-15 Data'!$D7)/1000000</f>
        <v>878.13557647721814</v>
      </c>
      <c r="G87" s="56">
        <f>'Van+Ute'!G8*('[4]15_16 fleet'!$D410/'Original 2015-16 Data'!$D7)/1000000</f>
        <v>964.2349908010907</v>
      </c>
      <c r="H87" s="56">
        <f>'Van+Ute'!H8*('[5]16_17 fleet_v2'!$D410/'Original 2016-17 Data'!$D7)/1000000</f>
        <v>1103.5760688482669</v>
      </c>
      <c r="I87" s="56">
        <f>'Van+Ute'!I8*('[6]17_18 fleet_v3'!$D460/'Original 2017-18 Data'!$D7)/1000000</f>
        <v>1147.2268898110201</v>
      </c>
      <c r="J87" s="56">
        <f>'Van+Ute'!J8*('[7]18_19 fleet_v3'!$D460/'Original 2017-18 Data'!$D7)/1000000</f>
        <v>1331.0740851312646</v>
      </c>
      <c r="K87" s="56">
        <f>$J87*'[12]Regional GDP'!K8/'[12]Regional GDP'!$I8</f>
        <v>1513.4052838028379</v>
      </c>
      <c r="L87" s="56">
        <f>$J87*'[12]Regional GDP'!L8/'[12]Regional GDP'!$I8</f>
        <v>1776.9678525743498</v>
      </c>
      <c r="M87" s="56">
        <f>$J87*'[12]Regional GDP'!M8/'[12]Regional GDP'!$I8</f>
        <v>2006.1976792473481</v>
      </c>
      <c r="N87" s="56">
        <f>$J87*'[12]Regional GDP'!N8/'[12]Regional GDP'!$I8</f>
        <v>2235.1598058431719</v>
      </c>
      <c r="O87" s="56">
        <f>$J87*'[12]Regional GDP'!O8/'[12]Regional GDP'!$I8</f>
        <v>2485.6178305742988</v>
      </c>
      <c r="P87" s="56">
        <f>$J87*'[12]Regional GDP'!P8/'[12]Regional GDP'!$I8</f>
        <v>2755.7541319734773</v>
      </c>
      <c r="Q87" s="56">
        <f>$J87*'[12]Regional GDP'!Q8/'[12]Regional GDP'!$I8</f>
        <v>3029.9599787916904</v>
      </c>
      <c r="R87" s="57">
        <f>$J87*'[12]Regional GDP'!R8/'[12]Regional GDP'!$I8</f>
        <v>3297.8884381812895</v>
      </c>
    </row>
    <row r="88" spans="3:18" ht="16" x14ac:dyDescent="0.2">
      <c r="C88" s="24" t="s">
        <v>2</v>
      </c>
      <c r="D88" s="55">
        <f>'Van+Ute'!D9*('[1]12_13 fleet'!$D409/'Original 2012-13 Data'!$D8)/1000000</f>
        <v>408.85730536135173</v>
      </c>
      <c r="E88" s="56">
        <f>'Van+Ute'!E9*('[2]13_14 fleet'!$D411/'Original 2013-14 Data'!$D8)/1000000</f>
        <v>431.07674572912146</v>
      </c>
      <c r="F88" s="56">
        <f>'Van+Ute'!F9*('[3]14_15 fleet'!$D411/'Original 2014-15 Data'!$D8)/1000000</f>
        <v>474.23591970394472</v>
      </c>
      <c r="G88" s="56">
        <f>'Van+Ute'!G9*('[4]15_16 fleet'!$D411/'Original 2015-16 Data'!$D8)/1000000</f>
        <v>489.26799966914183</v>
      </c>
      <c r="H88" s="56">
        <f>'Van+Ute'!H9*('[5]16_17 fleet_v2'!$D411/'Original 2016-17 Data'!$D8)/1000000</f>
        <v>553.16275518529289</v>
      </c>
      <c r="I88" s="56">
        <f>'Van+Ute'!I9*('[6]17_18 fleet_v3'!$D461/'Original 2017-18 Data'!$D8)/1000000</f>
        <v>639.37054486796524</v>
      </c>
      <c r="J88" s="56">
        <f>'Van+Ute'!J9*('[7]18_19 fleet_v3'!$D461/'Original 2017-18 Data'!$D8)/1000000</f>
        <v>736.06913197457345</v>
      </c>
      <c r="K88" s="56">
        <f>$J88*'[12]Regional GDP'!K9/'[12]Regional GDP'!$I9</f>
        <v>808.22047911268874</v>
      </c>
      <c r="L88" s="56">
        <f>$J88*'[12]Regional GDP'!L9/'[12]Regional GDP'!$I9</f>
        <v>924.50948288327481</v>
      </c>
      <c r="M88" s="56">
        <f>$J88*'[12]Regional GDP'!M9/'[12]Regional GDP'!$I9</f>
        <v>1018.6944401565172</v>
      </c>
      <c r="N88" s="56">
        <f>$J88*'[12]Regional GDP'!N9/'[12]Regional GDP'!$I9</f>
        <v>1109.7912043373747</v>
      </c>
      <c r="O88" s="56">
        <f>$J88*'[12]Regional GDP'!O9/'[12]Regional GDP'!$I9</f>
        <v>1208.4753787093848</v>
      </c>
      <c r="P88" s="56">
        <f>$J88*'[12]Regional GDP'!P9/'[12]Regional GDP'!$I9</f>
        <v>1311.942102875782</v>
      </c>
      <c r="Q88" s="56">
        <f>$J88*'[12]Regional GDP'!Q9/'[12]Regional GDP'!$I9</f>
        <v>1412.4785004110231</v>
      </c>
      <c r="R88" s="57">
        <f>$J88*'[12]Regional GDP'!R9/'[12]Regional GDP'!$I9</f>
        <v>1505.3991466983889</v>
      </c>
    </row>
    <row r="89" spans="3:18" ht="16" x14ac:dyDescent="0.2">
      <c r="C89" s="24" t="s">
        <v>3</v>
      </c>
      <c r="D89" s="55">
        <f>'Van+Ute'!D10*('[1]12_13 fleet'!$D410/'Original 2012-13 Data'!$D9)/1000000</f>
        <v>230.40054623344915</v>
      </c>
      <c r="E89" s="56">
        <f>'Van+Ute'!E10*('[2]13_14 fleet'!$D412/'Original 2013-14 Data'!$D9)/1000000</f>
        <v>247.67207284547206</v>
      </c>
      <c r="F89" s="56">
        <f>'Van+Ute'!F10*('[3]14_15 fleet'!$D412/'Original 2014-15 Data'!$D9)/1000000</f>
        <v>252.53342745175246</v>
      </c>
      <c r="G89" s="56">
        <f>'Van+Ute'!G10*('[4]15_16 fleet'!$D412/'Original 2015-16 Data'!$D9)/1000000</f>
        <v>261.47822763403434</v>
      </c>
      <c r="H89" s="56">
        <f>'Van+Ute'!H10*('[5]16_17 fleet_v2'!$D412/'Original 2016-17 Data'!$D9)/1000000</f>
        <v>314.90029448206673</v>
      </c>
      <c r="I89" s="56">
        <f>'Van+Ute'!I10*('[6]17_18 fleet_v3'!$D462/'Original 2017-18 Data'!$D9)/1000000</f>
        <v>332.41987143926207</v>
      </c>
      <c r="J89" s="56">
        <f>'Van+Ute'!J10*('[7]18_19 fleet_v3'!$D462/'Original 2017-18 Data'!$D9)/1000000</f>
        <v>374.72866342559507</v>
      </c>
      <c r="K89" s="56">
        <f>$J89*'[12]Regional GDP'!K10/'[12]Regional GDP'!$I10</f>
        <v>408.65630138205194</v>
      </c>
      <c r="L89" s="56">
        <f>$J89*'[12]Regional GDP'!L10/'[12]Regional GDP'!$I10</f>
        <v>464.33849234092867</v>
      </c>
      <c r="M89" s="56">
        <f>$J89*'[12]Regional GDP'!M10/'[12]Regional GDP'!$I10</f>
        <v>508.35957992963176</v>
      </c>
      <c r="N89" s="56">
        <f>$J89*'[12]Regional GDP'!N10/'[12]Regional GDP'!$I10</f>
        <v>550.06168359501771</v>
      </c>
      <c r="O89" s="56">
        <f>$J89*'[12]Regional GDP'!O10/'[12]Regional GDP'!$I10</f>
        <v>594.9279683904283</v>
      </c>
      <c r="P89" s="56">
        <f>$J89*'[12]Regional GDP'!P10/'[12]Regional GDP'!$I10</f>
        <v>641.50155526581193</v>
      </c>
      <c r="Q89" s="56">
        <f>$J89*'[12]Regional GDP'!Q10/'[12]Regional GDP'!$I10</f>
        <v>685.99563825127348</v>
      </c>
      <c r="R89" s="57">
        <f>$J89*'[12]Regional GDP'!R10/'[12]Regional GDP'!$I10</f>
        <v>726.18560901782826</v>
      </c>
    </row>
    <row r="90" spans="3:18" ht="16" x14ac:dyDescent="0.2">
      <c r="C90" s="24" t="s">
        <v>4</v>
      </c>
      <c r="D90" s="55">
        <f>'Van+Ute'!D11*('[1]12_13 fleet'!$D411/'Original 2012-13 Data'!$D10)/1000000</f>
        <v>41.62162097590825</v>
      </c>
      <c r="E90" s="56">
        <f>'Van+Ute'!E11*('[2]13_14 fleet'!$D413/'Original 2013-14 Data'!$D10)/1000000</f>
        <v>44.989457248690393</v>
      </c>
      <c r="F90" s="56">
        <f>'Van+Ute'!F11*('[3]14_15 fleet'!$D413/'Original 2014-15 Data'!$D10)/1000000</f>
        <v>46.634801678968095</v>
      </c>
      <c r="G90" s="56">
        <f>'Van+Ute'!G11*('[4]15_16 fleet'!$D413/'Original 2015-16 Data'!$D10)/1000000</f>
        <v>46.919188549454489</v>
      </c>
      <c r="H90" s="56">
        <f>'Van+Ute'!H11*('[5]16_17 fleet_v2'!$D413/'Original 2016-17 Data'!$D10)/1000000</f>
        <v>47.787395141786178</v>
      </c>
      <c r="I90" s="56">
        <f>'Van+Ute'!I11*('[6]17_18 fleet_v3'!$D463/'Original 2017-18 Data'!$D10)/1000000</f>
        <v>48.876928788014936</v>
      </c>
      <c r="J90" s="56">
        <f>'Van+Ute'!J11*('[7]18_19 fleet_v3'!$D463/'Original 2017-18 Data'!$D10)/1000000</f>
        <v>54.32955846721363</v>
      </c>
      <c r="K90" s="56">
        <f>$J90*'[12]Regional GDP'!K11/'[12]Regional GDP'!$I11</f>
        <v>57.523898089709441</v>
      </c>
      <c r="L90" s="56">
        <f>$J90*'[12]Regional GDP'!L11/'[12]Regional GDP'!$I11</f>
        <v>63.869020860784737</v>
      </c>
      <c r="M90" s="56">
        <f>$J90*'[12]Regional GDP'!M11/'[12]Regional GDP'!$I11</f>
        <v>68.353912409179003</v>
      </c>
      <c r="N90" s="56">
        <f>$J90*'[12]Regional GDP'!N11/'[12]Regional GDP'!$I11</f>
        <v>72.218261479418572</v>
      </c>
      <c r="O90" s="56">
        <f>$J90*'[12]Regional GDP'!O11/'[12]Regional GDP'!$I11</f>
        <v>76.278726296643171</v>
      </c>
      <c r="P90" s="56">
        <f>$J90*'[12]Regional GDP'!P11/'[12]Regional GDP'!$I11</f>
        <v>80.323046257922996</v>
      </c>
      <c r="Q90" s="56">
        <f>$J90*'[12]Regional GDP'!Q11/'[12]Regional GDP'!$I11</f>
        <v>83.881699745407687</v>
      </c>
      <c r="R90" s="57">
        <f>$J90*'[12]Regional GDP'!R11/'[12]Regional GDP'!$I11</f>
        <v>86.715536786776894</v>
      </c>
    </row>
    <row r="91" spans="3:18" ht="16" x14ac:dyDescent="0.2">
      <c r="C91" s="24" t="s">
        <v>5</v>
      </c>
      <c r="D91" s="55">
        <f>'Van+Ute'!D12*('[1]12_13 fleet'!$D412/'Original 2012-13 Data'!$D11)/1000000</f>
        <v>119.7878662525421</v>
      </c>
      <c r="E91" s="56">
        <f>'Van+Ute'!E12*('[2]13_14 fleet'!$D414/'Original 2013-14 Data'!$D11)/1000000</f>
        <v>123.79693049010913</v>
      </c>
      <c r="F91" s="56">
        <f>'Van+Ute'!F12*('[3]14_15 fleet'!$D414/'Original 2014-15 Data'!$D11)/1000000</f>
        <v>132.64448652125961</v>
      </c>
      <c r="G91" s="56">
        <f>'Van+Ute'!G12*('[4]15_16 fleet'!$D414/'Original 2015-16 Data'!$D11)/1000000</f>
        <v>138.57080390921578</v>
      </c>
      <c r="H91" s="56">
        <f>'Van+Ute'!H12*('[5]16_17 fleet_v2'!$D414/'Original 2016-17 Data'!$D11)/1000000</f>
        <v>152.58031042608991</v>
      </c>
      <c r="I91" s="56">
        <f>'Van+Ute'!I12*('[6]17_18 fleet_v3'!$D464/'Original 2017-18 Data'!$D11)/1000000</f>
        <v>164.03343862328714</v>
      </c>
      <c r="J91" s="56">
        <f>'Van+Ute'!J12*('[7]18_19 fleet_v3'!$D464/'Original 2017-18 Data'!$D11)/1000000</f>
        <v>191.98194267257898</v>
      </c>
      <c r="K91" s="56">
        <f>$J91*'[12]Regional GDP'!K12/'[12]Regional GDP'!$I12</f>
        <v>203.57956260007163</v>
      </c>
      <c r="L91" s="56">
        <f>$J91*'[12]Regional GDP'!L12/'[12]Regional GDP'!$I12</f>
        <v>226.65797104434952</v>
      </c>
      <c r="M91" s="56">
        <f>$J91*'[12]Regional GDP'!M12/'[12]Regional GDP'!$I12</f>
        <v>242.97216128182117</v>
      </c>
      <c r="N91" s="56">
        <f>$J91*'[12]Regional GDP'!N12/'[12]Regional GDP'!$I12</f>
        <v>257.52031435005603</v>
      </c>
      <c r="O91" s="56">
        <f>$J91*'[12]Regional GDP'!O12/'[12]Regional GDP'!$I12</f>
        <v>272.67675517338625</v>
      </c>
      <c r="P91" s="56">
        <f>$J91*'[12]Regional GDP'!P12/'[12]Regional GDP'!$I12</f>
        <v>287.84923246593996</v>
      </c>
      <c r="Q91" s="56">
        <f>$J91*'[12]Regional GDP'!Q12/'[12]Regional GDP'!$I12</f>
        <v>301.35079917577605</v>
      </c>
      <c r="R91" s="57">
        <f>$J91*'[12]Regional GDP'!R12/'[12]Regional GDP'!$I12</f>
        <v>312.3073910842453</v>
      </c>
    </row>
    <row r="92" spans="3:18" ht="16" x14ac:dyDescent="0.2">
      <c r="C92" s="24" t="s">
        <v>6</v>
      </c>
      <c r="D92" s="55">
        <f>'Van+Ute'!D13*('[1]12_13 fleet'!$D413/'Original 2012-13 Data'!$D12)/1000000</f>
        <v>74.686375725055086</v>
      </c>
      <c r="E92" s="56">
        <f>'Van+Ute'!E13*('[2]13_14 fleet'!$D415/'Original 2013-14 Data'!$D12)/1000000</f>
        <v>80.091404935888505</v>
      </c>
      <c r="F92" s="56">
        <f>'Van+Ute'!F13*('[3]14_15 fleet'!$D415/'Original 2014-15 Data'!$D12)/1000000</f>
        <v>84.414317101540789</v>
      </c>
      <c r="G92" s="56">
        <f>'Van+Ute'!G13*('[4]15_16 fleet'!$D415/'Original 2015-16 Data'!$D12)/1000000</f>
        <v>86.302003454782096</v>
      </c>
      <c r="H92" s="56">
        <f>'Van+Ute'!H13*('[5]16_17 fleet_v2'!$D415/'Original 2016-17 Data'!$D12)/1000000</f>
        <v>89.176342836659074</v>
      </c>
      <c r="I92" s="56">
        <f>'Van+Ute'!I13*('[6]17_18 fleet_v3'!$D465/'Original 2017-18 Data'!$D12)/1000000</f>
        <v>100.06848868653357</v>
      </c>
      <c r="J92" s="56">
        <f>'Van+Ute'!J13*('[7]18_19 fleet_v3'!$D465/'Original 2017-18 Data'!$D12)/1000000</f>
        <v>105.43126147535749</v>
      </c>
      <c r="K92" s="56">
        <f>$J92*'[12]Regional GDP'!K13/'[12]Regional GDP'!$I13</f>
        <v>112.72510600462455</v>
      </c>
      <c r="L92" s="56">
        <f>$J92*'[12]Regional GDP'!L13/'[12]Regional GDP'!$I13</f>
        <v>126.68558002583335</v>
      </c>
      <c r="M92" s="56">
        <f>$J92*'[12]Regional GDP'!M13/'[12]Regional GDP'!$I13</f>
        <v>137.24276235002418</v>
      </c>
      <c r="N92" s="56">
        <f>$J92*'[12]Regional GDP'!N13/'[12]Regional GDP'!$I13</f>
        <v>147.22321079957058</v>
      </c>
      <c r="O92" s="56">
        <f>$J92*'[12]Regional GDP'!O13/'[12]Regional GDP'!$I13</f>
        <v>158.00609332176049</v>
      </c>
      <c r="P92" s="56">
        <f>$J92*'[12]Regional GDP'!P13/'[12]Regional GDP'!$I13</f>
        <v>169.06422601520359</v>
      </c>
      <c r="Q92" s="56">
        <f>$J92*'[12]Regional GDP'!Q13/'[12]Regional GDP'!$I13</f>
        <v>179.39895923526049</v>
      </c>
      <c r="R92" s="57">
        <f>$J92*'[12]Regional GDP'!R13/'[12]Regional GDP'!$I13</f>
        <v>188.44766510720058</v>
      </c>
    </row>
    <row r="93" spans="3:18" ht="16" x14ac:dyDescent="0.2">
      <c r="C93" s="24" t="s">
        <v>7</v>
      </c>
      <c r="D93" s="55">
        <f>'Van+Ute'!D14*('[1]12_13 fleet'!$D414/'Original 2012-13 Data'!$D13)/1000000</f>
        <v>175.50024718008748</v>
      </c>
      <c r="E93" s="56">
        <f>'Van+Ute'!E14*('[2]13_14 fleet'!$D416/'Original 2013-14 Data'!$D13)/1000000</f>
        <v>187.09543188002314</v>
      </c>
      <c r="F93" s="56">
        <f>'Van+Ute'!F14*('[3]14_15 fleet'!$D416/'Original 2014-15 Data'!$D13)/1000000</f>
        <v>195.39727413282864</v>
      </c>
      <c r="G93" s="56">
        <f>'Van+Ute'!G14*('[4]15_16 fleet'!$D416/'Original 2015-16 Data'!$D13)/1000000</f>
        <v>205.71184986786184</v>
      </c>
      <c r="H93" s="56">
        <f>'Van+Ute'!H14*('[5]16_17 fleet_v2'!$D416/'Original 2016-17 Data'!$D13)/1000000</f>
        <v>218.8521601836112</v>
      </c>
      <c r="I93" s="56">
        <f>'Van+Ute'!I14*('[6]17_18 fleet_v3'!$D466/'Original 2017-18 Data'!$D13)/1000000</f>
        <v>230.93262378884</v>
      </c>
      <c r="J93" s="56">
        <f>'Van+Ute'!J14*('[7]18_19 fleet_v3'!$D466/'Original 2017-18 Data'!$D13)/1000000</f>
        <v>252.69962187445398</v>
      </c>
      <c r="K93" s="56">
        <f>$J93*'[12]Regional GDP'!K14/'[12]Regional GDP'!$I14</f>
        <v>267.16089295663045</v>
      </c>
      <c r="L93" s="56">
        <f>$J93*'[12]Regional GDP'!L14/'[12]Regional GDP'!$I14</f>
        <v>296.54494930708393</v>
      </c>
      <c r="M93" s="56">
        <f>$J93*'[12]Regional GDP'!M14/'[12]Regional GDP'!$I14</f>
        <v>317.26003185736022</v>
      </c>
      <c r="N93" s="56">
        <f>$J93*'[12]Regional GDP'!N14/'[12]Regional GDP'!$I14</f>
        <v>335.72892716043765</v>
      </c>
      <c r="O93" s="56">
        <f>$J93*'[12]Regional GDP'!O14/'[12]Regional GDP'!$I14</f>
        <v>355.01655198434025</v>
      </c>
      <c r="P93" s="56">
        <f>$J93*'[12]Regional GDP'!P14/'[12]Regional GDP'!$I14</f>
        <v>374.27323908979076</v>
      </c>
      <c r="Q93" s="56">
        <f>$J93*'[12]Regional GDP'!Q14/'[12]Regional GDP'!$I14</f>
        <v>391.30848317725929</v>
      </c>
      <c r="R93" s="57">
        <f>$J93*'[12]Regional GDP'!R14/'[12]Regional GDP'!$I14</f>
        <v>404.9975476576862</v>
      </c>
    </row>
    <row r="94" spans="3:18" ht="16" x14ac:dyDescent="0.2">
      <c r="C94" s="24" t="s">
        <v>8</v>
      </c>
      <c r="D94" s="55">
        <f>'Van+Ute'!D15*('[1]12_13 fleet'!$D415/'Original 2012-13 Data'!$D14)/1000000</f>
        <v>225.010300853226</v>
      </c>
      <c r="E94" s="56">
        <f>'Van+Ute'!E15*('[2]13_14 fleet'!$D417/'Original 2013-14 Data'!$D14)/1000000</f>
        <v>239.51372384585136</v>
      </c>
      <c r="F94" s="56">
        <f>'Van+Ute'!F15*('[3]14_15 fleet'!$D417/'Original 2014-15 Data'!$D14)/1000000</f>
        <v>263.45794608361695</v>
      </c>
      <c r="G94" s="56">
        <f>'Van+Ute'!G15*('[4]15_16 fleet'!$D417/'Original 2015-16 Data'!$D14)/1000000</f>
        <v>259.72944484008957</v>
      </c>
      <c r="H94" s="56">
        <f>'Van+Ute'!H15*('[5]16_17 fleet_v2'!$D417/'Original 2016-17 Data'!$D14)/1000000</f>
        <v>270.88421937962119</v>
      </c>
      <c r="I94" s="56">
        <f>'Van+Ute'!I15*('[6]17_18 fleet_v3'!$D467/'Original 2017-18 Data'!$D14)/1000000</f>
        <v>301.06793611673362</v>
      </c>
      <c r="J94" s="56">
        <f>'Van+Ute'!J15*('[7]18_19 fleet_v3'!$D467/'Original 2017-18 Data'!$D14)/1000000</f>
        <v>344.4652702607429</v>
      </c>
      <c r="K94" s="56">
        <f>$J94*'[12]Regional GDP'!K15/'[12]Regional GDP'!$I15</f>
        <v>370.09747491071965</v>
      </c>
      <c r="L94" s="56">
        <f>$J94*'[12]Regional GDP'!L15/'[12]Regional GDP'!$I15</f>
        <v>416.43488203363796</v>
      </c>
      <c r="M94" s="56">
        <f>$J94*'[12]Regional GDP'!M15/'[12]Regional GDP'!$I15</f>
        <v>452.10312349238495</v>
      </c>
      <c r="N94" s="56">
        <f>$J94*'[12]Regional GDP'!N15/'[12]Regional GDP'!$I15</f>
        <v>485.6549992486116</v>
      </c>
      <c r="O94" s="56">
        <f>$J94*'[12]Regional GDP'!O15/'[12]Regional GDP'!$I15</f>
        <v>521.24543155794913</v>
      </c>
      <c r="P94" s="56">
        <f>$J94*'[12]Regional GDP'!P15/'[12]Regional GDP'!$I15</f>
        <v>557.74668102876183</v>
      </c>
      <c r="Q94" s="56">
        <f>$J94*'[12]Regional GDP'!Q15/'[12]Regional GDP'!$I15</f>
        <v>591.86415807318485</v>
      </c>
      <c r="R94" s="57">
        <f>$J94*'[12]Regional GDP'!R15/'[12]Regional GDP'!$I15</f>
        <v>621.74131907972014</v>
      </c>
    </row>
    <row r="95" spans="3:18" ht="16" x14ac:dyDescent="0.2">
      <c r="C95" s="24" t="s">
        <v>9</v>
      </c>
      <c r="D95" s="55">
        <f>'Van+Ute'!D16*('[1]12_13 fleet'!$D416/'Original 2012-13 Data'!$D15)/1000000</f>
        <v>113.67399656971789</v>
      </c>
      <c r="E95" s="56">
        <f>'Van+Ute'!E16*('[2]13_14 fleet'!$D418/'Original 2013-14 Data'!$D15)/1000000</f>
        <v>119.8095084612745</v>
      </c>
      <c r="F95" s="56">
        <f>'Van+Ute'!F16*('[3]14_15 fleet'!$D418/'Original 2014-15 Data'!$D15)/1000000</f>
        <v>118.48678729310265</v>
      </c>
      <c r="G95" s="56">
        <f>'Van+Ute'!G16*('[4]15_16 fleet'!$D418/'Original 2015-16 Data'!$D15)/1000000</f>
        <v>134.15061893971614</v>
      </c>
      <c r="H95" s="56">
        <f>'Van+Ute'!H16*('[5]16_17 fleet_v2'!$D418/'Original 2016-17 Data'!$D15)/1000000</f>
        <v>143.47945432057134</v>
      </c>
      <c r="I95" s="56">
        <f>'Van+Ute'!I16*('[6]17_18 fleet_v3'!$D468/'Original 2017-18 Data'!$D15)/1000000</f>
        <v>162.00434048294056</v>
      </c>
      <c r="J95" s="56">
        <f>'Van+Ute'!J16*('[7]18_19 fleet_v3'!$D468/'Original 2017-18 Data'!$D15)/1000000</f>
        <v>168.91783363767485</v>
      </c>
      <c r="K95" s="56">
        <f>$J95*'[12]Regional GDP'!K16/'[12]Regional GDP'!$I16</f>
        <v>180.89059927638101</v>
      </c>
      <c r="L95" s="56">
        <f>$J95*'[12]Regional GDP'!L16/'[12]Regional GDP'!$I16</f>
        <v>202.82586132195695</v>
      </c>
      <c r="M95" s="56">
        <f>$J95*'[12]Regional GDP'!M16/'[12]Regional GDP'!$I16</f>
        <v>219.07213065317862</v>
      </c>
      <c r="N95" s="56">
        <f>$J95*'[12]Regional GDP'!N16/'[12]Regional GDP'!$I16</f>
        <v>233.80974679094632</v>
      </c>
      <c r="O95" s="56">
        <f>$J95*'[12]Regional GDP'!O16/'[12]Regional GDP'!$I16</f>
        <v>248.90417742863528</v>
      </c>
      <c r="P95" s="56">
        <f>$J95*'[12]Regional GDP'!P16/'[12]Regional GDP'!$I16</f>
        <v>264.18160485575498</v>
      </c>
      <c r="Q95" s="56">
        <f>$J95*'[12]Regional GDP'!Q16/'[12]Regional GDP'!$I16</f>
        <v>278.08898014116494</v>
      </c>
      <c r="R95" s="57">
        <f>$J95*'[12]Regional GDP'!R16/'[12]Regional GDP'!$I16</f>
        <v>289.79317525405617</v>
      </c>
    </row>
    <row r="96" spans="3:18" ht="16" x14ac:dyDescent="0.2">
      <c r="C96" s="24" t="s">
        <v>10</v>
      </c>
      <c r="D96" s="55">
        <f>'Van+Ute'!D17*('[1]12_13 fleet'!$D417/'Original 2012-13 Data'!$D16)/1000000</f>
        <v>58.110369341662711</v>
      </c>
      <c r="E96" s="56">
        <f>'Van+Ute'!E17*('[2]13_14 fleet'!$D419/'Original 2013-14 Data'!$D16)/1000000</f>
        <v>58.361419866368145</v>
      </c>
      <c r="F96" s="56">
        <f>'Van+Ute'!F17*('[3]14_15 fleet'!$D419/'Original 2014-15 Data'!$D16)/1000000</f>
        <v>60.996626234669698</v>
      </c>
      <c r="G96" s="56">
        <f>'Van+Ute'!G17*('[4]15_16 fleet'!$D419/'Original 2015-16 Data'!$D16)/1000000</f>
        <v>57.983915603657991</v>
      </c>
      <c r="H96" s="56">
        <f>'Van+Ute'!H17*('[5]16_17 fleet_v2'!$D419/'Original 2016-17 Data'!$D16)/1000000</f>
        <v>60.554326359868504</v>
      </c>
      <c r="I96" s="56">
        <f>'Van+Ute'!I17*('[6]17_18 fleet_v3'!$D469/'Original 2017-18 Data'!$D16)/1000000</f>
        <v>66.316599570900777</v>
      </c>
      <c r="J96" s="56">
        <f>'Van+Ute'!J17*('[7]18_19 fleet_v3'!$D469/'Original 2017-18 Data'!$D16)/1000000</f>
        <v>68.171964559813574</v>
      </c>
      <c r="K96" s="56">
        <f>$J96*'[12]Regional GDP'!K17/'[12]Regional GDP'!$I17</f>
        <v>70.865153449600172</v>
      </c>
      <c r="L96" s="56">
        <f>$J96*'[12]Regional GDP'!L17/'[12]Regional GDP'!$I17</f>
        <v>77.25930337084705</v>
      </c>
      <c r="M96" s="56">
        <f>$J96*'[12]Regional GDP'!M17/'[12]Regional GDP'!$I17</f>
        <v>81.17346544010023</v>
      </c>
      <c r="N96" s="56">
        <f>$J96*'[12]Regional GDP'!N17/'[12]Regional GDP'!$I17</f>
        <v>84.317100073898686</v>
      </c>
      <c r="O96" s="56">
        <f>$J96*'[12]Regional GDP'!O17/'[12]Regional GDP'!$I17</f>
        <v>87.589556036036882</v>
      </c>
      <c r="P96" s="56">
        <f>$J96*'[12]Regional GDP'!P17/'[12]Regional GDP'!$I17</f>
        <v>90.7129569323548</v>
      </c>
      <c r="Q96" s="56">
        <f>$J96*'[12]Regional GDP'!Q17/'[12]Regional GDP'!$I17</f>
        <v>93.170115878358146</v>
      </c>
      <c r="R96" s="57">
        <f>$J96*'[12]Regional GDP'!R17/'[12]Regional GDP'!$I17</f>
        <v>94.729793511585399</v>
      </c>
    </row>
    <row r="97" spans="3:18" ht="16" x14ac:dyDescent="0.2">
      <c r="C97" s="24" t="s">
        <v>11</v>
      </c>
      <c r="D97" s="55">
        <f>'Van+Ute'!D18*('[1]12_13 fleet'!$D418/'Original 2012-13 Data'!$D17)/1000000</f>
        <v>471.58224881401145</v>
      </c>
      <c r="E97" s="56">
        <f>'Van+Ute'!E18*('[2]13_14 fleet'!$D420/'Original 2013-14 Data'!$D17)/1000000</f>
        <v>544.29198171811208</v>
      </c>
      <c r="F97" s="56">
        <f>'Van+Ute'!F18*('[3]14_15 fleet'!$D420/'Original 2014-15 Data'!$D17)/1000000</f>
        <v>596.87804588426707</v>
      </c>
      <c r="G97" s="56">
        <f>'Van+Ute'!G18*('[4]15_16 fleet'!$D420/'Original 2015-16 Data'!$D17)/1000000</f>
        <v>631.34365371088529</v>
      </c>
      <c r="H97" s="56">
        <f>'Van+Ute'!H18*('[5]16_17 fleet_v2'!$D420/'Original 2016-17 Data'!$D17)/1000000</f>
        <v>650.16663674549113</v>
      </c>
      <c r="I97" s="56">
        <f>'Van+Ute'!I18*('[6]17_18 fleet_v3'!$D470/'Original 2017-18 Data'!$D17)/1000000</f>
        <v>706.94082897042722</v>
      </c>
      <c r="J97" s="56">
        <f>'Van+Ute'!J18*('[7]18_19 fleet_v3'!$D470/'Original 2017-18 Data'!$D17)/1000000</f>
        <v>747.25118322124899</v>
      </c>
      <c r="K97" s="56">
        <f>$J97*'[12]Regional GDP'!K18/'[12]Regional GDP'!$I18</f>
        <v>827.87536647980448</v>
      </c>
      <c r="L97" s="56">
        <f>$J97*'[12]Regional GDP'!L18/'[12]Regional GDP'!$I18</f>
        <v>949.31894729821465</v>
      </c>
      <c r="M97" s="56">
        <f>$J97*'[12]Regional GDP'!M18/'[12]Regional GDP'!$I18</f>
        <v>1049.7764541065119</v>
      </c>
      <c r="N97" s="56">
        <f>$J97*'[12]Regional GDP'!N18/'[12]Regional GDP'!$I18</f>
        <v>1148.4455810360469</v>
      </c>
      <c r="O97" s="56">
        <f>$J97*'[12]Regional GDP'!O18/'[12]Regional GDP'!$I18</f>
        <v>1255.4887193919951</v>
      </c>
      <c r="P97" s="56">
        <f>$J97*'[12]Regional GDP'!P18/'[12]Regional GDP'!$I18</f>
        <v>1368.3447926960564</v>
      </c>
      <c r="Q97" s="56">
        <f>$J97*'[12]Regional GDP'!Q18/'[12]Regional GDP'!$I18</f>
        <v>1479.0014030353266</v>
      </c>
      <c r="R97" s="57">
        <f>$J97*'[12]Regional GDP'!R18/'[12]Regional GDP'!$I18</f>
        <v>1582.5020134038257</v>
      </c>
    </row>
    <row r="98" spans="3:18" ht="16" x14ac:dyDescent="0.2">
      <c r="C98" s="24" t="s">
        <v>12</v>
      </c>
      <c r="D98" s="55">
        <f>'Van+Ute'!D19*('[1]12_13 fleet'!$D419/'Original 2012-13 Data'!$D18)/1000000</f>
        <v>186.21771931401329</v>
      </c>
      <c r="E98" s="56">
        <f>'Van+Ute'!E19*('[2]13_14 fleet'!$D421/'Original 2013-14 Data'!$D18)/1000000</f>
        <v>199.47758185336059</v>
      </c>
      <c r="F98" s="56">
        <f>'Van+Ute'!F19*('[3]14_15 fleet'!$D421/'Original 2014-15 Data'!$D18)/1000000</f>
        <v>215.33680100087935</v>
      </c>
      <c r="G98" s="56">
        <f>'Van+Ute'!G19*('[4]15_16 fleet'!$D421/'Original 2015-16 Data'!$D18)/1000000</f>
        <v>225.11824397374161</v>
      </c>
      <c r="H98" s="56">
        <f>'Van+Ute'!H19*('[5]16_17 fleet_v2'!$D421/'Original 2016-17 Data'!$D18)/1000000</f>
        <v>239.97328110402427</v>
      </c>
      <c r="I98" s="56">
        <f>'Van+Ute'!I19*('[6]17_18 fleet_v3'!$D471/'Original 2017-18 Data'!$D18)/1000000</f>
        <v>274.92508900979198</v>
      </c>
      <c r="J98" s="56">
        <f>'Van+Ute'!J19*('[7]18_19 fleet_v3'!$D471/'Original 2017-18 Data'!$D18)/1000000</f>
        <v>319.11927265126099</v>
      </c>
      <c r="K98" s="56">
        <f>$J98*'[12]Regional GDP'!K19/'[12]Regional GDP'!$I19</f>
        <v>346.71131975884845</v>
      </c>
      <c r="L98" s="56">
        <f>$J98*'[12]Regional GDP'!L19/'[12]Regional GDP'!$I19</f>
        <v>391.13320726140631</v>
      </c>
      <c r="M98" s="56">
        <f>$J98*'[12]Regional GDP'!M19/'[12]Regional GDP'!$I19</f>
        <v>425.70305902375617</v>
      </c>
      <c r="N98" s="56">
        <f>$J98*'[12]Regional GDP'!N19/'[12]Regional GDP'!$I19</f>
        <v>458.65191700710056</v>
      </c>
      <c r="O98" s="56">
        <f>$J98*'[12]Regional GDP'!O19/'[12]Regional GDP'!$I19</f>
        <v>493.90920968394352</v>
      </c>
      <c r="P98" s="56">
        <f>$J98*'[12]Regional GDP'!P19/'[12]Regional GDP'!$I19</f>
        <v>530.2630562016742</v>
      </c>
      <c r="Q98" s="56">
        <f>$J98*'[12]Regional GDP'!Q19/'[12]Regional GDP'!$I19</f>
        <v>564.58057295709727</v>
      </c>
      <c r="R98" s="57">
        <f>$J98*'[12]Regional GDP'!R19/'[12]Regional GDP'!$I19</f>
        <v>595.0632539504038</v>
      </c>
    </row>
    <row r="99" spans="3:18" ht="17" thickBot="1" x14ac:dyDescent="0.25">
      <c r="C99" s="25" t="s">
        <v>13</v>
      </c>
      <c r="D99" s="58">
        <f>'Van+Ute'!D20*('[1]12_13 fleet'!$D420/'Original 2012-13 Data'!$D19)/1000000</f>
        <v>102.70781396576267</v>
      </c>
      <c r="E99" s="59">
        <f>'Van+Ute'!E20*('[2]13_14 fleet'!$D422/'Original 2013-14 Data'!$D19)/1000000</f>
        <v>112.79088597792406</v>
      </c>
      <c r="F99" s="59">
        <f>'Van+Ute'!F20*('[3]14_15 fleet'!$D422/'Original 2014-15 Data'!$D19)/1000000</f>
        <v>115.16035045289365</v>
      </c>
      <c r="G99" s="59">
        <f>'Van+Ute'!G20*('[4]15_16 fleet'!$D422/'Original 2015-16 Data'!$D19)/1000000</f>
        <v>129.22155627521394</v>
      </c>
      <c r="H99" s="59">
        <f>'Van+Ute'!H20*('[5]16_17 fleet_v2'!$D422/'Original 2016-17 Data'!$D19)/1000000</f>
        <v>136.84541332163863</v>
      </c>
      <c r="I99" s="59">
        <f>'Van+Ute'!I20*('[6]17_18 fleet_v3'!$D472/'Original 2017-18 Data'!$D19)/1000000</f>
        <v>147.36014342435055</v>
      </c>
      <c r="J99" s="59">
        <f>'Van+Ute'!J20*('[7]18_19 fleet_v3'!$D472/'Original 2017-18 Data'!$D19)/1000000</f>
        <v>175.03348807020538</v>
      </c>
      <c r="K99" s="59">
        <f>$J99*'[12]Regional GDP'!K20/'[12]Regional GDP'!$I20</f>
        <v>183.59906921622664</v>
      </c>
      <c r="L99" s="59">
        <f>$J99*'[12]Regional GDP'!L20/'[12]Regional GDP'!$I20</f>
        <v>202.41060970134399</v>
      </c>
      <c r="M99" s="59">
        <f>$J99*'[12]Regional GDP'!M20/'[12]Regional GDP'!$I20</f>
        <v>215.3319194147833</v>
      </c>
      <c r="N99" s="59">
        <f>$J99*'[12]Regional GDP'!N20/'[12]Regional GDP'!$I20</f>
        <v>226.59918870561759</v>
      </c>
      <c r="O99" s="59">
        <f>$J99*'[12]Regional GDP'!O20/'[12]Regional GDP'!$I20</f>
        <v>238.37083617846363</v>
      </c>
      <c r="P99" s="59">
        <f>$J99*'[12]Regional GDP'!P20/'[12]Regional GDP'!$I20</f>
        <v>249.99321643015475</v>
      </c>
      <c r="Q99" s="59">
        <f>$J99*'[12]Regional GDP'!Q20/'[12]Regional GDP'!$I20</f>
        <v>260.01214966398749</v>
      </c>
      <c r="R99" s="60">
        <f>$J99*'[12]Regional GDP'!R20/'[12]Regional GDP'!$I20</f>
        <v>267.70821759105092</v>
      </c>
    </row>
    <row r="100" spans="3:18" ht="18" customHeight="1" thickTop="1" thickBot="1" x14ac:dyDescent="0.25">
      <c r="C100" s="20" t="s">
        <v>24</v>
      </c>
      <c r="D100" s="61">
        <f t="shared" ref="D100:O100" si="64">SUM(D86:D99)</f>
        <v>3128.2496819179296</v>
      </c>
      <c r="E100" s="62">
        <f t="shared" si="64"/>
        <v>3359.6751505241505</v>
      </c>
      <c r="F100" s="62">
        <f t="shared" si="64"/>
        <v>3578.8925489444591</v>
      </c>
      <c r="G100" s="62">
        <f t="shared" si="64"/>
        <v>3779.0500530601239</v>
      </c>
      <c r="H100" s="62">
        <f t="shared" si="64"/>
        <v>4140.0377962558396</v>
      </c>
      <c r="I100" s="62">
        <f t="shared" si="64"/>
        <v>4499.8302644977302</v>
      </c>
      <c r="J100" s="62">
        <f t="shared" ref="J100" si="65">SUM(J86:J99)</f>
        <v>5076.2682412826125</v>
      </c>
      <c r="K100" s="62">
        <f t="shared" si="64"/>
        <v>5575.2804867305958</v>
      </c>
      <c r="L100" s="62">
        <f t="shared" si="64"/>
        <v>6371.7508392311192</v>
      </c>
      <c r="M100" s="62">
        <f t="shared" si="64"/>
        <v>7016.7342496344463</v>
      </c>
      <c r="N100" s="62">
        <f t="shared" si="64"/>
        <v>7639.6963634492786</v>
      </c>
      <c r="O100" s="62">
        <f t="shared" si="64"/>
        <v>8312.0173107232331</v>
      </c>
      <c r="P100" s="62">
        <f t="shared" ref="P100:R100" si="66">SUM(P86:P99)</f>
        <v>9018.9268218344259</v>
      </c>
      <c r="Q100" s="62">
        <f t="shared" si="66"/>
        <v>9708.0169142429841</v>
      </c>
      <c r="R100" s="63">
        <f t="shared" si="66"/>
        <v>10347.725397198026</v>
      </c>
    </row>
    <row r="101" spans="3:18" ht="14" thickTop="1" x14ac:dyDescent="0.15"/>
    <row r="102" spans="3:18" ht="14" thickBot="1" x14ac:dyDescent="0.2"/>
    <row r="103" spans="3:18" ht="17" thickTop="1" x14ac:dyDescent="0.2">
      <c r="C103" s="32" t="s">
        <v>135</v>
      </c>
      <c r="D103" s="34"/>
      <c r="E103" s="33"/>
      <c r="F103" s="33"/>
      <c r="G103" s="33"/>
      <c r="H103" s="33"/>
      <c r="I103" s="34"/>
      <c r="J103" s="34"/>
      <c r="K103" s="34"/>
      <c r="L103" s="34"/>
      <c r="M103" s="34"/>
      <c r="N103" s="34"/>
      <c r="O103" s="34"/>
      <c r="P103" s="34"/>
      <c r="Q103" s="34"/>
      <c r="R103" s="35"/>
    </row>
    <row r="104" spans="3:18" ht="14" thickBot="1" x14ac:dyDescent="0.2">
      <c r="C104" s="18"/>
      <c r="D104" s="65" t="s">
        <v>25</v>
      </c>
      <c r="E104" s="65" t="s">
        <v>37</v>
      </c>
      <c r="F104" s="65" t="s">
        <v>38</v>
      </c>
      <c r="G104" s="37" t="s">
        <v>177</v>
      </c>
      <c r="H104" s="37" t="s">
        <v>178</v>
      </c>
      <c r="I104" s="65" t="s">
        <v>26</v>
      </c>
      <c r="J104" s="65"/>
      <c r="K104" s="65" t="s">
        <v>27</v>
      </c>
      <c r="L104" s="65" t="s">
        <v>28</v>
      </c>
      <c r="M104" s="65" t="s">
        <v>29</v>
      </c>
      <c r="N104" s="65" t="s">
        <v>30</v>
      </c>
      <c r="O104" s="65" t="s">
        <v>31</v>
      </c>
      <c r="P104" s="37" t="s">
        <v>174</v>
      </c>
      <c r="Q104" s="37" t="s">
        <v>175</v>
      </c>
      <c r="R104" s="38" t="s">
        <v>176</v>
      </c>
    </row>
    <row r="105" spans="3:18" ht="15" thickTop="1" thickBot="1" x14ac:dyDescent="0.2">
      <c r="C105" s="70"/>
      <c r="D105" s="71" t="s">
        <v>39</v>
      </c>
      <c r="E105" s="71" t="s">
        <v>39</v>
      </c>
      <c r="F105" s="71" t="s">
        <v>39</v>
      </c>
      <c r="G105" s="65" t="s">
        <v>39</v>
      </c>
      <c r="H105" s="65" t="s">
        <v>39</v>
      </c>
      <c r="I105" s="71" t="s">
        <v>39</v>
      </c>
      <c r="J105" s="71" t="s">
        <v>39</v>
      </c>
      <c r="K105" s="71" t="s">
        <v>32</v>
      </c>
      <c r="L105" s="71" t="s">
        <v>32</v>
      </c>
      <c r="M105" s="71" t="s">
        <v>32</v>
      </c>
      <c r="N105" s="71" t="s">
        <v>32</v>
      </c>
      <c r="O105" s="71" t="s">
        <v>32</v>
      </c>
      <c r="P105" s="65" t="s">
        <v>32</v>
      </c>
      <c r="Q105" s="65" t="s">
        <v>32</v>
      </c>
      <c r="R105" s="66" t="s">
        <v>32</v>
      </c>
    </row>
    <row r="106" spans="3:18" ht="17" thickTop="1" x14ac:dyDescent="0.2">
      <c r="C106" s="24" t="s">
        <v>0</v>
      </c>
      <c r="D106" s="67">
        <v>0</v>
      </c>
      <c r="E106" s="68">
        <v>0</v>
      </c>
      <c r="F106" s="68">
        <v>0</v>
      </c>
      <c r="G106" s="68">
        <v>0</v>
      </c>
      <c r="H106" s="68">
        <v>0</v>
      </c>
      <c r="I106" s="178">
        <v>0</v>
      </c>
      <c r="J106" s="178">
        <v>0</v>
      </c>
      <c r="K106" s="178">
        <f>'[12]Other Assumptions'!K25</f>
        <v>0</v>
      </c>
      <c r="L106" s="178">
        <f>'[12]Other Assumptions'!L25</f>
        <v>0</v>
      </c>
      <c r="M106" s="178">
        <f>'[12]Other Assumptions'!M25</f>
        <v>0</v>
      </c>
      <c r="N106" s="178">
        <f>'[12]Other Assumptions'!N25</f>
        <v>0</v>
      </c>
      <c r="O106" s="178">
        <f>'[12]Other Assumptions'!O25</f>
        <v>0</v>
      </c>
      <c r="P106" s="68">
        <f>'[12]Other Assumptions'!P25</f>
        <v>0</v>
      </c>
      <c r="Q106" s="68">
        <f>'[12]Other Assumptions'!Q25</f>
        <v>0</v>
      </c>
      <c r="R106" s="69">
        <f>'[12]Other Assumptions'!R25</f>
        <v>0</v>
      </c>
    </row>
    <row r="107" spans="3:18" ht="16" x14ac:dyDescent="0.2">
      <c r="C107" s="24" t="s">
        <v>1</v>
      </c>
      <c r="D107" s="149">
        <v>0</v>
      </c>
      <c r="E107" s="150">
        <v>0</v>
      </c>
      <c r="F107" s="150">
        <v>0</v>
      </c>
      <c r="G107" s="150">
        <v>0</v>
      </c>
      <c r="H107" s="150">
        <v>0</v>
      </c>
      <c r="I107" s="169">
        <v>0</v>
      </c>
      <c r="J107" s="169">
        <v>0</v>
      </c>
      <c r="K107" s="169">
        <f>'[12]Other Assumptions'!K26</f>
        <v>0</v>
      </c>
      <c r="L107" s="169">
        <f>'[12]Other Assumptions'!L26</f>
        <v>0</v>
      </c>
      <c r="M107" s="169">
        <f>'[12]Other Assumptions'!M26</f>
        <v>0</v>
      </c>
      <c r="N107" s="169">
        <f>'[12]Other Assumptions'!N26</f>
        <v>0</v>
      </c>
      <c r="O107" s="169">
        <f>'[12]Other Assumptions'!O26</f>
        <v>0</v>
      </c>
      <c r="P107" s="150">
        <f>'[12]Other Assumptions'!P26</f>
        <v>0</v>
      </c>
      <c r="Q107" s="150">
        <f>'[12]Other Assumptions'!Q26</f>
        <v>0</v>
      </c>
      <c r="R107" s="192">
        <f>'[12]Other Assumptions'!R26</f>
        <v>0</v>
      </c>
    </row>
    <row r="108" spans="3:18" ht="16" x14ac:dyDescent="0.2">
      <c r="C108" s="24" t="s">
        <v>2</v>
      </c>
      <c r="D108" s="149">
        <v>0</v>
      </c>
      <c r="E108" s="150">
        <v>0</v>
      </c>
      <c r="F108" s="150">
        <v>0</v>
      </c>
      <c r="G108" s="150">
        <v>0</v>
      </c>
      <c r="H108" s="150">
        <v>0</v>
      </c>
      <c r="I108" s="169">
        <v>0</v>
      </c>
      <c r="J108" s="169">
        <v>0</v>
      </c>
      <c r="K108" s="169">
        <f>'[12]Other Assumptions'!K27</f>
        <v>0</v>
      </c>
      <c r="L108" s="169">
        <f>'[12]Other Assumptions'!L27</f>
        <v>0</v>
      </c>
      <c r="M108" s="169">
        <f>'[12]Other Assumptions'!M27</f>
        <v>0</v>
      </c>
      <c r="N108" s="169">
        <f>'[12]Other Assumptions'!N27</f>
        <v>0</v>
      </c>
      <c r="O108" s="169">
        <f>'[12]Other Assumptions'!O27</f>
        <v>0</v>
      </c>
      <c r="P108" s="150">
        <f>'[12]Other Assumptions'!P27</f>
        <v>0</v>
      </c>
      <c r="Q108" s="150">
        <f>'[12]Other Assumptions'!Q27</f>
        <v>0</v>
      </c>
      <c r="R108" s="192">
        <f>'[12]Other Assumptions'!R27</f>
        <v>0</v>
      </c>
    </row>
    <row r="109" spans="3:18" ht="16" x14ac:dyDescent="0.2">
      <c r="C109" s="24" t="s">
        <v>3</v>
      </c>
      <c r="D109" s="149">
        <v>0</v>
      </c>
      <c r="E109" s="150">
        <v>0</v>
      </c>
      <c r="F109" s="150">
        <v>0</v>
      </c>
      <c r="G109" s="150">
        <v>0</v>
      </c>
      <c r="H109" s="150">
        <v>0</v>
      </c>
      <c r="I109" s="169">
        <v>0</v>
      </c>
      <c r="J109" s="169">
        <v>0</v>
      </c>
      <c r="K109" s="169">
        <f>'[12]Other Assumptions'!K28</f>
        <v>0</v>
      </c>
      <c r="L109" s="169">
        <f>'[12]Other Assumptions'!L28</f>
        <v>0</v>
      </c>
      <c r="M109" s="169">
        <f>'[12]Other Assumptions'!M28</f>
        <v>0</v>
      </c>
      <c r="N109" s="169">
        <f>'[12]Other Assumptions'!N28</f>
        <v>0</v>
      </c>
      <c r="O109" s="169">
        <f>'[12]Other Assumptions'!O28</f>
        <v>0</v>
      </c>
      <c r="P109" s="150">
        <f>'[12]Other Assumptions'!P28</f>
        <v>0</v>
      </c>
      <c r="Q109" s="150">
        <f>'[12]Other Assumptions'!Q28</f>
        <v>0</v>
      </c>
      <c r="R109" s="192">
        <f>'[12]Other Assumptions'!R28</f>
        <v>0</v>
      </c>
    </row>
    <row r="110" spans="3:18" ht="16" x14ac:dyDescent="0.2">
      <c r="C110" s="24" t="s">
        <v>4</v>
      </c>
      <c r="D110" s="149">
        <v>0</v>
      </c>
      <c r="E110" s="150">
        <v>0</v>
      </c>
      <c r="F110" s="150">
        <v>0</v>
      </c>
      <c r="G110" s="150">
        <v>0</v>
      </c>
      <c r="H110" s="150">
        <v>0</v>
      </c>
      <c r="I110" s="169">
        <v>0</v>
      </c>
      <c r="J110" s="169">
        <v>0</v>
      </c>
      <c r="K110" s="169">
        <f>'[12]Other Assumptions'!K29</f>
        <v>0</v>
      </c>
      <c r="L110" s="169">
        <f>'[12]Other Assumptions'!L29</f>
        <v>0</v>
      </c>
      <c r="M110" s="169">
        <f>'[12]Other Assumptions'!M29</f>
        <v>0</v>
      </c>
      <c r="N110" s="169">
        <f>'[12]Other Assumptions'!N29</f>
        <v>0</v>
      </c>
      <c r="O110" s="169">
        <f>'[12]Other Assumptions'!O29</f>
        <v>0</v>
      </c>
      <c r="P110" s="150">
        <f>'[12]Other Assumptions'!P29</f>
        <v>0</v>
      </c>
      <c r="Q110" s="150">
        <f>'[12]Other Assumptions'!Q29</f>
        <v>0</v>
      </c>
      <c r="R110" s="192">
        <f>'[12]Other Assumptions'!R29</f>
        <v>0</v>
      </c>
    </row>
    <row r="111" spans="3:18" ht="16" x14ac:dyDescent="0.2">
      <c r="C111" s="24" t="s">
        <v>5</v>
      </c>
      <c r="D111" s="149">
        <v>0</v>
      </c>
      <c r="E111" s="150">
        <v>0</v>
      </c>
      <c r="F111" s="150">
        <v>0</v>
      </c>
      <c r="G111" s="150">
        <v>0</v>
      </c>
      <c r="H111" s="150">
        <v>0</v>
      </c>
      <c r="I111" s="169">
        <v>0</v>
      </c>
      <c r="J111" s="169">
        <v>0</v>
      </c>
      <c r="K111" s="169">
        <f>'[12]Other Assumptions'!K30</f>
        <v>0</v>
      </c>
      <c r="L111" s="169">
        <f>'[12]Other Assumptions'!L30</f>
        <v>0</v>
      </c>
      <c r="M111" s="169">
        <f>'[12]Other Assumptions'!M30</f>
        <v>0</v>
      </c>
      <c r="N111" s="169">
        <f>'[12]Other Assumptions'!N30</f>
        <v>0</v>
      </c>
      <c r="O111" s="169">
        <f>'[12]Other Assumptions'!O30</f>
        <v>0</v>
      </c>
      <c r="P111" s="150">
        <f>'[12]Other Assumptions'!P30</f>
        <v>0</v>
      </c>
      <c r="Q111" s="150">
        <f>'[12]Other Assumptions'!Q30</f>
        <v>0</v>
      </c>
      <c r="R111" s="192">
        <f>'[12]Other Assumptions'!R30</f>
        <v>0</v>
      </c>
    </row>
    <row r="112" spans="3:18" ht="16" x14ac:dyDescent="0.2">
      <c r="C112" s="24" t="s">
        <v>6</v>
      </c>
      <c r="D112" s="149">
        <v>0</v>
      </c>
      <c r="E112" s="150">
        <v>0</v>
      </c>
      <c r="F112" s="150">
        <v>0</v>
      </c>
      <c r="G112" s="150">
        <v>0</v>
      </c>
      <c r="H112" s="150">
        <v>0</v>
      </c>
      <c r="I112" s="169">
        <v>0</v>
      </c>
      <c r="J112" s="169">
        <v>0</v>
      </c>
      <c r="K112" s="169">
        <f>'[12]Other Assumptions'!K31</f>
        <v>0</v>
      </c>
      <c r="L112" s="169">
        <f>'[12]Other Assumptions'!L31</f>
        <v>0</v>
      </c>
      <c r="M112" s="169">
        <f>'[12]Other Assumptions'!M31</f>
        <v>0</v>
      </c>
      <c r="N112" s="169">
        <f>'[12]Other Assumptions'!N31</f>
        <v>0</v>
      </c>
      <c r="O112" s="169">
        <f>'[12]Other Assumptions'!O31</f>
        <v>0</v>
      </c>
      <c r="P112" s="150">
        <f>'[12]Other Assumptions'!P31</f>
        <v>0</v>
      </c>
      <c r="Q112" s="150">
        <f>'[12]Other Assumptions'!Q31</f>
        <v>0</v>
      </c>
      <c r="R112" s="192">
        <f>'[12]Other Assumptions'!R31</f>
        <v>0</v>
      </c>
    </row>
    <row r="113" spans="3:18" ht="16" x14ac:dyDescent="0.2">
      <c r="C113" s="24" t="s">
        <v>7</v>
      </c>
      <c r="D113" s="149">
        <v>0</v>
      </c>
      <c r="E113" s="150">
        <v>0</v>
      </c>
      <c r="F113" s="150">
        <v>0</v>
      </c>
      <c r="G113" s="150">
        <v>0</v>
      </c>
      <c r="H113" s="150">
        <v>0</v>
      </c>
      <c r="I113" s="169">
        <v>0</v>
      </c>
      <c r="J113" s="169">
        <v>0</v>
      </c>
      <c r="K113" s="169">
        <f>'[12]Other Assumptions'!K32</f>
        <v>0</v>
      </c>
      <c r="L113" s="169">
        <f>'[12]Other Assumptions'!L32</f>
        <v>0</v>
      </c>
      <c r="M113" s="169">
        <f>'[12]Other Assumptions'!M32</f>
        <v>0</v>
      </c>
      <c r="N113" s="169">
        <f>'[12]Other Assumptions'!N32</f>
        <v>0</v>
      </c>
      <c r="O113" s="169">
        <f>'[12]Other Assumptions'!O32</f>
        <v>0</v>
      </c>
      <c r="P113" s="150">
        <f>'[12]Other Assumptions'!P32</f>
        <v>0</v>
      </c>
      <c r="Q113" s="150">
        <f>'[12]Other Assumptions'!Q32</f>
        <v>0</v>
      </c>
      <c r="R113" s="192">
        <f>'[12]Other Assumptions'!R32</f>
        <v>0</v>
      </c>
    </row>
    <row r="114" spans="3:18" ht="16" x14ac:dyDescent="0.2">
      <c r="C114" s="24" t="s">
        <v>8</v>
      </c>
      <c r="D114" s="149">
        <v>0</v>
      </c>
      <c r="E114" s="150">
        <v>0</v>
      </c>
      <c r="F114" s="150">
        <v>0</v>
      </c>
      <c r="G114" s="150">
        <v>0</v>
      </c>
      <c r="H114" s="150">
        <v>0</v>
      </c>
      <c r="I114" s="169">
        <v>0</v>
      </c>
      <c r="J114" s="169">
        <v>0</v>
      </c>
      <c r="K114" s="169">
        <f>'[12]Other Assumptions'!K33</f>
        <v>0</v>
      </c>
      <c r="L114" s="169">
        <f>'[12]Other Assumptions'!L33</f>
        <v>0</v>
      </c>
      <c r="M114" s="169">
        <f>'[12]Other Assumptions'!M33</f>
        <v>0</v>
      </c>
      <c r="N114" s="169">
        <f>'[12]Other Assumptions'!N33</f>
        <v>0</v>
      </c>
      <c r="O114" s="169">
        <f>'[12]Other Assumptions'!O33</f>
        <v>0</v>
      </c>
      <c r="P114" s="150">
        <f>'[12]Other Assumptions'!P33</f>
        <v>0</v>
      </c>
      <c r="Q114" s="150">
        <f>'[12]Other Assumptions'!Q33</f>
        <v>0</v>
      </c>
      <c r="R114" s="192">
        <f>'[12]Other Assumptions'!R33</f>
        <v>0</v>
      </c>
    </row>
    <row r="115" spans="3:18" ht="16" x14ac:dyDescent="0.2">
      <c r="C115" s="24" t="s">
        <v>9</v>
      </c>
      <c r="D115" s="149">
        <v>0</v>
      </c>
      <c r="E115" s="150">
        <v>0</v>
      </c>
      <c r="F115" s="150">
        <v>0</v>
      </c>
      <c r="G115" s="150">
        <v>0</v>
      </c>
      <c r="H115" s="150">
        <v>0</v>
      </c>
      <c r="I115" s="169">
        <v>0</v>
      </c>
      <c r="J115" s="169">
        <v>0</v>
      </c>
      <c r="K115" s="169">
        <f>'[12]Other Assumptions'!K34</f>
        <v>0</v>
      </c>
      <c r="L115" s="169">
        <f>'[12]Other Assumptions'!L34</f>
        <v>0</v>
      </c>
      <c r="M115" s="169">
        <f>'[12]Other Assumptions'!M34</f>
        <v>0</v>
      </c>
      <c r="N115" s="169">
        <f>'[12]Other Assumptions'!N34</f>
        <v>0</v>
      </c>
      <c r="O115" s="169">
        <f>'[12]Other Assumptions'!O34</f>
        <v>0</v>
      </c>
      <c r="P115" s="150">
        <f>'[12]Other Assumptions'!P34</f>
        <v>0</v>
      </c>
      <c r="Q115" s="150">
        <f>'[12]Other Assumptions'!Q34</f>
        <v>0</v>
      </c>
      <c r="R115" s="192">
        <f>'[12]Other Assumptions'!R34</f>
        <v>0</v>
      </c>
    </row>
    <row r="116" spans="3:18" ht="16" x14ac:dyDescent="0.2">
      <c r="C116" s="24" t="s">
        <v>10</v>
      </c>
      <c r="D116" s="149">
        <v>0</v>
      </c>
      <c r="E116" s="150">
        <v>0</v>
      </c>
      <c r="F116" s="150">
        <v>0</v>
      </c>
      <c r="G116" s="150">
        <v>0</v>
      </c>
      <c r="H116" s="150">
        <v>0</v>
      </c>
      <c r="I116" s="169">
        <v>0</v>
      </c>
      <c r="J116" s="169">
        <v>0</v>
      </c>
      <c r="K116" s="169">
        <f>'[12]Other Assumptions'!K35</f>
        <v>0</v>
      </c>
      <c r="L116" s="169">
        <f>'[12]Other Assumptions'!L35</f>
        <v>0</v>
      </c>
      <c r="M116" s="169">
        <f>'[12]Other Assumptions'!M35</f>
        <v>0</v>
      </c>
      <c r="N116" s="169">
        <f>'[12]Other Assumptions'!N35</f>
        <v>0</v>
      </c>
      <c r="O116" s="169">
        <f>'[12]Other Assumptions'!O35</f>
        <v>0</v>
      </c>
      <c r="P116" s="150">
        <f>'[12]Other Assumptions'!P35</f>
        <v>0</v>
      </c>
      <c r="Q116" s="150">
        <f>'[12]Other Assumptions'!Q35</f>
        <v>0</v>
      </c>
      <c r="R116" s="192">
        <f>'[12]Other Assumptions'!R35</f>
        <v>0</v>
      </c>
    </row>
    <row r="117" spans="3:18" ht="16" x14ac:dyDescent="0.2">
      <c r="C117" s="24" t="s">
        <v>11</v>
      </c>
      <c r="D117" s="149">
        <v>0</v>
      </c>
      <c r="E117" s="150">
        <v>0</v>
      </c>
      <c r="F117" s="150">
        <v>0</v>
      </c>
      <c r="G117" s="150">
        <v>0</v>
      </c>
      <c r="H117" s="150">
        <v>0</v>
      </c>
      <c r="I117" s="169">
        <v>0</v>
      </c>
      <c r="J117" s="169">
        <v>0</v>
      </c>
      <c r="K117" s="169">
        <f>'[12]Other Assumptions'!K36</f>
        <v>0</v>
      </c>
      <c r="L117" s="169">
        <f>'[12]Other Assumptions'!L36</f>
        <v>0</v>
      </c>
      <c r="M117" s="169">
        <f>'[12]Other Assumptions'!M36</f>
        <v>0</v>
      </c>
      <c r="N117" s="169">
        <f>'[12]Other Assumptions'!N36</f>
        <v>0</v>
      </c>
      <c r="O117" s="169">
        <f>'[12]Other Assumptions'!O36</f>
        <v>0</v>
      </c>
      <c r="P117" s="150">
        <f>'[12]Other Assumptions'!P36</f>
        <v>0</v>
      </c>
      <c r="Q117" s="150">
        <f>'[12]Other Assumptions'!Q36</f>
        <v>0</v>
      </c>
      <c r="R117" s="192">
        <f>'[12]Other Assumptions'!R36</f>
        <v>0</v>
      </c>
    </row>
    <row r="118" spans="3:18" ht="16" x14ac:dyDescent="0.2">
      <c r="C118" s="24" t="s">
        <v>12</v>
      </c>
      <c r="D118" s="149">
        <v>0</v>
      </c>
      <c r="E118" s="150">
        <v>0</v>
      </c>
      <c r="F118" s="150">
        <v>0</v>
      </c>
      <c r="G118" s="150">
        <v>0</v>
      </c>
      <c r="H118" s="150">
        <v>0</v>
      </c>
      <c r="I118" s="169">
        <v>0</v>
      </c>
      <c r="J118" s="169">
        <v>0</v>
      </c>
      <c r="K118" s="169">
        <f>'[12]Other Assumptions'!K37</f>
        <v>0</v>
      </c>
      <c r="L118" s="169">
        <f>'[12]Other Assumptions'!L37</f>
        <v>0</v>
      </c>
      <c r="M118" s="169">
        <f>'[12]Other Assumptions'!M37</f>
        <v>0</v>
      </c>
      <c r="N118" s="169">
        <f>'[12]Other Assumptions'!N37</f>
        <v>0</v>
      </c>
      <c r="O118" s="169">
        <f>'[12]Other Assumptions'!O37</f>
        <v>0</v>
      </c>
      <c r="P118" s="150">
        <f>'[12]Other Assumptions'!P37</f>
        <v>0</v>
      </c>
      <c r="Q118" s="150">
        <f>'[12]Other Assumptions'!Q37</f>
        <v>0</v>
      </c>
      <c r="R118" s="192">
        <f>'[12]Other Assumptions'!R37</f>
        <v>0</v>
      </c>
    </row>
    <row r="119" spans="3:18" ht="17" thickBot="1" x14ac:dyDescent="0.25">
      <c r="C119" s="25" t="s">
        <v>13</v>
      </c>
      <c r="D119" s="151">
        <v>0</v>
      </c>
      <c r="E119" s="152">
        <v>0</v>
      </c>
      <c r="F119" s="152">
        <v>0</v>
      </c>
      <c r="G119" s="152">
        <v>0</v>
      </c>
      <c r="H119" s="152">
        <v>0</v>
      </c>
      <c r="I119" s="179">
        <v>0</v>
      </c>
      <c r="J119" s="179">
        <v>0</v>
      </c>
      <c r="K119" s="179">
        <f>'[12]Other Assumptions'!K38</f>
        <v>0</v>
      </c>
      <c r="L119" s="179">
        <f>'[12]Other Assumptions'!L38</f>
        <v>0</v>
      </c>
      <c r="M119" s="179">
        <f>'[12]Other Assumptions'!M38</f>
        <v>0</v>
      </c>
      <c r="N119" s="179">
        <f>'[12]Other Assumptions'!N38</f>
        <v>0</v>
      </c>
      <c r="O119" s="179">
        <f>'[12]Other Assumptions'!O38</f>
        <v>0</v>
      </c>
      <c r="P119" s="152">
        <f>'[12]Other Assumptions'!P38</f>
        <v>0</v>
      </c>
      <c r="Q119" s="152">
        <f>'[12]Other Assumptions'!Q38</f>
        <v>0</v>
      </c>
      <c r="R119" s="193">
        <f>'[12]Other Assumptions'!R38</f>
        <v>0</v>
      </c>
    </row>
    <row r="120" spans="3:18" ht="14" thickTop="1" x14ac:dyDescent="0.1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C3:R36"/>
  <sheetViews>
    <sheetView zoomScale="90" zoomScaleNormal="90" workbookViewId="0">
      <selection activeCell="R37" sqref="R37"/>
    </sheetView>
  </sheetViews>
  <sheetFormatPr baseColWidth="10" defaultColWidth="8.83203125" defaultRowHeight="13" x14ac:dyDescent="0.15"/>
  <cols>
    <col min="3" max="3" width="44" customWidth="1"/>
    <col min="4" max="16" width="17.6640625" customWidth="1"/>
    <col min="17" max="18" width="16.33203125" customWidth="1"/>
  </cols>
  <sheetData>
    <row r="3" spans="3:18" ht="14" thickBot="1" x14ac:dyDescent="0.2"/>
    <row r="4" spans="3:18" ht="17" thickTop="1" x14ac:dyDescent="0.2">
      <c r="C4" s="32" t="s">
        <v>47</v>
      </c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34"/>
      <c r="Q4" s="34"/>
      <c r="R4" s="35"/>
    </row>
    <row r="5" spans="3:18" ht="14" thickBot="1" x14ac:dyDescent="0.2">
      <c r="C5" s="36"/>
      <c r="D5" s="37" t="s">
        <v>25</v>
      </c>
      <c r="E5" s="37" t="s">
        <v>37</v>
      </c>
      <c r="F5" s="37" t="s">
        <v>38</v>
      </c>
      <c r="G5" s="37" t="s">
        <v>177</v>
      </c>
      <c r="H5" s="37" t="s">
        <v>178</v>
      </c>
      <c r="I5" s="37" t="s">
        <v>26</v>
      </c>
      <c r="J5" s="37" t="s">
        <v>183</v>
      </c>
      <c r="K5" s="37" t="s">
        <v>27</v>
      </c>
      <c r="L5" s="37" t="s">
        <v>28</v>
      </c>
      <c r="M5" s="37" t="s">
        <v>29</v>
      </c>
      <c r="N5" s="37" t="s">
        <v>30</v>
      </c>
      <c r="O5" s="37" t="s">
        <v>31</v>
      </c>
      <c r="P5" s="37" t="s">
        <v>174</v>
      </c>
      <c r="Q5" s="37" t="s">
        <v>175</v>
      </c>
      <c r="R5" s="38" t="s">
        <v>176</v>
      </c>
    </row>
    <row r="6" spans="3:18" ht="15" thickTop="1" thickBot="1" x14ac:dyDescent="0.2">
      <c r="C6" s="70"/>
      <c r="D6" s="65" t="s">
        <v>39</v>
      </c>
      <c r="E6" s="65" t="s">
        <v>39</v>
      </c>
      <c r="F6" s="65" t="s">
        <v>39</v>
      </c>
      <c r="G6" s="65" t="s">
        <v>39</v>
      </c>
      <c r="H6" s="65" t="s">
        <v>39</v>
      </c>
      <c r="I6" s="65" t="s">
        <v>39</v>
      </c>
      <c r="J6" s="65" t="s">
        <v>39</v>
      </c>
      <c r="K6" s="65" t="s">
        <v>32</v>
      </c>
      <c r="L6" s="65" t="s">
        <v>32</v>
      </c>
      <c r="M6" s="65" t="s">
        <v>32</v>
      </c>
      <c r="N6" s="65" t="s">
        <v>32</v>
      </c>
      <c r="O6" s="65" t="s">
        <v>32</v>
      </c>
      <c r="P6" s="65" t="s">
        <v>32</v>
      </c>
      <c r="Q6" s="65" t="s">
        <v>32</v>
      </c>
      <c r="R6" s="66" t="s">
        <v>32</v>
      </c>
    </row>
    <row r="7" spans="3:18" ht="17" thickTop="1" x14ac:dyDescent="0.2">
      <c r="C7" s="24" t="s">
        <v>113</v>
      </c>
      <c r="D7" s="52">
        <f>'Car+SUV'!D21-'Car+SUV'!D145</f>
        <v>30613.689355067952</v>
      </c>
      <c r="E7" s="53">
        <f>'Car+SUV'!E21-'Car+SUV'!E145</f>
        <v>31098.979572422566</v>
      </c>
      <c r="F7" s="53">
        <f>'Car+SUV'!F21-'Car+SUV'!F145</f>
        <v>31876.938732869763</v>
      </c>
      <c r="G7" s="53">
        <f>'Car+SUV'!G21-'Car+SUV'!G145</f>
        <v>33051.635057013067</v>
      </c>
      <c r="H7" s="53">
        <f>'Car+SUV'!H21-'Car+SUV'!H145</f>
        <v>34121.587861308311</v>
      </c>
      <c r="I7" s="53">
        <f>'Car+SUV'!I21-'Car+SUV'!I145</f>
        <v>34739.353769954891</v>
      </c>
      <c r="J7" s="53">
        <f>'Car+SUV'!J21-'Car+SUV'!J145</f>
        <v>35098.58829202452</v>
      </c>
      <c r="K7" s="53">
        <f>'Car+SUV'!K21-'Car+SUV'!K145</f>
        <v>37650.06057238565</v>
      </c>
      <c r="L7" s="53">
        <f>'Car+SUV'!L21-'Car+SUV'!L145</f>
        <v>38223.132664954974</v>
      </c>
      <c r="M7" s="53">
        <f>'Car+SUV'!M21-'Car+SUV'!M145</f>
        <v>38442.692707468756</v>
      </c>
      <c r="N7" s="53">
        <f>'Car+SUV'!N21-'Car+SUV'!N145</f>
        <v>38259.10835494924</v>
      </c>
      <c r="O7" s="53">
        <f>'Car+SUV'!O21-'Car+SUV'!O145</f>
        <v>37948.150675254117</v>
      </c>
      <c r="P7" s="53">
        <f>'Car+SUV'!P21-'Car+SUV'!P145</f>
        <v>37560.434326105336</v>
      </c>
      <c r="Q7" s="53">
        <f>'Car+SUV'!Q21-'Car+SUV'!Q145</f>
        <v>37017.333975346766</v>
      </c>
      <c r="R7" s="54">
        <f>'Car+SUV'!R21-'Car+SUV'!R145</f>
        <v>36316.887151734678</v>
      </c>
    </row>
    <row r="8" spans="3:18" ht="16" x14ac:dyDescent="0.2">
      <c r="C8" s="24" t="s">
        <v>114</v>
      </c>
      <c r="D8" s="55">
        <f>'Van+Ute'!D21-'Van+Ute'!D145</f>
        <v>6225.763920082044</v>
      </c>
      <c r="E8" s="56">
        <f>'Van+Ute'!E21-'Van+Ute'!E145</f>
        <v>6562.575245763288</v>
      </c>
      <c r="F8" s="56">
        <f>'Van+Ute'!F21-'Van+Ute'!F145</f>
        <v>6996.3794099640199</v>
      </c>
      <c r="G8" s="56">
        <f>'Van+Ute'!G21-'Van+Ute'!G145</f>
        <v>7511.765142262976</v>
      </c>
      <c r="H8" s="56">
        <f>'Van+Ute'!H21-'Van+Ute'!H145</f>
        <v>8038.7908779505815</v>
      </c>
      <c r="I8" s="56">
        <f>'Van+Ute'!I21-'Van+Ute'!I145</f>
        <v>8663.4125058044647</v>
      </c>
      <c r="J8" s="56">
        <f>'Van+Ute'!J21-'Van+Ute'!J145</f>
        <v>9237.5981390832803</v>
      </c>
      <c r="K8" s="56">
        <f>'Van+Ute'!K21-'Van+Ute'!K145</f>
        <v>10588.573480615003</v>
      </c>
      <c r="L8" s="56">
        <f>'Van+Ute'!L21-'Van+Ute'!L145</f>
        <v>11308.010619470158</v>
      </c>
      <c r="M8" s="56">
        <f>'Van+Ute'!M21-'Van+Ute'!M145</f>
        <v>11843.920939752004</v>
      </c>
      <c r="N8" s="56">
        <f>'Van+Ute'!N21-'Van+Ute'!N145</f>
        <v>12299.542721687747</v>
      </c>
      <c r="O8" s="56">
        <f>'Van+Ute'!O21-'Van+Ute'!O145</f>
        <v>12777.337151008483</v>
      </c>
      <c r="P8" s="56">
        <f>'Van+Ute'!P21-'Van+Ute'!P145</f>
        <v>13272.247777652394</v>
      </c>
      <c r="Q8" s="56">
        <f>'Van+Ute'!Q21-'Van+Ute'!Q145</f>
        <v>13729.531450439939</v>
      </c>
      <c r="R8" s="57">
        <f>'Van+Ute'!R21-'Van+Ute'!R145</f>
        <v>14123.287704268952</v>
      </c>
    </row>
    <row r="9" spans="3:18" ht="16" x14ac:dyDescent="0.2">
      <c r="C9" s="24" t="s">
        <v>115</v>
      </c>
      <c r="D9" s="55">
        <f>'Car+SUV'!D145</f>
        <v>262.81779245548046</v>
      </c>
      <c r="E9" s="56">
        <f>'Car+SUV'!E145</f>
        <v>266.88733686006401</v>
      </c>
      <c r="F9" s="56">
        <f>'Car+SUV'!F145</f>
        <v>271.58944823315261</v>
      </c>
      <c r="G9" s="56">
        <f>'Car+SUV'!G145</f>
        <v>290.69149218598466</v>
      </c>
      <c r="H9" s="56">
        <f>'Car+SUV'!H145</f>
        <v>328.77035123657737</v>
      </c>
      <c r="I9" s="56">
        <f>'Car+SUV'!I145</f>
        <v>451.94991590508977</v>
      </c>
      <c r="J9" s="56">
        <f>'Car+SUV'!J145</f>
        <v>524.58025185836539</v>
      </c>
      <c r="K9" s="56">
        <f>'Car+SUV'!K145</f>
        <v>614.17640834693384</v>
      </c>
      <c r="L9" s="56">
        <f>'Car+SUV'!L145</f>
        <v>2309.2958918432519</v>
      </c>
      <c r="M9" s="56">
        <f>'Car+SUV'!M145</f>
        <v>4117.8142702534233</v>
      </c>
      <c r="N9" s="56">
        <f>'Car+SUV'!N145</f>
        <v>6002.4935206406035</v>
      </c>
      <c r="O9" s="56">
        <f>'Car+SUV'!O145</f>
        <v>7963.3593971271002</v>
      </c>
      <c r="P9" s="56">
        <f>'Car+SUV'!P145</f>
        <v>9978.2660624523487</v>
      </c>
      <c r="Q9" s="56">
        <f>'Car+SUV'!Q145</f>
        <v>12046.956515755641</v>
      </c>
      <c r="R9" s="57">
        <f>'Car+SUV'!R145</f>
        <v>14167.332692450718</v>
      </c>
    </row>
    <row r="10" spans="3:18" ht="16" x14ac:dyDescent="0.2">
      <c r="C10" s="24" t="s">
        <v>116</v>
      </c>
      <c r="D10" s="55">
        <f>'Van+Ute'!D145</f>
        <v>72.037163507162475</v>
      </c>
      <c r="E10" s="56">
        <f>'Van+Ute'!E145</f>
        <v>71.584924474733342</v>
      </c>
      <c r="F10" s="56">
        <f>'Van+Ute'!F145</f>
        <v>71.246826967757883</v>
      </c>
      <c r="G10" s="56">
        <f>'Van+Ute'!G145</f>
        <v>70.527300522370751</v>
      </c>
      <c r="H10" s="56">
        <f>'Van+Ute'!H145</f>
        <v>79.610439330117231</v>
      </c>
      <c r="I10" s="56">
        <f>'Van+Ute'!I145</f>
        <v>82.929003905534231</v>
      </c>
      <c r="J10" s="56">
        <f>'Van+Ute'!J145</f>
        <v>90.547637102659706</v>
      </c>
      <c r="K10" s="56">
        <f>'Van+Ute'!K145</f>
        <v>105.01081351690812</v>
      </c>
      <c r="L10" s="56">
        <f>'Van+Ute'!L145</f>
        <v>374.0572440597939</v>
      </c>
      <c r="M10" s="56">
        <f>'Van+Ute'!M145</f>
        <v>658.27777714486695</v>
      </c>
      <c r="N10" s="56">
        <f>'Van+Ute'!N145</f>
        <v>951.79996562575241</v>
      </c>
      <c r="O10" s="56">
        <f>'Van+Ute'!O145</f>
        <v>1254.6611127187289</v>
      </c>
      <c r="P10" s="56">
        <f>'Van+Ute'!P145</f>
        <v>1562.9403339491473</v>
      </c>
      <c r="Q10" s="56">
        <f>'Van+Ute'!Q145</f>
        <v>1876.798446993603</v>
      </c>
      <c r="R10" s="57">
        <f>'Van+Ute'!R145</f>
        <v>2195.9307645632066</v>
      </c>
    </row>
    <row r="11" spans="3:18" ht="16" x14ac:dyDescent="0.2">
      <c r="C11" s="24" t="s">
        <v>43</v>
      </c>
      <c r="D11" s="55">
        <f>'Heavy Truck'!D21</f>
        <v>2625.5817312218246</v>
      </c>
      <c r="E11" s="56">
        <f>'Heavy Truck'!E21</f>
        <v>2725.0931923571188</v>
      </c>
      <c r="F11" s="56">
        <f>'Heavy Truck'!F21</f>
        <v>2811.1511205060533</v>
      </c>
      <c r="G11" s="56">
        <f>'Heavy Truck'!G21</f>
        <v>2886.4625296213922</v>
      </c>
      <c r="H11" s="56">
        <f>'Heavy Truck'!H21</f>
        <v>2974.6447783585722</v>
      </c>
      <c r="I11" s="56">
        <f>'Heavy Truck'!I21</f>
        <v>3017.6676879199986</v>
      </c>
      <c r="J11" s="56">
        <f>'Heavy Truck'!J21</f>
        <v>3077.2057648425744</v>
      </c>
      <c r="K11" s="56">
        <f>'Heavy Truck'!K21</f>
        <v>3130.2408819958014</v>
      </c>
      <c r="L11" s="56">
        <f>'Heavy Truck'!L21</f>
        <v>3229.0160857382652</v>
      </c>
      <c r="M11" s="56">
        <f>'Heavy Truck'!M21</f>
        <v>3321.0269384109019</v>
      </c>
      <c r="N11" s="56">
        <f>'Heavy Truck'!N21</f>
        <v>3344.8507252526656</v>
      </c>
      <c r="O11" s="56">
        <f>'Heavy Truck'!O21</f>
        <v>3365.486436051558</v>
      </c>
      <c r="P11" s="56">
        <f>'Heavy Truck'!P21</f>
        <v>3421.0881646543467</v>
      </c>
      <c r="Q11" s="56">
        <f>'Heavy Truck'!Q21</f>
        <v>3471.9095089732086</v>
      </c>
      <c r="R11" s="57">
        <f>'Heavy Truck'!R21</f>
        <v>3518.1522161182356</v>
      </c>
    </row>
    <row r="12" spans="3:18" ht="16" x14ac:dyDescent="0.2">
      <c r="C12" s="24" t="s">
        <v>44</v>
      </c>
      <c r="D12" s="55">
        <f>'Heavy Bus'!D21</f>
        <v>245.25345477429616</v>
      </c>
      <c r="E12" s="56">
        <f>'Heavy Bus'!E21</f>
        <v>255.49508658811862</v>
      </c>
      <c r="F12" s="56">
        <f>'Heavy Bus'!F21</f>
        <v>263.52125939693201</v>
      </c>
      <c r="G12" s="56">
        <f>'Heavy Bus'!G21</f>
        <v>272.01059552122399</v>
      </c>
      <c r="H12" s="56">
        <f>'Heavy Bus'!H21</f>
        <v>285.50486420865337</v>
      </c>
      <c r="I12" s="56">
        <f>'Heavy Bus'!I21</f>
        <v>299.20374473000015</v>
      </c>
      <c r="J12" s="56">
        <f>'Heavy Bus'!J21</f>
        <v>320.30879022326218</v>
      </c>
      <c r="K12" s="56">
        <f>'Heavy Bus'!K21</f>
        <v>364.5645533531287</v>
      </c>
      <c r="L12" s="56">
        <f>'Heavy Bus'!L21</f>
        <v>424.6920495778935</v>
      </c>
      <c r="M12" s="56">
        <f>'Heavy Bus'!M21</f>
        <v>473.21379992181716</v>
      </c>
      <c r="N12" s="56">
        <f>'Heavy Bus'!N21</f>
        <v>528.24397627447786</v>
      </c>
      <c r="O12" s="56">
        <f>'Heavy Bus'!O21</f>
        <v>589.97169555201685</v>
      </c>
      <c r="P12" s="56">
        <f>'Heavy Bus'!P21</f>
        <v>661.67081759830614</v>
      </c>
      <c r="Q12" s="56">
        <f>'Heavy Bus'!Q21</f>
        <v>743.28615565588598</v>
      </c>
      <c r="R12" s="57">
        <f>'Heavy Bus'!R21</f>
        <v>836.83585169531159</v>
      </c>
    </row>
    <row r="13" spans="3:18" ht="17" thickBot="1" x14ac:dyDescent="0.25">
      <c r="C13" s="24" t="s">
        <v>42</v>
      </c>
      <c r="D13" s="55">
        <f>Motorcycle!D21</f>
        <v>385.37817629123339</v>
      </c>
      <c r="E13" s="56">
        <f>Motorcycle!E21</f>
        <v>394.47859881411927</v>
      </c>
      <c r="F13" s="56">
        <f>Motorcycle!F21</f>
        <v>399.980804562326</v>
      </c>
      <c r="G13" s="56">
        <f>Motorcycle!G21</f>
        <v>417.59118960297752</v>
      </c>
      <c r="H13" s="56">
        <f>Motorcycle!H21</f>
        <v>414.46709349717725</v>
      </c>
      <c r="I13" s="56">
        <f>Motorcycle!I21</f>
        <v>425.13386414999991</v>
      </c>
      <c r="J13" s="56">
        <f>Motorcycle!J21</f>
        <v>426.71135432533777</v>
      </c>
      <c r="K13" s="56">
        <f>Motorcycle!K21</f>
        <v>449.43311833919182</v>
      </c>
      <c r="L13" s="56">
        <f>Motorcycle!L21</f>
        <v>460.14529183978112</v>
      </c>
      <c r="M13" s="56">
        <f>Motorcycle!M21</f>
        <v>466.38235509787768</v>
      </c>
      <c r="N13" s="56">
        <f>Motorcycle!N21</f>
        <v>464.43527739442084</v>
      </c>
      <c r="O13" s="56">
        <f>Motorcycle!O21</f>
        <v>460.13936030832042</v>
      </c>
      <c r="P13" s="56">
        <f>Motorcycle!P21</f>
        <v>472.35893825226026</v>
      </c>
      <c r="Q13" s="56">
        <f>Motorcycle!Q21</f>
        <v>483.53295154073817</v>
      </c>
      <c r="R13" s="57">
        <f>Motorcycle!R21</f>
        <v>494.08261294746728</v>
      </c>
    </row>
    <row r="14" spans="3:18" ht="19" thickTop="1" thickBot="1" x14ac:dyDescent="0.25">
      <c r="C14" s="31" t="s">
        <v>45</v>
      </c>
      <c r="D14" s="61">
        <f>SUM(D7:D13)</f>
        <v>40430.521593400001</v>
      </c>
      <c r="E14" s="62">
        <f t="shared" ref="E14:O14" si="0">SUM(E7:E13)</f>
        <v>41375.093957280005</v>
      </c>
      <c r="F14" s="62">
        <f t="shared" si="0"/>
        <v>42690.807602500005</v>
      </c>
      <c r="G14" s="62">
        <f t="shared" ref="G14:H14" si="1">SUM(G7:G13)</f>
        <v>44500.683306730003</v>
      </c>
      <c r="H14" s="62">
        <f t="shared" si="1"/>
        <v>46243.376265889994</v>
      </c>
      <c r="I14" s="62">
        <f t="shared" si="0"/>
        <v>47679.650492369983</v>
      </c>
      <c r="J14" s="62">
        <f t="shared" ref="J14" si="2">SUM(J7:J13)</f>
        <v>48775.540229460006</v>
      </c>
      <c r="K14" s="62">
        <f t="shared" si="0"/>
        <v>52902.059828552614</v>
      </c>
      <c r="L14" s="62">
        <f t="shared" si="0"/>
        <v>56328.349847484118</v>
      </c>
      <c r="M14" s="62">
        <f t="shared" si="0"/>
        <v>59323.32878804965</v>
      </c>
      <c r="N14" s="62">
        <f t="shared" si="0"/>
        <v>61850.474541824908</v>
      </c>
      <c r="O14" s="62">
        <f t="shared" si="0"/>
        <v>64359.105828020329</v>
      </c>
      <c r="P14" s="62">
        <f t="shared" ref="P14:R14" si="3">SUM(P7:P13)</f>
        <v>66929.00642066414</v>
      </c>
      <c r="Q14" s="62">
        <f t="shared" si="3"/>
        <v>69369.349004705786</v>
      </c>
      <c r="R14" s="63">
        <f t="shared" si="3"/>
        <v>71652.508993778581</v>
      </c>
    </row>
    <row r="15" spans="3:18" ht="14" thickTop="1" x14ac:dyDescent="0.15"/>
    <row r="16" spans="3:18" ht="14" thickBot="1" x14ac:dyDescent="0.2"/>
    <row r="17" spans="3:18" ht="17" thickTop="1" x14ac:dyDescent="0.2">
      <c r="C17" s="32" t="s">
        <v>46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</row>
    <row r="18" spans="3:18" ht="14" thickBot="1" x14ac:dyDescent="0.2">
      <c r="C18" s="18"/>
      <c r="D18" s="65" t="s">
        <v>25</v>
      </c>
      <c r="E18" s="65" t="s">
        <v>37</v>
      </c>
      <c r="F18" s="65" t="s">
        <v>38</v>
      </c>
      <c r="G18" s="37" t="s">
        <v>177</v>
      </c>
      <c r="H18" s="37" t="s">
        <v>178</v>
      </c>
      <c r="I18" s="65" t="s">
        <v>26</v>
      </c>
      <c r="J18" s="37" t="s">
        <v>183</v>
      </c>
      <c r="K18" s="65" t="s">
        <v>27</v>
      </c>
      <c r="L18" s="65" t="s">
        <v>28</v>
      </c>
      <c r="M18" s="65" t="s">
        <v>29</v>
      </c>
      <c r="N18" s="65" t="s">
        <v>30</v>
      </c>
      <c r="O18" s="65" t="s">
        <v>31</v>
      </c>
      <c r="P18" s="37" t="s">
        <v>174</v>
      </c>
      <c r="Q18" s="37" t="s">
        <v>175</v>
      </c>
      <c r="R18" s="38" t="s">
        <v>176</v>
      </c>
    </row>
    <row r="19" spans="3:18" ht="15" thickTop="1" thickBot="1" x14ac:dyDescent="0.2">
      <c r="C19" s="70"/>
      <c r="D19" s="71" t="s">
        <v>39</v>
      </c>
      <c r="E19" s="71" t="s">
        <v>39</v>
      </c>
      <c r="F19" s="71" t="s">
        <v>39</v>
      </c>
      <c r="G19" s="71" t="s">
        <v>39</v>
      </c>
      <c r="H19" s="71" t="s">
        <v>39</v>
      </c>
      <c r="I19" s="71" t="s">
        <v>39</v>
      </c>
      <c r="J19" s="71" t="s">
        <v>39</v>
      </c>
      <c r="K19" s="71" t="s">
        <v>32</v>
      </c>
      <c r="L19" s="71" t="s">
        <v>32</v>
      </c>
      <c r="M19" s="71" t="s">
        <v>32</v>
      </c>
      <c r="N19" s="71" t="s">
        <v>32</v>
      </c>
      <c r="O19" s="71" t="s">
        <v>32</v>
      </c>
      <c r="P19" s="65" t="s">
        <v>32</v>
      </c>
      <c r="Q19" s="65" t="s">
        <v>32</v>
      </c>
      <c r="R19" s="66" t="s">
        <v>32</v>
      </c>
    </row>
    <row r="20" spans="3:18" ht="17" thickTop="1" x14ac:dyDescent="0.2">
      <c r="C20" s="24" t="s">
        <v>113</v>
      </c>
      <c r="D20" s="42">
        <f>'Car+SUV'!D42-'Car+SUV'!D165</f>
        <v>2754244</v>
      </c>
      <c r="E20" s="43">
        <f>'Car+SUV'!E42-'Car+SUV'!E165</f>
        <v>2825306.9999999995</v>
      </c>
      <c r="F20" s="43">
        <f>'Car+SUV'!F42-'Car+SUV'!F165</f>
        <v>2922022.0000000005</v>
      </c>
      <c r="G20" s="43">
        <f>'Car+SUV'!G42-'Car+SUV'!G165</f>
        <v>3028799</v>
      </c>
      <c r="H20" s="43">
        <f>'Car+SUV'!H42-'Car+SUV'!H165</f>
        <v>3144783.9999999995</v>
      </c>
      <c r="I20" s="43">
        <f>'Car+SUV'!I42-'Car+SUV'!I165</f>
        <v>3226155.1873411867</v>
      </c>
      <c r="J20" s="43">
        <f>'Car+SUV'!J42-'Car+SUV'!J165</f>
        <v>3298600.5305558695</v>
      </c>
      <c r="K20" s="43">
        <f>'Car+SUV'!K42-'Car+SUV'!K165</f>
        <v>3532927.6671348065</v>
      </c>
      <c r="L20" s="43">
        <f>'Car+SUV'!L42-'Car+SUV'!L165</f>
        <v>3626992.4296765332</v>
      </c>
      <c r="M20" s="43">
        <f>'Car+SUV'!M42-'Car+SUV'!M165</f>
        <v>3670829.4911997928</v>
      </c>
      <c r="N20" s="43">
        <f>'Car+SUV'!N42-'Car+SUV'!N165</f>
        <v>3672604.9560348117</v>
      </c>
      <c r="O20" s="40">
        <f>'Car+SUV'!O42-'Car+SUV'!O165</f>
        <v>3665656.6518624378</v>
      </c>
      <c r="P20" s="40">
        <f>'Car+SUV'!P42-'Car+SUV'!P165</f>
        <v>3596922.474628679</v>
      </c>
      <c r="Q20" s="40">
        <f>'Car+SUV'!Q42-'Car+SUV'!Q165</f>
        <v>3512132.9864089168</v>
      </c>
      <c r="R20" s="41">
        <f>'Car+SUV'!R42-'Car+SUV'!R165</f>
        <v>3412583.326943005</v>
      </c>
    </row>
    <row r="21" spans="3:18" ht="16" x14ac:dyDescent="0.2">
      <c r="C21" s="24" t="s">
        <v>114</v>
      </c>
      <c r="D21" s="42">
        <f>'Van+Ute'!D42-'Van+Ute'!D165</f>
        <v>435330</v>
      </c>
      <c r="E21" s="43">
        <f>'Van+Ute'!E42-'Van+Ute'!E165</f>
        <v>458186.00000000006</v>
      </c>
      <c r="F21" s="43">
        <f>'Van+Ute'!F42-'Van+Ute'!F165</f>
        <v>486009</v>
      </c>
      <c r="G21" s="43">
        <f>'Van+Ute'!G42-'Van+Ute'!G165</f>
        <v>519100.00000000012</v>
      </c>
      <c r="H21" s="43">
        <f>'Van+Ute'!H42-'Van+Ute'!H165</f>
        <v>559842.99999999988</v>
      </c>
      <c r="I21" s="43">
        <f>'Van+Ute'!I42-'Van+Ute'!I165</f>
        <v>611179.05688000412</v>
      </c>
      <c r="J21" s="43">
        <f>'Van+Ute'!J42-'Van+Ute'!J165</f>
        <v>652300.81633981492</v>
      </c>
      <c r="K21" s="43">
        <f>'Van+Ute'!K42-'Van+Ute'!K165</f>
        <v>702248.80049077712</v>
      </c>
      <c r="L21" s="43">
        <f>'Van+Ute'!L42-'Van+Ute'!L165</f>
        <v>747544.73720581399</v>
      </c>
      <c r="M21" s="43">
        <f>'Van+Ute'!M42-'Van+Ute'!M165</f>
        <v>779882.15191719017</v>
      </c>
      <c r="N21" s="43">
        <f>'Van+Ute'!N42-'Van+Ute'!N165</f>
        <v>805985.29511004081</v>
      </c>
      <c r="O21" s="43">
        <f>'Van+Ute'!O42-'Van+Ute'!O165</f>
        <v>833520.3794033305</v>
      </c>
      <c r="P21" s="43">
        <f>'Van+Ute'!P42-'Van+Ute'!P165</f>
        <v>854943.11208806233</v>
      </c>
      <c r="Q21" s="43">
        <f>'Van+Ute'!Q42-'Van+Ute'!Q165</f>
        <v>873796.09977181233</v>
      </c>
      <c r="R21" s="44">
        <f>'Van+Ute'!R42-'Van+Ute'!R165</f>
        <v>888834.76267565822</v>
      </c>
    </row>
    <row r="22" spans="3:18" ht="16" x14ac:dyDescent="0.2">
      <c r="C22" s="24" t="s">
        <v>115</v>
      </c>
      <c r="D22" s="42">
        <f>'Car+SUV'!D165</f>
        <v>7813</v>
      </c>
      <c r="E22" s="43">
        <f>'Car+SUV'!E165</f>
        <v>7938.0000000000009</v>
      </c>
      <c r="F22" s="43">
        <f>'Car+SUV'!F165</f>
        <v>8490</v>
      </c>
      <c r="G22" s="43">
        <f>'Car+SUV'!G165</f>
        <v>9863</v>
      </c>
      <c r="H22" s="43">
        <f>'Car+SUV'!H165</f>
        <v>10350</v>
      </c>
      <c r="I22" s="202">
        <f>'Car+SUV'!I165</f>
        <v>16979.548037889039</v>
      </c>
      <c r="J22" s="202">
        <f>'Car+SUV'!J165</f>
        <v>18750.757953677781</v>
      </c>
      <c r="K22" s="43">
        <f>'Car+SUV'!K165</f>
        <v>21951.143467577454</v>
      </c>
      <c r="L22" s="43">
        <f>'Car+SUV'!L165</f>
        <v>82652.863864617335</v>
      </c>
      <c r="M22" s="43">
        <f>'Car+SUV'!M165</f>
        <v>147463.51841956153</v>
      </c>
      <c r="N22" s="43">
        <f>'Car+SUV'!N165</f>
        <v>215050.07711042592</v>
      </c>
      <c r="O22" s="43">
        <f>'Car+SUV'!O165</f>
        <v>285408.58099841559</v>
      </c>
      <c r="P22" s="43">
        <f>'Car+SUV'!P165</f>
        <v>357747.45716364594</v>
      </c>
      <c r="Q22" s="43">
        <f>'Car+SUV'!Q165</f>
        <v>432055.11848068621</v>
      </c>
      <c r="R22" s="44">
        <f>'Car+SUV'!R165</f>
        <v>508255.82781115355</v>
      </c>
    </row>
    <row r="23" spans="3:18" ht="16" x14ac:dyDescent="0.2">
      <c r="C23" s="24" t="s">
        <v>116</v>
      </c>
      <c r="D23" s="42">
        <f>'Van+Ute'!D165</f>
        <v>2433</v>
      </c>
      <c r="E23" s="43">
        <f>'Van+Ute'!E165</f>
        <v>2426</v>
      </c>
      <c r="F23" s="43">
        <f>'Van+Ute'!F165</f>
        <v>2514</v>
      </c>
      <c r="G23" s="43">
        <f>'Van+Ute'!G165</f>
        <v>2607</v>
      </c>
      <c r="H23" s="43">
        <f>'Van+Ute'!H165</f>
        <v>2927</v>
      </c>
      <c r="I23" s="202">
        <f>'Van+Ute'!I165</f>
        <v>3294.9080749072987</v>
      </c>
      <c r="J23" s="202">
        <f>'Van+Ute'!J165</f>
        <v>3442.1542892367393</v>
      </c>
      <c r="K23" s="43">
        <f>'Van+Ute'!K165</f>
        <v>3991.8188293617391</v>
      </c>
      <c r="L23" s="43">
        <f>'Van+Ute'!L165</f>
        <v>14394.382656733334</v>
      </c>
      <c r="M23" s="43">
        <f>'Van+Ute'!M165</f>
        <v>25375.089287861705</v>
      </c>
      <c r="N23" s="43">
        <f>'Van+Ute'!N165</f>
        <v>36705.078985248576</v>
      </c>
      <c r="O23" s="43">
        <f>'Van+Ute'!O165</f>
        <v>48384.10635038223</v>
      </c>
      <c r="P23" s="43">
        <f>'Van+Ute'!P165</f>
        <v>60262.613435607906</v>
      </c>
      <c r="Q23" s="43">
        <f>'Van+Ute'!Q165</f>
        <v>72344.829486488452</v>
      </c>
      <c r="R23" s="44">
        <f>'Van+Ute'!R165</f>
        <v>84618.935394043991</v>
      </c>
    </row>
    <row r="24" spans="3:18" ht="16" x14ac:dyDescent="0.2">
      <c r="C24" s="24" t="s">
        <v>43</v>
      </c>
      <c r="D24" s="42">
        <f>'Heavy Truck'!D28</f>
        <v>143848</v>
      </c>
      <c r="E24" s="43">
        <f>'Heavy Truck'!E28</f>
        <v>150083</v>
      </c>
      <c r="F24" s="43">
        <f>'Heavy Truck'!F28</f>
        <v>157513</v>
      </c>
      <c r="G24" s="43">
        <f>'Heavy Truck'!G28</f>
        <v>164004</v>
      </c>
      <c r="H24" s="43">
        <f>'Heavy Truck'!H28</f>
        <v>170042</v>
      </c>
      <c r="I24" s="202">
        <f>'Heavy Truck'!I28</f>
        <v>146454</v>
      </c>
      <c r="J24" s="219">
        <f>'Heavy Truck'!J28</f>
        <v>151306</v>
      </c>
      <c r="K24" s="219">
        <f>'Heavy Truck'!K28</f>
        <v>153901.1437978165</v>
      </c>
      <c r="L24" s="43">
        <f>'Heavy Truck'!L28</f>
        <v>158342.62904259309</v>
      </c>
      <c r="M24" s="43">
        <f>'Heavy Truck'!M28</f>
        <v>162471.97561532832</v>
      </c>
      <c r="N24" s="43">
        <f>'Heavy Truck'!N28</f>
        <v>162971.96460365996</v>
      </c>
      <c r="O24" s="43">
        <f>'Heavy Truck'!O28</f>
        <v>163348.76865620245</v>
      </c>
      <c r="P24" s="43">
        <f>'Heavy Truck'!P28</f>
        <v>165790.46804953905</v>
      </c>
      <c r="Q24" s="43">
        <f>'Heavy Truck'!Q28</f>
        <v>168012.80458191145</v>
      </c>
      <c r="R24" s="44">
        <f>'Heavy Truck'!R28</f>
        <v>170025.10263006168</v>
      </c>
    </row>
    <row r="25" spans="3:18" ht="16" x14ac:dyDescent="0.2">
      <c r="C25" s="24" t="s">
        <v>44</v>
      </c>
      <c r="D25" s="42">
        <f>'Heavy Bus'!D28</f>
        <v>8974</v>
      </c>
      <c r="E25" s="43">
        <f>'Heavy Bus'!E28</f>
        <v>9253</v>
      </c>
      <c r="F25" s="43">
        <f>'Heavy Bus'!F28</f>
        <v>9440</v>
      </c>
      <c r="G25" s="43">
        <f>'Heavy Bus'!G28</f>
        <v>9791</v>
      </c>
      <c r="H25" s="43">
        <f>'Heavy Bus'!H28</f>
        <v>10339</v>
      </c>
      <c r="I25" s="202">
        <f>'Heavy Bus'!I28</f>
        <v>10786</v>
      </c>
      <c r="J25" s="202">
        <f>'Heavy Bus'!J28</f>
        <v>11380</v>
      </c>
      <c r="K25" s="43">
        <f>'Heavy Bus'!K28</f>
        <v>13522.777117149966</v>
      </c>
      <c r="L25" s="43">
        <f>'Heavy Bus'!L28</f>
        <v>15825.725442495463</v>
      </c>
      <c r="M25" s="43">
        <f>'Heavy Bus'!M28</f>
        <v>17647.871378487293</v>
      </c>
      <c r="N25" s="43">
        <f>'Heavy Bus'!N28</f>
        <v>19699.360720310862</v>
      </c>
      <c r="O25" s="43">
        <f>'Heavy Bus'!O28</f>
        <v>21987.948642138374</v>
      </c>
      <c r="P25" s="43">
        <f>'Heavy Bus'!P28</f>
        <v>24624.543980797924</v>
      </c>
      <c r="Q25" s="43">
        <f>'Heavy Bus'!Q28</f>
        <v>27616.534960699839</v>
      </c>
      <c r="R25" s="44">
        <f>'Heavy Bus'!R28</f>
        <v>31039.377541998467</v>
      </c>
    </row>
    <row r="26" spans="3:18" ht="17" thickBot="1" x14ac:dyDescent="0.25">
      <c r="C26" s="24" t="s">
        <v>42</v>
      </c>
      <c r="D26" s="42">
        <f>Motorcycle!D42</f>
        <v>143948.00000000003</v>
      </c>
      <c r="E26" s="43">
        <f>Motorcycle!E42</f>
        <v>148565</v>
      </c>
      <c r="F26" s="43">
        <f>Motorcycle!F42</f>
        <v>154673.00000000003</v>
      </c>
      <c r="G26" s="43">
        <f>Motorcycle!G42</f>
        <v>160194</v>
      </c>
      <c r="H26" s="43">
        <f>Motorcycle!H42</f>
        <v>166050</v>
      </c>
      <c r="I26" s="202">
        <f>Motorcycle!I42</f>
        <v>172054</v>
      </c>
      <c r="J26" s="202">
        <f>Motorcycle!J42</f>
        <v>178842</v>
      </c>
      <c r="K26" s="43">
        <f>Motorcycle!K42</f>
        <v>188379.58514710344</v>
      </c>
      <c r="L26" s="43">
        <f>Motorcycle!L42</f>
        <v>192873.16145756986</v>
      </c>
      <c r="M26" s="43">
        <f>Motorcycle!M42</f>
        <v>195499.07091874044</v>
      </c>
      <c r="N26" s="43">
        <f>Motorcycle!N42</f>
        <v>194697.10104179545</v>
      </c>
      <c r="O26" s="43">
        <f>Motorcycle!O42</f>
        <v>192907.37584210592</v>
      </c>
      <c r="P26" s="43">
        <f>Motorcycle!P42</f>
        <v>198040.44791319061</v>
      </c>
      <c r="Q26" s="43">
        <f>Motorcycle!Q42</f>
        <v>202734.38223674739</v>
      </c>
      <c r="R26" s="44">
        <f>Motorcycle!R42</f>
        <v>207165.69293667088</v>
      </c>
    </row>
    <row r="27" spans="3:18" ht="19" thickTop="1" thickBot="1" x14ac:dyDescent="0.25">
      <c r="C27" s="31" t="s">
        <v>45</v>
      </c>
      <c r="D27" s="48">
        <f t="shared" ref="D27:O27" si="4">SUM(D20:D26)</f>
        <v>3496590</v>
      </c>
      <c r="E27" s="48">
        <f t="shared" si="4"/>
        <v>3601757.9999999995</v>
      </c>
      <c r="F27" s="48">
        <f t="shared" si="4"/>
        <v>3740661.0000000005</v>
      </c>
      <c r="G27" s="48">
        <f t="shared" ref="G27:H27" si="5">SUM(G20:G26)</f>
        <v>3894358</v>
      </c>
      <c r="H27" s="48">
        <f t="shared" si="5"/>
        <v>4064334.9999999995</v>
      </c>
      <c r="I27" s="48">
        <f t="shared" si="4"/>
        <v>4186902.7003339874</v>
      </c>
      <c r="J27" s="48">
        <f t="shared" ref="J27" si="6">SUM(J20:J26)</f>
        <v>4314622.259138599</v>
      </c>
      <c r="K27" s="48">
        <f t="shared" si="4"/>
        <v>4616922.935984592</v>
      </c>
      <c r="L27" s="48">
        <f t="shared" si="4"/>
        <v>4838625.9293463565</v>
      </c>
      <c r="M27" s="48">
        <f t="shared" si="4"/>
        <v>4999169.1687369617</v>
      </c>
      <c r="N27" s="48">
        <f t="shared" si="4"/>
        <v>5107713.8336062934</v>
      </c>
      <c r="O27" s="48">
        <f t="shared" si="4"/>
        <v>5211213.8117550127</v>
      </c>
      <c r="P27" s="48">
        <f t="shared" ref="P27:R27" si="7">SUM(P20:P26)</f>
        <v>5258331.1172595229</v>
      </c>
      <c r="Q27" s="48">
        <f t="shared" si="7"/>
        <v>5288692.7559272619</v>
      </c>
      <c r="R27" s="49">
        <f t="shared" si="7"/>
        <v>5302523.0259325923</v>
      </c>
    </row>
    <row r="28" spans="3:18" ht="14" thickTop="1" x14ac:dyDescent="0.15"/>
    <row r="30" spans="3:18" x14ac:dyDescent="0.15">
      <c r="D30" s="132"/>
      <c r="E30" s="132"/>
      <c r="F30" s="132"/>
      <c r="G30" s="132"/>
      <c r="H30" s="132"/>
      <c r="I30" s="132"/>
      <c r="J30" s="132"/>
      <c r="K30" s="132"/>
      <c r="L30" s="132"/>
      <c r="M30" s="132"/>
    </row>
    <row r="31" spans="3:18" x14ac:dyDescent="0.15">
      <c r="D31" s="132"/>
      <c r="E31" s="132"/>
      <c r="F31" s="132"/>
      <c r="G31" s="132"/>
      <c r="H31" s="132"/>
      <c r="I31" s="132"/>
      <c r="J31" s="132"/>
      <c r="K31" s="132"/>
      <c r="L31" s="132"/>
      <c r="M31" s="132"/>
    </row>
    <row r="32" spans="3:18" x14ac:dyDescent="0.15">
      <c r="D32" s="132"/>
      <c r="E32" s="132"/>
      <c r="F32" s="132"/>
      <c r="G32" s="132"/>
      <c r="H32" s="132"/>
      <c r="I32" s="132"/>
      <c r="J32" s="132"/>
      <c r="K32" s="132"/>
      <c r="L32" s="132"/>
      <c r="M32" s="132"/>
    </row>
    <row r="33" spans="4:13" x14ac:dyDescent="0.15">
      <c r="D33" s="132"/>
      <c r="E33" s="132"/>
      <c r="F33" s="132"/>
      <c r="G33" s="132"/>
      <c r="H33" s="132"/>
      <c r="I33" s="132"/>
      <c r="J33" s="132"/>
      <c r="K33" s="132"/>
      <c r="L33" s="132"/>
      <c r="M33" s="132"/>
    </row>
    <row r="34" spans="4:13" x14ac:dyDescent="0.15">
      <c r="D34" s="132"/>
      <c r="E34" s="132"/>
      <c r="F34" s="132"/>
      <c r="G34" s="132"/>
      <c r="H34" s="132"/>
      <c r="I34" s="132"/>
      <c r="J34" s="132"/>
      <c r="K34" s="132"/>
      <c r="L34" s="132"/>
      <c r="M34" s="132"/>
    </row>
    <row r="35" spans="4:13" x14ac:dyDescent="0.15"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spans="4:13" x14ac:dyDescent="0.15">
      <c r="D36" s="132"/>
      <c r="E36" s="132"/>
      <c r="F36" s="132"/>
      <c r="G36" s="132"/>
      <c r="H36" s="132"/>
      <c r="I36" s="132"/>
      <c r="J36" s="132"/>
      <c r="K36" s="132"/>
      <c r="L36" s="132"/>
      <c r="M36" s="132"/>
    </row>
  </sheetData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1"/>
  <dimension ref="C2:R222"/>
  <sheetViews>
    <sheetView topLeftCell="A16" zoomScale="90" zoomScaleNormal="90" workbookViewId="0">
      <selection activeCell="K158" sqref="K158"/>
    </sheetView>
  </sheetViews>
  <sheetFormatPr baseColWidth="10" defaultColWidth="8.83203125" defaultRowHeight="13" x14ac:dyDescent="0.15"/>
  <cols>
    <col min="3" max="3" width="27.6640625" customWidth="1"/>
    <col min="4" max="18" width="17.6640625" customWidth="1"/>
  </cols>
  <sheetData>
    <row r="2" spans="3:16" x14ac:dyDescent="0.15">
      <c r="C2" s="174" t="b">
        <v>1</v>
      </c>
      <c r="D2" t="s">
        <v>166</v>
      </c>
      <c r="L2" s="177">
        <f>1-'All Light Vehicles'!$I$63/'Light Vehicle Supporting Data'!$I$61</f>
        <v>2.3753537084217569E-2</v>
      </c>
    </row>
    <row r="3" spans="3:16" x14ac:dyDescent="0.15">
      <c r="D3" t="s">
        <v>153</v>
      </c>
    </row>
    <row r="4" spans="3:16" x14ac:dyDescent="0.15">
      <c r="D4" t="s">
        <v>154</v>
      </c>
    </row>
    <row r="5" spans="3:16" x14ac:dyDescent="0.15">
      <c r="D5" t="s">
        <v>155</v>
      </c>
    </row>
    <row r="7" spans="3:16" ht="14" thickBot="1" x14ac:dyDescent="0.2"/>
    <row r="8" spans="3:16" ht="29.25" customHeight="1" thickTop="1" x14ac:dyDescent="0.2">
      <c r="C8" s="226" t="s">
        <v>157</v>
      </c>
      <c r="D8" s="227"/>
      <c r="E8" s="227"/>
      <c r="F8" s="227"/>
      <c r="G8" s="33"/>
      <c r="H8" s="34"/>
      <c r="I8" s="35"/>
      <c r="J8" s="121"/>
      <c r="K8" s="121"/>
      <c r="L8" s="121"/>
      <c r="M8" s="121"/>
    </row>
    <row r="9" spans="3:16" ht="14" thickBot="1" x14ac:dyDescent="0.2">
      <c r="C9" s="36"/>
      <c r="D9" s="37" t="s">
        <v>25</v>
      </c>
      <c r="E9" s="37" t="s">
        <v>37</v>
      </c>
      <c r="F9" s="37" t="s">
        <v>38</v>
      </c>
      <c r="G9" s="37" t="s">
        <v>177</v>
      </c>
      <c r="H9" s="37" t="s">
        <v>178</v>
      </c>
      <c r="I9" s="37" t="s">
        <v>26</v>
      </c>
      <c r="J9" s="65" t="s">
        <v>183</v>
      </c>
      <c r="K9" s="175"/>
      <c r="L9" s="65"/>
      <c r="M9" s="65"/>
      <c r="N9" s="65"/>
      <c r="O9" s="65"/>
      <c r="P9" s="65"/>
    </row>
    <row r="10" spans="3:16" ht="15" thickTop="1" thickBot="1" x14ac:dyDescent="0.2">
      <c r="C10" s="18"/>
      <c r="D10" s="65" t="s">
        <v>39</v>
      </c>
      <c r="E10" s="65" t="s">
        <v>39</v>
      </c>
      <c r="F10" s="65" t="s">
        <v>39</v>
      </c>
      <c r="G10" s="65" t="s">
        <v>39</v>
      </c>
      <c r="H10" s="65" t="s">
        <v>39</v>
      </c>
      <c r="I10" s="65" t="s">
        <v>39</v>
      </c>
      <c r="J10" s="65"/>
      <c r="K10" s="175"/>
      <c r="L10" s="65"/>
      <c r="M10" s="65"/>
      <c r="N10" s="65"/>
      <c r="O10" s="65"/>
      <c r="P10" s="65"/>
    </row>
    <row r="11" spans="3:16" ht="17" thickTop="1" x14ac:dyDescent="0.2">
      <c r="C11" s="27" t="s">
        <v>0</v>
      </c>
      <c r="D11" s="52"/>
      <c r="E11" s="53"/>
      <c r="F11" s="53"/>
      <c r="G11" s="53"/>
      <c r="H11" s="53"/>
      <c r="I11" s="68">
        <f>1-'All Light Vehicles'!I49/'Light Vehicle Supporting Data'!I47</f>
        <v>-0.36593859828318975</v>
      </c>
      <c r="J11" s="68">
        <f>1-'All Light Vehicles'!J49/'Light Vehicle Supporting Data'!J47</f>
        <v>-0.41727678751871355</v>
      </c>
      <c r="K11" s="55"/>
      <c r="L11" s="56"/>
      <c r="M11" s="56"/>
      <c r="N11" s="56"/>
      <c r="O11" s="56"/>
      <c r="P11" s="56"/>
    </row>
    <row r="12" spans="3:16" ht="16" x14ac:dyDescent="0.2">
      <c r="C12" s="24" t="s">
        <v>1</v>
      </c>
      <c r="D12" s="55"/>
      <c r="E12" s="56"/>
      <c r="F12" s="56"/>
      <c r="G12" s="56"/>
      <c r="H12" s="56"/>
      <c r="I12" s="150">
        <f>1-'All Light Vehicles'!I50/'Light Vehicle Supporting Data'!I48</f>
        <v>0.15722954675229206</v>
      </c>
      <c r="J12" s="150">
        <f>1-'All Light Vehicles'!J50/'Light Vehicle Supporting Data'!J48</f>
        <v>0.12921230864482847</v>
      </c>
      <c r="K12" s="55"/>
      <c r="L12" s="56"/>
      <c r="M12" s="56"/>
      <c r="N12" s="56"/>
      <c r="O12" s="56"/>
      <c r="P12" s="56"/>
    </row>
    <row r="13" spans="3:16" ht="16" x14ac:dyDescent="0.2">
      <c r="C13" s="24" t="s">
        <v>2</v>
      </c>
      <c r="D13" s="55"/>
      <c r="E13" s="56"/>
      <c r="F13" s="56"/>
      <c r="G13" s="56"/>
      <c r="H13" s="56"/>
      <c r="I13" s="150">
        <f>1-'All Light Vehicles'!I51/'Light Vehicle Supporting Data'!I49</f>
        <v>-9.1165768775129052E-2</v>
      </c>
      <c r="J13" s="150">
        <f>1-'All Light Vehicles'!J51/'Light Vehicle Supporting Data'!J49</f>
        <v>-0.11274323054038682</v>
      </c>
      <c r="K13" s="55"/>
      <c r="L13" s="56"/>
      <c r="M13" s="56"/>
      <c r="N13" s="56"/>
      <c r="O13" s="56"/>
      <c r="P13" s="56"/>
    </row>
    <row r="14" spans="3:16" ht="16" x14ac:dyDescent="0.2">
      <c r="C14" s="24" t="s">
        <v>3</v>
      </c>
      <c r="D14" s="55"/>
      <c r="E14" s="56"/>
      <c r="F14" s="56"/>
      <c r="G14" s="56"/>
      <c r="H14" s="56"/>
      <c r="I14" s="150">
        <f>1-'All Light Vehicles'!I52/'Light Vehicle Supporting Data'!I50</f>
        <v>-2.1497686612200084E-2</v>
      </c>
      <c r="J14" s="150">
        <f>1-'All Light Vehicles'!J52/'Light Vehicle Supporting Data'!J50</f>
        <v>-4.8889200811365496E-2</v>
      </c>
      <c r="K14" s="55"/>
      <c r="L14" s="56"/>
      <c r="M14" s="56"/>
      <c r="N14" s="56"/>
      <c r="O14" s="56"/>
      <c r="P14" s="56"/>
    </row>
    <row r="15" spans="3:16" ht="16" x14ac:dyDescent="0.2">
      <c r="C15" s="24" t="s">
        <v>4</v>
      </c>
      <c r="D15" s="55"/>
      <c r="E15" s="56"/>
      <c r="F15" s="56"/>
      <c r="G15" s="56"/>
      <c r="H15" s="56"/>
      <c r="I15" s="150">
        <f>1-'All Light Vehicles'!I53/'Light Vehicle Supporting Data'!I51</f>
        <v>-0.16205711325166772</v>
      </c>
      <c r="J15" s="150">
        <f>1-'All Light Vehicles'!J53/'Light Vehicle Supporting Data'!J51</f>
        <v>-0.14883713685451982</v>
      </c>
      <c r="K15" s="55"/>
      <c r="L15" s="56"/>
      <c r="M15" s="56"/>
      <c r="N15" s="56"/>
      <c r="O15" s="56"/>
      <c r="P15" s="56"/>
    </row>
    <row r="16" spans="3:16" ht="16" x14ac:dyDescent="0.2">
      <c r="C16" s="24" t="s">
        <v>5</v>
      </c>
      <c r="D16" s="55"/>
      <c r="E16" s="56"/>
      <c r="F16" s="56"/>
      <c r="G16" s="56"/>
      <c r="H16" s="56"/>
      <c r="I16" s="150">
        <f>1-'All Light Vehicles'!I54/'Light Vehicle Supporting Data'!I52</f>
        <v>-0.12012536870372692</v>
      </c>
      <c r="J16" s="150">
        <f>1-'All Light Vehicles'!J54/'Light Vehicle Supporting Data'!J52</f>
        <v>-0.1715911481648833</v>
      </c>
      <c r="K16" s="55"/>
      <c r="L16" s="56"/>
      <c r="M16" s="56"/>
      <c r="N16" s="56"/>
      <c r="O16" s="56"/>
      <c r="P16" s="56"/>
    </row>
    <row r="17" spans="3:18" ht="16" x14ac:dyDescent="0.2">
      <c r="C17" s="24" t="s">
        <v>6</v>
      </c>
      <c r="D17" s="55"/>
      <c r="E17" s="56"/>
      <c r="F17" s="56"/>
      <c r="G17" s="56"/>
      <c r="H17" s="56"/>
      <c r="I17" s="150">
        <f>1-'All Light Vehicles'!I55/'Light Vehicle Supporting Data'!I53</f>
        <v>0.12566880741060216</v>
      </c>
      <c r="J17" s="150">
        <f>1-'All Light Vehicles'!J55/'Light Vehicle Supporting Data'!J53</f>
        <v>0.15539663584765706</v>
      </c>
      <c r="K17" s="55"/>
      <c r="L17" s="56"/>
      <c r="M17" s="56"/>
      <c r="N17" s="56"/>
      <c r="O17" s="56"/>
      <c r="P17" s="56"/>
    </row>
    <row r="18" spans="3:18" ht="16" x14ac:dyDescent="0.2">
      <c r="C18" s="24" t="s">
        <v>7</v>
      </c>
      <c r="D18" s="55"/>
      <c r="E18" s="56"/>
      <c r="F18" s="56"/>
      <c r="G18" s="56"/>
      <c r="H18" s="56"/>
      <c r="I18" s="150">
        <f>1-'All Light Vehicles'!I56/'Light Vehicle Supporting Data'!I54</f>
        <v>1.6255079370287584E-3</v>
      </c>
      <c r="J18" s="150">
        <f>1-'All Light Vehicles'!J56/'Light Vehicle Supporting Data'!J54</f>
        <v>-2.7609083738506568E-2</v>
      </c>
      <c r="K18" s="55"/>
      <c r="L18" s="56"/>
      <c r="M18" s="56"/>
      <c r="N18" s="56"/>
      <c r="O18" s="56"/>
      <c r="P18" s="56"/>
    </row>
    <row r="19" spans="3:18" ht="16" x14ac:dyDescent="0.2">
      <c r="C19" s="24" t="s">
        <v>8</v>
      </c>
      <c r="D19" s="55"/>
      <c r="E19" s="56"/>
      <c r="F19" s="56"/>
      <c r="G19" s="56"/>
      <c r="H19" s="56"/>
      <c r="I19" s="150">
        <f>1-'All Light Vehicles'!I57/'Light Vehicle Supporting Data'!I55</f>
        <v>0.25445065096303843</v>
      </c>
      <c r="J19" s="150">
        <f>1-'All Light Vehicles'!J57/'Light Vehicle Supporting Data'!J55</f>
        <v>0.24670422012498627</v>
      </c>
      <c r="K19" s="55"/>
      <c r="L19" s="56"/>
      <c r="M19" s="56"/>
      <c r="N19" s="56"/>
      <c r="O19" s="56"/>
      <c r="P19" s="56"/>
    </row>
    <row r="20" spans="3:18" ht="16" x14ac:dyDescent="0.2">
      <c r="C20" s="24" t="s">
        <v>9</v>
      </c>
      <c r="D20" s="55"/>
      <c r="E20" s="56"/>
      <c r="F20" s="56"/>
      <c r="G20" s="56"/>
      <c r="H20" s="56"/>
      <c r="I20" s="150">
        <f>1-'All Light Vehicles'!I58/'Light Vehicle Supporting Data'!I56</f>
        <v>-1.0354140423017189E-2</v>
      </c>
      <c r="J20" s="150">
        <f>1-'All Light Vehicles'!J58/'Light Vehicle Supporting Data'!J56</f>
        <v>-2.0046982381124234E-2</v>
      </c>
      <c r="K20" s="55"/>
      <c r="L20" s="56"/>
      <c r="M20" s="56"/>
      <c r="N20" s="56"/>
      <c r="O20" s="56"/>
      <c r="P20" s="56"/>
    </row>
    <row r="21" spans="3:18" ht="16" x14ac:dyDescent="0.2">
      <c r="C21" s="24" t="s">
        <v>10</v>
      </c>
      <c r="D21" s="55"/>
      <c r="E21" s="56"/>
      <c r="F21" s="56"/>
      <c r="G21" s="56"/>
      <c r="H21" s="56"/>
      <c r="I21" s="150">
        <f>1-'All Light Vehicles'!I59/'Light Vehicle Supporting Data'!I57</f>
        <v>-0.86062495083669366</v>
      </c>
      <c r="J21" s="150">
        <f>1-'All Light Vehicles'!J59/'Light Vehicle Supporting Data'!J57</f>
        <v>-0.84900645955754639</v>
      </c>
      <c r="K21" s="55"/>
      <c r="L21" s="56"/>
      <c r="M21" s="56"/>
      <c r="N21" s="56"/>
      <c r="O21" s="56"/>
      <c r="P21" s="56"/>
    </row>
    <row r="22" spans="3:18" ht="16" x14ac:dyDescent="0.2">
      <c r="C22" s="24" t="s">
        <v>11</v>
      </c>
      <c r="D22" s="55"/>
      <c r="E22" s="56"/>
      <c r="F22" s="56"/>
      <c r="G22" s="56"/>
      <c r="H22" s="56"/>
      <c r="I22" s="150">
        <f>1-'All Light Vehicles'!I60/'Light Vehicle Supporting Data'!I58</f>
        <v>-2.1526937875615548E-2</v>
      </c>
      <c r="J22" s="150">
        <f>1-'All Light Vehicles'!J60/'Light Vehicle Supporting Data'!J58</f>
        <v>-3.1193951835568168E-2</v>
      </c>
      <c r="K22" s="55"/>
      <c r="L22" s="56"/>
      <c r="M22" s="56"/>
      <c r="N22" s="56"/>
      <c r="O22" s="56"/>
      <c r="P22" s="56"/>
    </row>
    <row r="23" spans="3:18" ht="16" x14ac:dyDescent="0.2">
      <c r="C23" s="24" t="s">
        <v>12</v>
      </c>
      <c r="D23" s="55"/>
      <c r="E23" s="56"/>
      <c r="F23" s="56"/>
      <c r="G23" s="56"/>
      <c r="H23" s="56"/>
      <c r="I23" s="150">
        <f>1-'All Light Vehicles'!I61/'Light Vehicle Supporting Data'!I59</f>
        <v>-0.36823941349376388</v>
      </c>
      <c r="J23" s="150">
        <f>1-'All Light Vehicles'!J61/'Light Vehicle Supporting Data'!J59</f>
        <v>-0.41961047197086243</v>
      </c>
      <c r="K23" s="55"/>
      <c r="L23" s="56"/>
      <c r="M23" s="56"/>
      <c r="N23" s="56"/>
      <c r="O23" s="56"/>
      <c r="P23" s="56"/>
    </row>
    <row r="24" spans="3:18" ht="17" thickBot="1" x14ac:dyDescent="0.25">
      <c r="C24" s="25" t="s">
        <v>13</v>
      </c>
      <c r="D24" s="58"/>
      <c r="E24" s="59"/>
      <c r="F24" s="59"/>
      <c r="G24" s="59"/>
      <c r="H24" s="59"/>
      <c r="I24" s="152">
        <f>1-'All Light Vehicles'!I62/'Light Vehicle Supporting Data'!I60</f>
        <v>-0.29550216801312801</v>
      </c>
      <c r="J24" s="152">
        <f>1-'All Light Vehicles'!J62/'Light Vehicle Supporting Data'!J60</f>
        <v>-0.42905866925893532</v>
      </c>
      <c r="K24" s="55"/>
      <c r="L24" s="56"/>
      <c r="M24" s="56"/>
      <c r="N24" s="56"/>
      <c r="O24" s="56"/>
      <c r="P24" s="56"/>
    </row>
    <row r="25" spans="3:18" ht="19" thickTop="1" thickBot="1" x14ac:dyDescent="0.25">
      <c r="C25" s="31" t="s">
        <v>24</v>
      </c>
      <c r="D25" s="61"/>
      <c r="E25" s="62"/>
      <c r="F25" s="56"/>
      <c r="G25" s="62"/>
      <c r="H25" s="62"/>
      <c r="I25" s="211">
        <f>1-'All Light Vehicles'!I63/'Light Vehicle Supporting Data'!I61</f>
        <v>2.3753537084217569E-2</v>
      </c>
      <c r="J25" s="211">
        <f>1-'All Light Vehicles'!J63/'Light Vehicle Supporting Data'!J61</f>
        <v>-3.0958036527928279E-4</v>
      </c>
      <c r="K25" s="55"/>
      <c r="L25" s="56"/>
      <c r="M25" s="56"/>
      <c r="N25" s="56"/>
      <c r="O25" s="56"/>
      <c r="P25" s="56"/>
    </row>
    <row r="26" spans="3:18" ht="17" thickTop="1" x14ac:dyDescent="0.2">
      <c r="C26" s="154"/>
      <c r="D26" s="129"/>
      <c r="E26" s="129"/>
      <c r="F26" s="129"/>
      <c r="G26" s="167"/>
      <c r="H26" s="167"/>
      <c r="I26" s="167"/>
      <c r="J26" s="167"/>
      <c r="K26" s="167"/>
      <c r="L26" s="167"/>
      <c r="M26" s="167"/>
    </row>
    <row r="27" spans="3:18" ht="16" x14ac:dyDescent="0.2">
      <c r="C27" s="128"/>
      <c r="D27" s="56"/>
      <c r="E27" s="56"/>
      <c r="F27" s="56"/>
      <c r="G27" s="56"/>
      <c r="H27" s="56"/>
      <c r="I27" s="56"/>
      <c r="J27" s="56"/>
      <c r="K27" s="56"/>
      <c r="L27" s="56"/>
      <c r="M27" s="56"/>
    </row>
    <row r="28" spans="3:18" ht="17" thickBot="1" x14ac:dyDescent="0.25">
      <c r="C28" s="128"/>
      <c r="D28" s="56"/>
      <c r="E28" s="56"/>
      <c r="F28" s="56"/>
      <c r="G28" s="56"/>
      <c r="H28" s="56"/>
      <c r="I28" s="56"/>
      <c r="J28" s="56"/>
      <c r="K28" s="56"/>
      <c r="L28" s="56"/>
      <c r="M28" s="56"/>
    </row>
    <row r="29" spans="3:18" ht="17" thickTop="1" x14ac:dyDescent="0.2">
      <c r="C29" s="32" t="s">
        <v>109</v>
      </c>
      <c r="D29" s="33"/>
      <c r="E29" s="33"/>
      <c r="F29" s="33"/>
      <c r="G29" s="33"/>
      <c r="H29" s="33"/>
      <c r="I29" s="33"/>
      <c r="J29" s="33"/>
      <c r="K29" s="34"/>
      <c r="L29" s="34"/>
      <c r="M29" s="34"/>
      <c r="N29" s="34"/>
      <c r="O29" s="34"/>
      <c r="P29" s="34"/>
      <c r="Q29" s="34"/>
      <c r="R29" s="35"/>
    </row>
    <row r="30" spans="3:18" ht="14" thickBot="1" x14ac:dyDescent="0.2">
      <c r="C30" s="36"/>
      <c r="D30" s="37" t="s">
        <v>25</v>
      </c>
      <c r="E30" s="37" t="s">
        <v>37</v>
      </c>
      <c r="F30" s="37" t="s">
        <v>38</v>
      </c>
      <c r="G30" s="37" t="s">
        <v>177</v>
      </c>
      <c r="H30" s="37" t="s">
        <v>178</v>
      </c>
      <c r="I30" s="37" t="s">
        <v>26</v>
      </c>
      <c r="J30" s="37" t="s">
        <v>183</v>
      </c>
      <c r="K30" s="37" t="s">
        <v>27</v>
      </c>
      <c r="L30" s="37" t="s">
        <v>28</v>
      </c>
      <c r="M30" s="37" t="s">
        <v>29</v>
      </c>
      <c r="N30" s="37" t="s">
        <v>30</v>
      </c>
      <c r="O30" s="37" t="s">
        <v>31</v>
      </c>
      <c r="P30" s="37" t="s">
        <v>174</v>
      </c>
      <c r="Q30" s="37" t="s">
        <v>175</v>
      </c>
      <c r="R30" s="38" t="s">
        <v>176</v>
      </c>
    </row>
    <row r="31" spans="3:18" ht="15" thickTop="1" thickBot="1" x14ac:dyDescent="0.2">
      <c r="C31" s="18"/>
      <c r="D31" s="65" t="s">
        <v>39</v>
      </c>
      <c r="E31" s="65" t="s">
        <v>39</v>
      </c>
      <c r="F31" s="65" t="s">
        <v>39</v>
      </c>
      <c r="G31" s="65" t="s">
        <v>39</v>
      </c>
      <c r="H31" s="65" t="s">
        <v>39</v>
      </c>
      <c r="I31" s="65" t="s">
        <v>39</v>
      </c>
      <c r="J31" s="65" t="s">
        <v>39</v>
      </c>
      <c r="K31" s="65" t="s">
        <v>32</v>
      </c>
      <c r="L31" s="65" t="s">
        <v>32</v>
      </c>
      <c r="M31" s="65" t="s">
        <v>32</v>
      </c>
      <c r="N31" s="65" t="s">
        <v>32</v>
      </c>
      <c r="O31" s="65" t="s">
        <v>32</v>
      </c>
      <c r="P31" s="65" t="s">
        <v>32</v>
      </c>
      <c r="Q31" s="65" t="s">
        <v>32</v>
      </c>
      <c r="R31" s="66" t="s">
        <v>32</v>
      </c>
    </row>
    <row r="32" spans="3:18" ht="17" thickTop="1" x14ac:dyDescent="0.2">
      <c r="C32" s="27" t="s">
        <v>0</v>
      </c>
      <c r="D32" s="52">
        <f>'[10]Total Distance Tables'!$B$9</f>
        <v>0.75976041549999995</v>
      </c>
      <c r="E32" s="53">
        <f t="shared" ref="E32:E45" si="0">D32*4/5 + I32/5</f>
        <v>0.7820647634542166</v>
      </c>
      <c r="F32" s="53">
        <f t="shared" ref="F32:F45" si="1">D32*3/5+I32*2/5</f>
        <v>0.80436911140843337</v>
      </c>
      <c r="G32" s="53">
        <f>D32*2/5+I32*3/5</f>
        <v>0.82667345936264991</v>
      </c>
      <c r="H32" s="53">
        <f>D32*1/5+I32*4/5</f>
        <v>0.84897780731686667</v>
      </c>
      <c r="I32" s="53">
        <f>'[10]Total Distance Tables'!C9</f>
        <v>0.87128215527108333</v>
      </c>
      <c r="J32" s="53">
        <f>I32*4/5+K32/5</f>
        <v>0.89031841529241096</v>
      </c>
      <c r="K32" s="53">
        <f>'[10]Total Distance Tables'!D9</f>
        <v>0.96646345537772127</v>
      </c>
      <c r="L32" s="53">
        <f>'[10]Total Distance Tables'!E9</f>
        <v>98.441921322491353</v>
      </c>
      <c r="M32" s="53">
        <f>'[10]Total Distance Tables'!F9</f>
        <v>199.32445759454282</v>
      </c>
      <c r="N32" s="53">
        <f>'[10]Total Distance Tables'!G9</f>
        <v>301.04613997711596</v>
      </c>
      <c r="O32" s="53">
        <f>'[10]Total Distance Tables'!H9</f>
        <v>402.44149055337368</v>
      </c>
      <c r="P32" s="53">
        <f>'[10]Total Distance Tables'!I9</f>
        <v>505.70911075354621</v>
      </c>
      <c r="Q32" s="53">
        <f>'[10]Total Distance Tables'!J9</f>
        <v>608.24605623361356</v>
      </c>
      <c r="R32" s="54">
        <f>'[10]Total Distance Tables'!K9</f>
        <v>709.81344952431652</v>
      </c>
    </row>
    <row r="33" spans="3:18" ht="16" x14ac:dyDescent="0.2">
      <c r="C33" s="24" t="s">
        <v>1</v>
      </c>
      <c r="D33" s="55">
        <f>'[10]Total Distance Tables'!$B$20</f>
        <v>41.157157814999998</v>
      </c>
      <c r="E33" s="56">
        <f t="shared" si="0"/>
        <v>42.976446024449977</v>
      </c>
      <c r="F33" s="56">
        <f t="shared" si="1"/>
        <v>44.79573423389995</v>
      </c>
      <c r="G33" s="56">
        <f t="shared" ref="G33:G45" si="2">D33*2/5+I33*3/5</f>
        <v>46.615022443349929</v>
      </c>
      <c r="H33" s="56">
        <f t="shared" ref="H33:H45" si="3">D33*1/5+I33*4/5</f>
        <v>48.434310652799915</v>
      </c>
      <c r="I33" s="56">
        <f>'[10]Total Distance Tables'!C20</f>
        <v>50.253598862249895</v>
      </c>
      <c r="J33" s="56">
        <f t="shared" ref="J33:J45" si="4">I33*4/5+K33/5</f>
        <v>51.917999813174688</v>
      </c>
      <c r="K33" s="56">
        <f>'[10]Total Distance Tables'!D20</f>
        <v>58.57560361687387</v>
      </c>
      <c r="L33" s="56">
        <f>'[10]Total Distance Tables'!E20</f>
        <v>997.4191850918204</v>
      </c>
      <c r="M33" s="56">
        <f>'[10]Total Distance Tables'!F20</f>
        <v>2034.4772272169362</v>
      </c>
      <c r="N33" s="56">
        <f>'[10]Total Distance Tables'!G20</f>
        <v>3145.6459778807948</v>
      </c>
      <c r="O33" s="56">
        <f>'[10]Total Distance Tables'!H20</f>
        <v>4324.2220062171336</v>
      </c>
      <c r="P33" s="56">
        <f>'[10]Total Distance Tables'!I20</f>
        <v>5596.1251925027309</v>
      </c>
      <c r="Q33" s="56">
        <f>'[10]Total Distance Tables'!J20</f>
        <v>6938.0685049124168</v>
      </c>
      <c r="R33" s="57">
        <f>'[10]Total Distance Tables'!K20</f>
        <v>8347.2852774487037</v>
      </c>
    </row>
    <row r="34" spans="3:18" ht="16" x14ac:dyDescent="0.2">
      <c r="C34" s="24" t="s">
        <v>2</v>
      </c>
      <c r="D34" s="55">
        <f>'[10]Total Distance Tables'!$B$31</f>
        <v>2.4426175743999998</v>
      </c>
      <c r="E34" s="56">
        <f t="shared" si="0"/>
        <v>2.5306277852264292</v>
      </c>
      <c r="F34" s="56">
        <f t="shared" si="1"/>
        <v>2.6186379960528585</v>
      </c>
      <c r="G34" s="56">
        <f t="shared" si="2"/>
        <v>2.7066482068792874</v>
      </c>
      <c r="H34" s="56">
        <f t="shared" si="3"/>
        <v>2.7946584177057168</v>
      </c>
      <c r="I34" s="56">
        <f>'[10]Total Distance Tables'!C31</f>
        <v>2.8826686285321461</v>
      </c>
      <c r="J34" s="56">
        <f t="shared" si="4"/>
        <v>2.9551167494374262</v>
      </c>
      <c r="K34" s="56">
        <f>'[10]Total Distance Tables'!D31</f>
        <v>3.2449092330585461</v>
      </c>
      <c r="L34" s="56">
        <f>'[10]Total Distance Tables'!E31</f>
        <v>353.04612931612559</v>
      </c>
      <c r="M34" s="56">
        <f>'[10]Total Distance Tables'!F31</f>
        <v>726.16789554219611</v>
      </c>
      <c r="N34" s="56">
        <f>'[10]Total Distance Tables'!G31</f>
        <v>1114.3321314086511</v>
      </c>
      <c r="O34" s="56">
        <f>'[10]Total Distance Tables'!H31</f>
        <v>1515.1589643448724</v>
      </c>
      <c r="P34" s="56">
        <f>'[10]Total Distance Tables'!I31</f>
        <v>1935.247382388043</v>
      </c>
      <c r="Q34" s="56">
        <f>'[10]Total Distance Tables'!J31</f>
        <v>2365.8672495202559</v>
      </c>
      <c r="R34" s="57">
        <f>'[10]Total Distance Tables'!K31</f>
        <v>2806.2594862081196</v>
      </c>
    </row>
    <row r="35" spans="3:18" ht="16" x14ac:dyDescent="0.2">
      <c r="C35" s="24" t="s">
        <v>3</v>
      </c>
      <c r="D35" s="55">
        <f>'[10]Total Distance Tables'!$B$42</f>
        <v>0.98369936449999995</v>
      </c>
      <c r="E35" s="56">
        <f t="shared" si="0"/>
        <v>1.0159276101731041</v>
      </c>
      <c r="F35" s="56">
        <f t="shared" si="1"/>
        <v>1.0481558558462081</v>
      </c>
      <c r="G35" s="56">
        <f t="shared" si="2"/>
        <v>1.0803841015193123</v>
      </c>
      <c r="H35" s="56">
        <f t="shared" si="3"/>
        <v>1.1126123471924165</v>
      </c>
      <c r="I35" s="56">
        <f>'[10]Total Distance Tables'!C42</f>
        <v>1.1448405928655205</v>
      </c>
      <c r="J35" s="56">
        <f t="shared" si="4"/>
        <v>1.1718565135713446</v>
      </c>
      <c r="K35" s="56">
        <f>'[10]Total Distance Tables'!D42</f>
        <v>1.2799201963946412</v>
      </c>
      <c r="L35" s="56">
        <f>'[10]Total Distance Tables'!E42</f>
        <v>201.84365659883633</v>
      </c>
      <c r="M35" s="56">
        <f>'[10]Total Distance Tables'!F42</f>
        <v>412.70391544897382</v>
      </c>
      <c r="N35" s="56">
        <f>'[10]Total Distance Tables'!G42</f>
        <v>628.88005361106104</v>
      </c>
      <c r="O35" s="56">
        <f>'[10]Total Distance Tables'!H42</f>
        <v>848.86036106597123</v>
      </c>
      <c r="P35" s="56">
        <f>'[10]Total Distance Tables'!I42</f>
        <v>1077.1656813268089</v>
      </c>
      <c r="Q35" s="56">
        <f>'[10]Total Distance Tables'!J42</f>
        <v>1308.2109478182083</v>
      </c>
      <c r="R35" s="57">
        <f>'[10]Total Distance Tables'!K42</f>
        <v>1541.4926132443704</v>
      </c>
    </row>
    <row r="36" spans="3:18" ht="16" x14ac:dyDescent="0.2">
      <c r="C36" s="24" t="s">
        <v>4</v>
      </c>
      <c r="D36" s="55">
        <f>'[10]Total Distance Tables'!$B$53</f>
        <v>0.1174510768</v>
      </c>
      <c r="E36" s="56">
        <f t="shared" si="0"/>
        <v>0.11995930081887385</v>
      </c>
      <c r="F36" s="56">
        <f t="shared" si="1"/>
        <v>0.1224675248377477</v>
      </c>
      <c r="G36" s="56">
        <f t="shared" si="2"/>
        <v>0.12497574885662155</v>
      </c>
      <c r="H36" s="56">
        <f t="shared" si="3"/>
        <v>0.1274839728754954</v>
      </c>
      <c r="I36" s="56">
        <f>'[10]Total Distance Tables'!C53</f>
        <v>0.12999219689436925</v>
      </c>
      <c r="J36" s="56">
        <f t="shared" si="4"/>
        <v>0.13221369179111944</v>
      </c>
      <c r="K36" s="56">
        <f>'[10]Total Distance Tables'!D53</f>
        <v>0.14109967137812021</v>
      </c>
      <c r="L36" s="56">
        <f>'[10]Total Distance Tables'!E53</f>
        <v>22.554083792987402</v>
      </c>
      <c r="M36" s="56">
        <f>'[10]Total Distance Tables'!F53</f>
        <v>45.080469459925567</v>
      </c>
      <c r="N36" s="56">
        <f>'[10]Total Distance Tables'!G53</f>
        <v>67.072421923345203</v>
      </c>
      <c r="O36" s="56">
        <f>'[10]Total Distance Tables'!H53</f>
        <v>88.407081703853095</v>
      </c>
      <c r="P36" s="56">
        <f>'[10]Total Distance Tables'!I53</f>
        <v>109.55858260018466</v>
      </c>
      <c r="Q36" s="56">
        <f>'[10]Total Distance Tables'!J53</f>
        <v>129.94294258384545</v>
      </c>
      <c r="R36" s="57">
        <f>'[10]Total Distance Tables'!K53</f>
        <v>149.52926688544488</v>
      </c>
    </row>
    <row r="37" spans="3:18" ht="16" x14ac:dyDescent="0.2">
      <c r="C37" s="24" t="s">
        <v>5</v>
      </c>
      <c r="D37" s="55">
        <f>'[10]Total Distance Tables'!$B$64</f>
        <v>1.7589425135000001</v>
      </c>
      <c r="E37" s="56">
        <f t="shared" si="0"/>
        <v>1.7990307951715812</v>
      </c>
      <c r="F37" s="56">
        <f t="shared" si="1"/>
        <v>1.8391190768431624</v>
      </c>
      <c r="G37" s="56">
        <f t="shared" si="2"/>
        <v>1.8792073585147437</v>
      </c>
      <c r="H37" s="56">
        <f t="shared" si="3"/>
        <v>1.919295640186325</v>
      </c>
      <c r="I37" s="56">
        <f>'[10]Total Distance Tables'!C64</f>
        <v>1.9593839218579061</v>
      </c>
      <c r="J37" s="56">
        <f t="shared" si="4"/>
        <v>1.993517258228372</v>
      </c>
      <c r="K37" s="56">
        <f>'[10]Total Distance Tables'!D64</f>
        <v>2.1300506037102349</v>
      </c>
      <c r="L37" s="56">
        <f>'[10]Total Distance Tables'!E64</f>
        <v>90.162885783097636</v>
      </c>
      <c r="M37" s="56">
        <f>'[10]Total Distance Tables'!F64</f>
        <v>179.02160351233553</v>
      </c>
      <c r="N37" s="56">
        <f>'[10]Total Distance Tables'!G64</f>
        <v>266.50350681158028</v>
      </c>
      <c r="O37" s="56">
        <f>'[10]Total Distance Tables'!H64</f>
        <v>351.78537334398339</v>
      </c>
      <c r="P37" s="56">
        <f>'[10]Total Distance Tables'!I64</f>
        <v>436.53570335811065</v>
      </c>
      <c r="Q37" s="56">
        <f>'[10]Total Distance Tables'!J64</f>
        <v>518.64168715347978</v>
      </c>
      <c r="R37" s="57">
        <f>'[10]Total Distance Tables'!K64</f>
        <v>597.96139993838415</v>
      </c>
    </row>
    <row r="38" spans="3:18" ht="16" x14ac:dyDescent="0.2">
      <c r="C38" s="24" t="s">
        <v>6</v>
      </c>
      <c r="D38" s="55">
        <f>'[10]Total Distance Tables'!$B$75</f>
        <v>1.1335038904000001</v>
      </c>
      <c r="E38" s="56">
        <f t="shared" si="0"/>
        <v>1.1617224848730541</v>
      </c>
      <c r="F38" s="56">
        <f t="shared" si="1"/>
        <v>1.189941079346108</v>
      </c>
      <c r="G38" s="56">
        <f t="shared" si="2"/>
        <v>1.2181596738191618</v>
      </c>
      <c r="H38" s="56">
        <f t="shared" si="3"/>
        <v>1.246378268292216</v>
      </c>
      <c r="I38" s="56">
        <f>'[10]Total Distance Tables'!C75</f>
        <v>1.2745968627652697</v>
      </c>
      <c r="J38" s="56">
        <f t="shared" si="4"/>
        <v>1.2990931076380374</v>
      </c>
      <c r="K38" s="56">
        <f>'[10]Total Distance Tables'!D75</f>
        <v>1.3970780871291077</v>
      </c>
      <c r="L38" s="56">
        <f>'[10]Total Distance Tables'!E75</f>
        <v>90.432587059996209</v>
      </c>
      <c r="M38" s="56">
        <f>'[10]Total Distance Tables'!F75</f>
        <v>182.11374677202289</v>
      </c>
      <c r="N38" s="56">
        <f>'[10]Total Distance Tables'!G75</f>
        <v>274.6778717333919</v>
      </c>
      <c r="O38" s="56">
        <f>'[10]Total Distance Tables'!H75</f>
        <v>367.61118983296728</v>
      </c>
      <c r="P38" s="56">
        <f>'[10]Total Distance Tables'!I75</f>
        <v>462.62589694881103</v>
      </c>
      <c r="Q38" s="56">
        <f>'[10]Total Distance Tables'!J75</f>
        <v>557.31818462028787</v>
      </c>
      <c r="R38" s="57">
        <f>'[10]Total Distance Tables'!K75</f>
        <v>651.46698002003961</v>
      </c>
    </row>
    <row r="39" spans="3:18" ht="16" x14ac:dyDescent="0.2">
      <c r="C39" s="24" t="s">
        <v>7</v>
      </c>
      <c r="D39" s="55">
        <f>'[10]Total Distance Tables'!$B$86</f>
        <v>5.6344181790999999</v>
      </c>
      <c r="E39" s="56">
        <f t="shared" si="0"/>
        <v>5.764787666855292</v>
      </c>
      <c r="F39" s="56">
        <f t="shared" si="1"/>
        <v>5.8951571546105832</v>
      </c>
      <c r="G39" s="56">
        <f t="shared" si="2"/>
        <v>6.0255266423658744</v>
      </c>
      <c r="H39" s="56">
        <f t="shared" si="3"/>
        <v>6.1558961301211657</v>
      </c>
      <c r="I39" s="56">
        <f>'[10]Total Distance Tables'!C86</f>
        <v>6.2862656178764578</v>
      </c>
      <c r="J39" s="56">
        <f t="shared" si="4"/>
        <v>6.3916727957382964</v>
      </c>
      <c r="K39" s="56">
        <f>'[10]Total Distance Tables'!D86</f>
        <v>6.8133015071856491</v>
      </c>
      <c r="L39" s="56">
        <f>'[10]Total Distance Tables'!E86</f>
        <v>152.82388138305578</v>
      </c>
      <c r="M39" s="56">
        <f>'[10]Total Distance Tables'!F86</f>
        <v>299.78569209757393</v>
      </c>
      <c r="N39" s="56">
        <f>'[10]Total Distance Tables'!G86</f>
        <v>444.13030360782898</v>
      </c>
      <c r="O39" s="56">
        <f>'[10]Total Distance Tables'!H86</f>
        <v>584.68222424785245</v>
      </c>
      <c r="P39" s="56">
        <f>'[10]Total Distance Tables'!I86</f>
        <v>723.56156515067687</v>
      </c>
      <c r="Q39" s="56">
        <f>'[10]Total Distance Tables'!J86</f>
        <v>857.69212279971146</v>
      </c>
      <c r="R39" s="57">
        <f>'[10]Total Distance Tables'!K86</f>
        <v>986.86369297740714</v>
      </c>
    </row>
    <row r="40" spans="3:18" ht="16" x14ac:dyDescent="0.2">
      <c r="C40" s="24" t="s">
        <v>8</v>
      </c>
      <c r="D40" s="55">
        <f>'[10]Total Distance Tables'!$B$97</f>
        <v>19.359252680000001</v>
      </c>
      <c r="E40" s="56">
        <f t="shared" si="0"/>
        <v>19.883319228092226</v>
      </c>
      <c r="F40" s="56">
        <f t="shared" si="1"/>
        <v>20.407385776184451</v>
      </c>
      <c r="G40" s="56">
        <f t="shared" si="2"/>
        <v>20.931452324276677</v>
      </c>
      <c r="H40" s="56">
        <f t="shared" si="3"/>
        <v>21.455518872368902</v>
      </c>
      <c r="I40" s="56">
        <f>'[10]Total Distance Tables'!C97</f>
        <v>21.979585420461127</v>
      </c>
      <c r="J40" s="56">
        <f t="shared" si="4"/>
        <v>22.425578846435506</v>
      </c>
      <c r="K40" s="56">
        <f>'[10]Total Distance Tables'!D97</f>
        <v>24.209552550333033</v>
      </c>
      <c r="L40" s="56">
        <f>'[10]Total Distance Tables'!E97</f>
        <v>336.93967137356333</v>
      </c>
      <c r="M40" s="56">
        <f>'[10]Total Distance Tables'!F97</f>
        <v>659.23505907998981</v>
      </c>
      <c r="N40" s="56">
        <f>'[10]Total Distance Tables'!G97</f>
        <v>983.85457059822363</v>
      </c>
      <c r="O40" s="56">
        <f>'[10]Total Distance Tables'!H97</f>
        <v>1307.5275475377844</v>
      </c>
      <c r="P40" s="56">
        <f>'[10]Total Distance Tables'!I97</f>
        <v>1635.3567795319029</v>
      </c>
      <c r="Q40" s="56">
        <f>'[10]Total Distance Tables'!J97</f>
        <v>1959.8077941606898</v>
      </c>
      <c r="R40" s="57">
        <f>'[10]Total Distance Tables'!K97</f>
        <v>2279.9135148626342</v>
      </c>
    </row>
    <row r="41" spans="3:18" ht="16" x14ac:dyDescent="0.2">
      <c r="C41" s="24" t="s">
        <v>9</v>
      </c>
      <c r="D41" s="55">
        <f>'[10]Total Distance Tables'!$B$108</f>
        <v>2.5483198348</v>
      </c>
      <c r="E41" s="56">
        <f t="shared" si="0"/>
        <v>2.6118191716051866</v>
      </c>
      <c r="F41" s="56">
        <f t="shared" si="1"/>
        <v>2.6753185084103732</v>
      </c>
      <c r="G41" s="56">
        <f t="shared" si="2"/>
        <v>2.7388178452155598</v>
      </c>
      <c r="H41" s="56">
        <f t="shared" si="3"/>
        <v>2.8023171820207464</v>
      </c>
      <c r="I41" s="56">
        <f>'[10]Total Distance Tables'!C108</f>
        <v>2.8658165188259326</v>
      </c>
      <c r="J41" s="56">
        <f t="shared" si="4"/>
        <v>2.9218919627392923</v>
      </c>
      <c r="K41" s="56">
        <f>'[10]Total Distance Tables'!D108</f>
        <v>3.1461937383927321</v>
      </c>
      <c r="L41" s="56">
        <f>'[10]Total Distance Tables'!E108</f>
        <v>90.00443937760123</v>
      </c>
      <c r="M41" s="56">
        <f>'[10]Total Distance Tables'!F108</f>
        <v>179.07749249903833</v>
      </c>
      <c r="N41" s="56">
        <f>'[10]Total Distance Tables'!G108</f>
        <v>267.99034110126149</v>
      </c>
      <c r="O41" s="56">
        <f>'[10]Total Distance Tables'!H108</f>
        <v>355.42598396164885</v>
      </c>
      <c r="P41" s="56">
        <f>'[10]Total Distance Tables'!I108</f>
        <v>443.10226498571848</v>
      </c>
      <c r="Q41" s="56">
        <f>'[10]Total Distance Tables'!J108</f>
        <v>529.04476627362703</v>
      </c>
      <c r="R41" s="57">
        <f>'[10]Total Distance Tables'!K108</f>
        <v>613.08562479905993</v>
      </c>
    </row>
    <row r="42" spans="3:18" ht="16" x14ac:dyDescent="0.2">
      <c r="C42" s="24" t="s">
        <v>10</v>
      </c>
      <c r="D42" s="55">
        <f>'[10]Total Distance Tables'!$B$119</f>
        <v>1.6916956777000001</v>
      </c>
      <c r="E42" s="56">
        <f t="shared" si="0"/>
        <v>1.7107429706872064</v>
      </c>
      <c r="F42" s="56">
        <f t="shared" si="1"/>
        <v>1.7297902636744125</v>
      </c>
      <c r="G42" s="56">
        <f t="shared" si="2"/>
        <v>1.7488375566616186</v>
      </c>
      <c r="H42" s="56">
        <f t="shared" si="3"/>
        <v>1.7678848496488251</v>
      </c>
      <c r="I42" s="56">
        <f>'[10]Total Distance Tables'!C119</f>
        <v>1.7869321426360312</v>
      </c>
      <c r="J42" s="56">
        <f t="shared" si="4"/>
        <v>1.8104023833242207</v>
      </c>
      <c r="K42" s="56">
        <f>'[10]Total Distance Tables'!D119</f>
        <v>1.9042833460769777</v>
      </c>
      <c r="L42" s="56">
        <f>'[10]Total Distance Tables'!E119</f>
        <v>21.158856579552442</v>
      </c>
      <c r="M42" s="56">
        <f>'[10]Total Distance Tables'!F119</f>
        <v>39.784173593067564</v>
      </c>
      <c r="N42" s="56">
        <f>'[10]Total Distance Tables'!G119</f>
        <v>57.332165135828504</v>
      </c>
      <c r="O42" s="56">
        <f>'[10]Total Distance Tables'!H119</f>
        <v>73.76681944645081</v>
      </c>
      <c r="P42" s="56">
        <f>'[10]Total Distance Tables'!I119</f>
        <v>89.416423422689405</v>
      </c>
      <c r="Q42" s="56">
        <f>'[10]Total Distance Tables'!J119</f>
        <v>103.92158755288044</v>
      </c>
      <c r="R42" s="57">
        <f>'[10]Total Distance Tables'!K119</f>
        <v>117.30411309720213</v>
      </c>
    </row>
    <row r="43" spans="3:18" ht="16" x14ac:dyDescent="0.2">
      <c r="C43" s="24" t="s">
        <v>11</v>
      </c>
      <c r="D43" s="55">
        <f>'[10]Total Distance Tables'!$B$130</f>
        <v>16.530142167000001</v>
      </c>
      <c r="E43" s="56">
        <f t="shared" si="0"/>
        <v>17.149832467173503</v>
      </c>
      <c r="F43" s="56">
        <f t="shared" si="1"/>
        <v>17.769522767347006</v>
      </c>
      <c r="G43" s="56">
        <f t="shared" si="2"/>
        <v>18.389213067520508</v>
      </c>
      <c r="H43" s="56">
        <f t="shared" si="3"/>
        <v>19.008903367694007</v>
      </c>
      <c r="I43" s="56">
        <f>'[10]Total Distance Tables'!C130</f>
        <v>19.628593667867509</v>
      </c>
      <c r="J43" s="56">
        <f t="shared" si="4"/>
        <v>20.161635130757254</v>
      </c>
      <c r="K43" s="56">
        <f>'[10]Total Distance Tables'!D130</f>
        <v>22.293800982316228</v>
      </c>
      <c r="L43" s="56">
        <f>'[10]Total Distance Tables'!E130</f>
        <v>389.32704011100651</v>
      </c>
      <c r="M43" s="56">
        <f>'[10]Total Distance Tables'!F130</f>
        <v>783.19940091977469</v>
      </c>
      <c r="N43" s="56">
        <f>'[10]Total Distance Tables'!G130</f>
        <v>1196.0988158538332</v>
      </c>
      <c r="O43" s="56">
        <f>'[10]Total Distance Tables'!H130</f>
        <v>1625.3279867048052</v>
      </c>
      <c r="P43" s="56">
        <f>'[10]Total Distance Tables'!I130</f>
        <v>2077.4113797333853</v>
      </c>
      <c r="Q43" s="56">
        <f>'[10]Total Distance Tables'!J130</f>
        <v>2544.1600453278597</v>
      </c>
      <c r="R43" s="57">
        <f>'[10]Total Distance Tables'!K130</f>
        <v>3024.9403043547818</v>
      </c>
    </row>
    <row r="44" spans="3:18" ht="16" x14ac:dyDescent="0.2">
      <c r="C44" s="24" t="s">
        <v>12</v>
      </c>
      <c r="D44" s="55">
        <f>'[10]Total Distance Tables'!$B$141</f>
        <v>7.2892681777000004</v>
      </c>
      <c r="E44" s="56">
        <f t="shared" si="0"/>
        <v>7.5223372931308727</v>
      </c>
      <c r="F44" s="56">
        <f t="shared" si="1"/>
        <v>7.7554064085617442</v>
      </c>
      <c r="G44" s="56">
        <f t="shared" si="2"/>
        <v>7.9884755239926157</v>
      </c>
      <c r="H44" s="56">
        <f t="shared" si="3"/>
        <v>8.2215446394234881</v>
      </c>
      <c r="I44" s="56">
        <f>'[10]Total Distance Tables'!C141</f>
        <v>8.4546137548543605</v>
      </c>
      <c r="J44" s="56">
        <f t="shared" si="4"/>
        <v>8.6470596727994895</v>
      </c>
      <c r="K44" s="56">
        <f>'[10]Total Distance Tables'!D141</f>
        <v>9.4168433445800002</v>
      </c>
      <c r="L44" s="56">
        <f>'[10]Total Distance Tables'!E141</f>
        <v>130.365836304986</v>
      </c>
      <c r="M44" s="56">
        <f>'[10]Total Distance Tables'!F141</f>
        <v>255.94108219905624</v>
      </c>
      <c r="N44" s="56">
        <f>'[10]Total Distance Tables'!G141</f>
        <v>383.64914958359424</v>
      </c>
      <c r="O44" s="56">
        <f>'[10]Total Distance Tables'!H141</f>
        <v>512.446318519177</v>
      </c>
      <c r="P44" s="56">
        <f>'[10]Total Distance Tables'!I141</f>
        <v>644.6015352262441</v>
      </c>
      <c r="Q44" s="56">
        <f>'[10]Total Distance Tables'!J141</f>
        <v>777.17051524003955</v>
      </c>
      <c r="R44" s="57">
        <f>'[10]Total Distance Tables'!K141</f>
        <v>909.85765207057284</v>
      </c>
    </row>
    <row r="45" spans="3:18" ht="17" thickBot="1" x14ac:dyDescent="0.25">
      <c r="C45" s="25" t="s">
        <v>13</v>
      </c>
      <c r="D45" s="58">
        <f>'[10]Total Distance Tables'!$B$152</f>
        <v>1.2430116738999999</v>
      </c>
      <c r="E45" s="59">
        <f t="shared" si="0"/>
        <v>1.2699349933006558</v>
      </c>
      <c r="F45" s="59">
        <f t="shared" si="1"/>
        <v>1.2968583127013116</v>
      </c>
      <c r="G45" s="59">
        <f t="shared" si="2"/>
        <v>1.3237816321019675</v>
      </c>
      <c r="H45" s="59">
        <f t="shared" si="3"/>
        <v>1.3507049515026233</v>
      </c>
      <c r="I45" s="59">
        <f>'[10]Total Distance Tables'!C152</f>
        <v>1.3776282709032792</v>
      </c>
      <c r="J45" s="59">
        <f t="shared" si="4"/>
        <v>1.3983864507905261</v>
      </c>
      <c r="K45" s="59">
        <f>'[10]Total Distance Tables'!D152</f>
        <v>1.4814191703395134</v>
      </c>
      <c r="L45" s="59">
        <f>'[10]Total Distance Tables'!E152</f>
        <v>56.872635028727352</v>
      </c>
      <c r="M45" s="59">
        <f>'[10]Total Distance Tables'!F152</f>
        <v>111.95833570387855</v>
      </c>
      <c r="N45" s="59">
        <f>'[10]Total Distance Tables'!G152</f>
        <v>165.43701895084766</v>
      </c>
      <c r="O45" s="59">
        <f>'[10]Total Distance Tables'!H152</f>
        <v>216.93894959863078</v>
      </c>
      <c r="P45" s="59">
        <f>'[10]Total Distance Tables'!I152</f>
        <v>267.40670870577242</v>
      </c>
      <c r="Q45" s="59">
        <f>'[10]Total Distance Tables'!J152</f>
        <v>315.59687245111155</v>
      </c>
      <c r="R45" s="60">
        <f>'[10]Total Distance Tables'!K152</f>
        <v>361.46196238696069</v>
      </c>
    </row>
    <row r="46" spans="3:18" ht="19" thickTop="1" thickBot="1" x14ac:dyDescent="0.25">
      <c r="C46" s="31" t="s">
        <v>24</v>
      </c>
      <c r="D46" s="61">
        <f>SUM(D32:D45)</f>
        <v>102.6492410403</v>
      </c>
      <c r="E46" s="62">
        <f t="shared" ref="E46:O46" si="5">SUM(E32:E45)</f>
        <v>106.29855255501219</v>
      </c>
      <c r="F46" s="62">
        <f t="shared" si="5"/>
        <v>109.94786406972436</v>
      </c>
      <c r="G46" s="62">
        <f t="shared" si="5"/>
        <v>113.59717558443653</v>
      </c>
      <c r="H46" s="62">
        <f t="shared" si="5"/>
        <v>117.24648709914869</v>
      </c>
      <c r="I46" s="62">
        <f t="shared" si="5"/>
        <v>120.89579861386088</v>
      </c>
      <c r="J46" s="62">
        <f t="shared" si="5"/>
        <v>124.116742791718</v>
      </c>
      <c r="K46" s="62">
        <f t="shared" si="5"/>
        <v>137.00051950314634</v>
      </c>
      <c r="L46" s="62">
        <f t="shared" si="5"/>
        <v>3031.3928091238477</v>
      </c>
      <c r="M46" s="62">
        <f t="shared" si="5"/>
        <v>6107.8705516393111</v>
      </c>
      <c r="N46" s="62">
        <f t="shared" si="5"/>
        <v>9296.6504681773586</v>
      </c>
      <c r="O46" s="62">
        <f t="shared" si="5"/>
        <v>12574.602297078505</v>
      </c>
      <c r="P46" s="62">
        <f t="shared" ref="P46:R46" si="6">SUM(P32:P45)</f>
        <v>16003.824206634625</v>
      </c>
      <c r="Q46" s="62">
        <f t="shared" si="6"/>
        <v>19513.68927664803</v>
      </c>
      <c r="R46" s="63">
        <f t="shared" si="6"/>
        <v>23097.235337817998</v>
      </c>
    </row>
    <row r="47" spans="3:18" ht="18" thickTop="1" thickBot="1" x14ac:dyDescent="0.25">
      <c r="C47" s="8" t="s">
        <v>35</v>
      </c>
      <c r="D47" s="62">
        <f>'[10]Total Distance Tables'!$B$163</f>
        <v>102.6492410403</v>
      </c>
      <c r="E47" s="62">
        <f>D47*4/5 + I47/5</f>
        <v>106.29855255501218</v>
      </c>
      <c r="F47" s="62">
        <f>D47*3/5+I47*2/5</f>
        <v>109.94786406972435</v>
      </c>
      <c r="G47" s="62">
        <f t="shared" ref="G47" si="7">D47*2/5+I47*3/5</f>
        <v>113.59717558443654</v>
      </c>
      <c r="H47" s="62">
        <f t="shared" ref="H47" si="8">D47*1/5+I47*4/5</f>
        <v>117.24648709914871</v>
      </c>
      <c r="I47" s="62">
        <f>'[10]Total Distance Tables'!C163</f>
        <v>120.89579861386088</v>
      </c>
      <c r="J47" s="62">
        <f>I47*4/5+K47/5</f>
        <v>124.11674279171797</v>
      </c>
      <c r="K47" s="62">
        <f>'[10]Total Distance Tables'!D163</f>
        <v>137.00051950314634</v>
      </c>
      <c r="L47" s="62">
        <f>'[10]Total Distance Tables'!E163</f>
        <v>3031.3928091238477</v>
      </c>
      <c r="M47" s="62">
        <f>'[10]Total Distance Tables'!F163</f>
        <v>6107.8705516393111</v>
      </c>
      <c r="N47" s="62">
        <f>'[10]Total Distance Tables'!G163</f>
        <v>9296.6504681773586</v>
      </c>
      <c r="O47" s="62">
        <f>'[10]Total Distance Tables'!H163</f>
        <v>12574.602297078505</v>
      </c>
      <c r="P47" s="62">
        <f>'[10]Total Distance Tables'!I163</f>
        <v>16003.824206634625</v>
      </c>
      <c r="Q47" s="62">
        <f>'[10]Total Distance Tables'!J163</f>
        <v>19513.68927664803</v>
      </c>
      <c r="R47" s="63">
        <f>'[10]Total Distance Tables'!K163</f>
        <v>23097.235337817998</v>
      </c>
    </row>
    <row r="48" spans="3:18" ht="17" thickTop="1" x14ac:dyDescent="0.2">
      <c r="C48" s="128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</row>
    <row r="49" spans="3:18" ht="17" thickBot="1" x14ac:dyDescent="0.25">
      <c r="C49" s="128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</row>
    <row r="50" spans="3:18" ht="17" thickTop="1" x14ac:dyDescent="0.2">
      <c r="C50" s="32" t="s">
        <v>143</v>
      </c>
      <c r="D50" s="33"/>
      <c r="E50" s="33"/>
      <c r="F50" s="33"/>
      <c r="G50" s="33"/>
      <c r="H50" s="33"/>
      <c r="I50" s="33"/>
      <c r="J50" s="33"/>
      <c r="K50" s="34"/>
      <c r="L50" s="34"/>
      <c r="M50" s="34"/>
      <c r="N50" s="34"/>
      <c r="O50" s="34"/>
      <c r="P50" s="34"/>
      <c r="Q50" s="34"/>
      <c r="R50" s="35"/>
    </row>
    <row r="51" spans="3:18" ht="14" thickBot="1" x14ac:dyDescent="0.2">
      <c r="C51" s="36"/>
      <c r="D51" s="37" t="s">
        <v>25</v>
      </c>
      <c r="E51" s="37" t="s">
        <v>37</v>
      </c>
      <c r="F51" s="37" t="s">
        <v>38</v>
      </c>
      <c r="G51" s="37" t="s">
        <v>177</v>
      </c>
      <c r="H51" s="37" t="s">
        <v>178</v>
      </c>
      <c r="I51" s="37" t="s">
        <v>26</v>
      </c>
      <c r="J51" s="37"/>
      <c r="K51" s="37" t="s">
        <v>27</v>
      </c>
      <c r="L51" s="37" t="s">
        <v>28</v>
      </c>
      <c r="M51" s="37" t="s">
        <v>29</v>
      </c>
      <c r="N51" s="37" t="s">
        <v>30</v>
      </c>
      <c r="O51" s="37" t="s">
        <v>31</v>
      </c>
      <c r="P51" s="37" t="s">
        <v>174</v>
      </c>
      <c r="Q51" s="37" t="s">
        <v>175</v>
      </c>
      <c r="R51" s="38" t="s">
        <v>176</v>
      </c>
    </row>
    <row r="52" spans="3:18" ht="15" thickTop="1" thickBot="1" x14ac:dyDescent="0.2">
      <c r="C52" s="18"/>
      <c r="D52" s="65" t="s">
        <v>39</v>
      </c>
      <c r="E52" s="65" t="s">
        <v>39</v>
      </c>
      <c r="F52" s="65" t="s">
        <v>39</v>
      </c>
      <c r="G52" s="65" t="s">
        <v>39</v>
      </c>
      <c r="H52" s="65" t="s">
        <v>39</v>
      </c>
      <c r="I52" s="65" t="s">
        <v>39</v>
      </c>
      <c r="J52" s="65"/>
      <c r="K52" s="65" t="s">
        <v>32</v>
      </c>
      <c r="L52" s="65" t="s">
        <v>32</v>
      </c>
      <c r="M52" s="65" t="s">
        <v>32</v>
      </c>
      <c r="N52" s="65" t="s">
        <v>32</v>
      </c>
      <c r="O52" s="65" t="s">
        <v>32</v>
      </c>
      <c r="P52" s="65" t="s">
        <v>32</v>
      </c>
      <c r="Q52" s="65" t="s">
        <v>32</v>
      </c>
      <c r="R52" s="66" t="s">
        <v>32</v>
      </c>
    </row>
    <row r="53" spans="3:18" ht="17" thickTop="1" x14ac:dyDescent="0.2">
      <c r="C53" s="27" t="s">
        <v>0</v>
      </c>
      <c r="D53" s="52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53">
        <f t="shared" ref="J53:J66" si="9">I53*4/5+K53/5</f>
        <v>0</v>
      </c>
      <c r="K53" s="53">
        <f>('Light Vehicle Supporting Data'!K47+'Light Vehicle Supporting Data'!K68)*'Vehicle Share Diversion Support'!K47/(1-'Vehicle Share Diversion Support'!K47)</f>
        <v>0</v>
      </c>
      <c r="L53" s="53">
        <f>('Light Vehicle Supporting Data'!L47+'Light Vehicle Supporting Data'!L68)*'Vehicle Share Diversion Support'!L47/(1-'Vehicle Share Diversion Support'!L47)</f>
        <v>97.389595264416926</v>
      </c>
      <c r="M53" s="53">
        <f>('Light Vehicle Supporting Data'!M47+'Light Vehicle Supporting Data'!M68)*'Vehicle Share Diversion Support'!M47/(1-'Vehicle Share Diversion Support'!M47)</f>
        <v>198.19906950470235</v>
      </c>
      <c r="N53" s="53">
        <f>('Light Vehicle Supporting Data'!N47+'Light Vehicle Supporting Data'!N68)*'Vehicle Share Diversion Support'!N47/(1-'Vehicle Share Diversion Support'!N47)</f>
        <v>299.864784154674</v>
      </c>
      <c r="O53" s="53">
        <f>('Light Vehicle Supporting Data'!O47+'Light Vehicle Supporting Data'!O68)*'Vehicle Share Diversion Support'!O47/(1-'Vehicle Share Diversion Support'!O47)</f>
        <v>401.20856709036764</v>
      </c>
      <c r="P53" s="53">
        <f>('Light Vehicle Supporting Data'!P47+'Light Vehicle Supporting Data'!P68)*'Vehicle Share Diversion Support'!P47/(1-'Vehicle Share Diversion Support'!P47)</f>
        <v>504.47288775978569</v>
      </c>
      <c r="Q53" s="53">
        <f>('Light Vehicle Supporting Data'!Q47+'Light Vehicle Supporting Data'!Q68)*'Vehicle Share Diversion Support'!Q47/(1-'Vehicle Share Diversion Support'!Q47)</f>
        <v>607.01047796891066</v>
      </c>
      <c r="R53" s="54">
        <f>('Light Vehicle Supporting Data'!R47+'Light Vehicle Supporting Data'!R68)*'Vehicle Share Diversion Support'!R47/(1-'Vehicle Share Diversion Support'!R47)</f>
        <v>708.58117545425569</v>
      </c>
    </row>
    <row r="54" spans="3:18" ht="16" x14ac:dyDescent="0.2">
      <c r="C54" s="24" t="s">
        <v>1</v>
      </c>
      <c r="D54" s="55">
        <v>0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f t="shared" si="9"/>
        <v>0</v>
      </c>
      <c r="K54" s="56">
        <f>('Light Vehicle Supporting Data'!K48+'Light Vehicle Supporting Data'!K69)*'Vehicle Share Diversion Support'!K48/(1-'Vehicle Share Diversion Support'!K48)</f>
        <v>0</v>
      </c>
      <c r="L54" s="56">
        <f>('Light Vehicle Supporting Data'!L48+'Light Vehicle Supporting Data'!L69)*'Vehicle Share Diversion Support'!L48/(1-'Vehicle Share Diversion Support'!L48)</f>
        <v>931.07118027670356</v>
      </c>
      <c r="M54" s="56">
        <f>('Light Vehicle Supporting Data'!M48+'Light Vehicle Supporting Data'!M69)*'Vehicle Share Diversion Support'!M48/(1-'Vehicle Share Diversion Support'!M48)</f>
        <v>1960.7021239347998</v>
      </c>
      <c r="N54" s="56">
        <f>('Light Vehicle Supporting Data'!N48+'Light Vehicle Supporting Data'!N69)*'Vehicle Share Diversion Support'!N48/(1-'Vehicle Share Diversion Support'!N48)</f>
        <v>3065.2288352557839</v>
      </c>
      <c r="O54" s="56">
        <f>('Light Vehicle Supporting Data'!O48+'Light Vehicle Supporting Data'!O69)*'Vehicle Share Diversion Support'!O48/(1-'Vehicle Share Diversion Support'!O48)</f>
        <v>4237.1009483023208</v>
      </c>
      <c r="P54" s="56">
        <f>('Light Vehicle Supporting Data'!P48+'Light Vehicle Supporting Data'!P69)*'Vehicle Share Diversion Support'!P48/(1-'Vehicle Share Diversion Support'!P48)</f>
        <v>5505.446979776968</v>
      </c>
      <c r="Q54" s="56">
        <f>('Light Vehicle Supporting Data'!Q48+'Light Vehicle Supporting Data'!Q69)*'Vehicle Share Diversion Support'!Q48/(1-'Vehicle Share Diversion Support'!Q48)</f>
        <v>6843.9888955078186</v>
      </c>
      <c r="R54" s="57">
        <f>('Light Vehicle Supporting Data'!R48+'Light Vehicle Supporting Data'!R69)*'Vehicle Share Diversion Support'!R48/(1-'Vehicle Share Diversion Support'!R48)</f>
        <v>8249.8869123312288</v>
      </c>
    </row>
    <row r="55" spans="3:18" ht="16" x14ac:dyDescent="0.2">
      <c r="C55" s="24" t="s">
        <v>2</v>
      </c>
      <c r="D55" s="55">
        <v>0</v>
      </c>
      <c r="E55" s="56">
        <v>0</v>
      </c>
      <c r="F55" s="56">
        <v>0</v>
      </c>
      <c r="G55" s="56">
        <v>0</v>
      </c>
      <c r="H55" s="56">
        <v>0</v>
      </c>
      <c r="I55" s="56">
        <v>0</v>
      </c>
      <c r="J55" s="56">
        <f t="shared" si="9"/>
        <v>0</v>
      </c>
      <c r="K55" s="56">
        <f>('Light Vehicle Supporting Data'!K49+'Light Vehicle Supporting Data'!K70)*'Vehicle Share Diversion Support'!K49/(1-'Vehicle Share Diversion Support'!K49)</f>
        <v>0</v>
      </c>
      <c r="L55" s="56">
        <f>('Light Vehicle Supporting Data'!L49+'Light Vehicle Supporting Data'!L70)*'Vehicle Share Diversion Support'!L49/(1-'Vehicle Share Diversion Support'!L49)</f>
        <v>349.46540535465954</v>
      </c>
      <c r="M55" s="56">
        <f>('Light Vehicle Supporting Data'!M49+'Light Vehicle Supporting Data'!M70)*'Vehicle Share Diversion Support'!M49/(1-'Vehicle Share Diversion Support'!M49)</f>
        <v>722.28199917591814</v>
      </c>
      <c r="N55" s="56">
        <f>('Light Vehicle Supporting Data'!N49+'Light Vehicle Supporting Data'!N70)*'Vehicle Share Diversion Support'!N49/(1-'Vehicle Share Diversion Support'!N49)</f>
        <v>1110.1902990865633</v>
      </c>
      <c r="O55" s="56">
        <f>('Light Vehicle Supporting Data'!O49+'Light Vehicle Supporting Data'!O70)*'Vehicle Share Diversion Support'!O49/(1-'Vehicle Share Diversion Support'!O49)</f>
        <v>1510.765189813369</v>
      </c>
      <c r="P55" s="56">
        <f>('Light Vehicle Supporting Data'!P49+'Light Vehicle Supporting Data'!P70)*'Vehicle Share Diversion Support'!P49/(1-'Vehicle Share Diversion Support'!P49)</f>
        <v>1930.7693386639496</v>
      </c>
      <c r="Q55" s="56">
        <f>('Light Vehicle Supporting Data'!Q49+'Light Vehicle Supporting Data'!Q70)*'Vehicle Share Diversion Support'!Q49/(1-'Vehicle Share Diversion Support'!Q49)</f>
        <v>2361.3178755822478</v>
      </c>
      <c r="R55" s="57">
        <f>('Light Vehicle Supporting Data'!R49+'Light Vehicle Supporting Data'!R70)*'Vehicle Share Diversion Support'!R49/(1-'Vehicle Share Diversion Support'!R49)</f>
        <v>2801.6476003703724</v>
      </c>
    </row>
    <row r="56" spans="3:18" ht="16" x14ac:dyDescent="0.2">
      <c r="C56" s="24" t="s">
        <v>3</v>
      </c>
      <c r="D56" s="55">
        <v>0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f t="shared" si="9"/>
        <v>0</v>
      </c>
      <c r="K56" s="56">
        <f>('Light Vehicle Supporting Data'!K50+'Light Vehicle Supporting Data'!K71)*'Vehicle Share Diversion Support'!K50/(1-'Vehicle Share Diversion Support'!K50)</f>
        <v>0</v>
      </c>
      <c r="L56" s="56">
        <f>('Light Vehicle Supporting Data'!L50+'Light Vehicle Supporting Data'!L71)*'Vehicle Share Diversion Support'!L50/(1-'Vehicle Share Diversion Support'!L50)</f>
        <v>200.44069382150249</v>
      </c>
      <c r="M56" s="56">
        <f>('Light Vehicle Supporting Data'!M50+'Light Vehicle Supporting Data'!M71)*'Vehicle Share Diversion Support'!M50/(1-'Vehicle Share Diversion Support'!M50)</f>
        <v>411.19115458721808</v>
      </c>
      <c r="N56" s="56">
        <f>('Light Vehicle Supporting Data'!N50+'Light Vehicle Supporting Data'!N71)*'Vehicle Share Diversion Support'!N50/(1-'Vehicle Share Diversion Support'!N50)</f>
        <v>627.27859906118624</v>
      </c>
      <c r="O56" s="56">
        <f>('Light Vehicle Supporting Data'!O50+'Light Vehicle Supporting Data'!O71)*'Vehicle Share Diversion Support'!O50/(1-'Vehicle Share Diversion Support'!O50)</f>
        <v>847.17296770437065</v>
      </c>
      <c r="P56" s="56">
        <f>('Light Vehicle Supporting Data'!P50+'Light Vehicle Supporting Data'!P71)*'Vehicle Share Diversion Support'!P50/(1-'Vehicle Share Diversion Support'!P50)</f>
        <v>1075.4575417186832</v>
      </c>
      <c r="Q56" s="56">
        <f>('Light Vehicle Supporting Data'!Q50+'Light Vehicle Supporting Data'!Q71)*'Vehicle Share Diversion Support'!Q50/(1-'Vehicle Share Diversion Support'!Q50)</f>
        <v>1306.4873214351469</v>
      </c>
      <c r="R56" s="57">
        <f>('Light Vehicle Supporting Data'!R50+'Light Vehicle Supporting Data'!R71)*'Vehicle Share Diversion Support'!R50/(1-'Vehicle Share Diversion Support'!R50)</f>
        <v>1539.7571056822951</v>
      </c>
    </row>
    <row r="57" spans="3:18" ht="16" x14ac:dyDescent="0.2">
      <c r="C57" s="24" t="s">
        <v>4</v>
      </c>
      <c r="D57" s="55">
        <v>0</v>
      </c>
      <c r="E57" s="56">
        <v>0</v>
      </c>
      <c r="F57" s="56">
        <v>0</v>
      </c>
      <c r="G57" s="56">
        <v>0</v>
      </c>
      <c r="H57" s="56">
        <v>0</v>
      </c>
      <c r="I57" s="56">
        <v>0</v>
      </c>
      <c r="J57" s="56">
        <f t="shared" si="9"/>
        <v>0</v>
      </c>
      <c r="K57" s="56">
        <f>('Light Vehicle Supporting Data'!K51+'Light Vehicle Supporting Data'!K72)*'Vehicle Share Diversion Support'!K51/(1-'Vehicle Share Diversion Support'!K51)</f>
        <v>0</v>
      </c>
      <c r="L57" s="56">
        <f>('Light Vehicle Supporting Data'!L51+'Light Vehicle Supporting Data'!L72)*'Vehicle Share Diversion Support'!L51/(1-'Vehicle Share Diversion Support'!L51)</f>
        <v>22.402952387179685</v>
      </c>
      <c r="M57" s="56">
        <f>('Light Vehicle Supporting Data'!M51+'Light Vehicle Supporting Data'!M72)*'Vehicle Share Diversion Support'!M51/(1-'Vehicle Share Diversion Support'!M51)</f>
        <v>44.921169507040965</v>
      </c>
      <c r="N57" s="56">
        <f>('Light Vehicle Supporting Data'!N51+'Light Vehicle Supporting Data'!N72)*'Vehicle Share Diversion Support'!N51/(1-'Vehicle Share Diversion Support'!N51)</f>
        <v>66.907756181385381</v>
      </c>
      <c r="O57" s="56">
        <f>('Light Vehicle Supporting Data'!O51+'Light Vehicle Supporting Data'!O72)*'Vehicle Share Diversion Support'!O51/(1-'Vehicle Share Diversion Support'!O51)</f>
        <v>88.237644652621654</v>
      </c>
      <c r="P57" s="56">
        <f>('Light Vehicle Supporting Data'!P51+'Light Vehicle Supporting Data'!P72)*'Vehicle Share Diversion Support'!P51/(1-'Vehicle Share Diversion Support'!P51)</f>
        <v>109.39108105320194</v>
      </c>
      <c r="Q57" s="56">
        <f>('Light Vehicle Supporting Data'!Q51+'Light Vehicle Supporting Data'!Q72)*'Vehicle Share Diversion Support'!Q51/(1-'Vehicle Share Diversion Support'!Q51)</f>
        <v>129.77788252216814</v>
      </c>
      <c r="R57" s="57">
        <f>('Light Vehicle Supporting Data'!R51+'Light Vehicle Supporting Data'!R72)*'Vehicle Share Diversion Support'!R51/(1-'Vehicle Share Diversion Support'!R51)</f>
        <v>149.36696304693686</v>
      </c>
    </row>
    <row r="58" spans="3:18" ht="16" x14ac:dyDescent="0.2">
      <c r="C58" s="24" t="s">
        <v>5</v>
      </c>
      <c r="D58" s="55">
        <v>0</v>
      </c>
      <c r="E58" s="56">
        <v>0</v>
      </c>
      <c r="F58" s="56">
        <v>0</v>
      </c>
      <c r="G58" s="56">
        <v>0</v>
      </c>
      <c r="H58" s="56">
        <v>0</v>
      </c>
      <c r="I58" s="56">
        <v>0</v>
      </c>
      <c r="J58" s="56">
        <f t="shared" si="9"/>
        <v>0</v>
      </c>
      <c r="K58" s="56">
        <f>('Light Vehicle Supporting Data'!K52+'Light Vehicle Supporting Data'!K73)*'Vehicle Share Diversion Support'!K52/(1-'Vehicle Share Diversion Support'!K52)</f>
        <v>0</v>
      </c>
      <c r="L58" s="56">
        <f>('Light Vehicle Supporting Data'!L52+'Light Vehicle Supporting Data'!L73)*'Vehicle Share Diversion Support'!L52/(1-'Vehicle Share Diversion Support'!L52)</f>
        <v>87.875109724827993</v>
      </c>
      <c r="M58" s="56">
        <f>('Light Vehicle Supporting Data'!M52+'Light Vehicle Supporting Data'!M73)*'Vehicle Share Diversion Support'!M52/(1-'Vehicle Share Diversion Support'!M52)</f>
        <v>176.60621588826896</v>
      </c>
      <c r="N58" s="56">
        <f>('Light Vehicle Supporting Data'!N52+'Light Vehicle Supporting Data'!N73)*'Vehicle Share Diversion Support'!N52/(1-'Vehicle Share Diversion Support'!N52)</f>
        <v>263.99886417159081</v>
      </c>
      <c r="O58" s="56">
        <f>('Light Vehicle Supporting Data'!O52+'Light Vehicle Supporting Data'!O73)*'Vehicle Share Diversion Support'!O52/(1-'Vehicle Share Diversion Support'!O52)</f>
        <v>349.20173858030228</v>
      </c>
      <c r="P58" s="56">
        <f>('Light Vehicle Supporting Data'!P52+'Light Vehicle Supporting Data'!P73)*'Vehicle Share Diversion Support'!P52/(1-'Vehicle Share Diversion Support'!P52)</f>
        <v>433.97522106114269</v>
      </c>
      <c r="Q58" s="56">
        <f>('Light Vehicle Supporting Data'!Q52+'Light Vehicle Supporting Data'!Q73)*'Vehicle Share Diversion Support'!Q52/(1-'Vehicle Share Diversion Support'!Q52)</f>
        <v>516.11224251535361</v>
      </c>
      <c r="R58" s="57">
        <f>('Light Vehicle Supporting Data'!R52+'Light Vehicle Supporting Data'!R73)*'Vehicle Share Diversion Support'!R52/(1-'Vehicle Share Diversion Support'!R52)</f>
        <v>595.46799860857766</v>
      </c>
    </row>
    <row r="59" spans="3:18" ht="16" x14ac:dyDescent="0.2">
      <c r="C59" s="24" t="s">
        <v>6</v>
      </c>
      <c r="D59" s="55">
        <v>0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f t="shared" si="9"/>
        <v>0</v>
      </c>
      <c r="K59" s="56">
        <f>('Light Vehicle Supporting Data'!K53+'Light Vehicle Supporting Data'!K74)*'Vehicle Share Diversion Support'!K53/(1-'Vehicle Share Diversion Support'!K53)</f>
        <v>0</v>
      </c>
      <c r="L59" s="56">
        <f>('Light Vehicle Supporting Data'!L53+'Light Vehicle Supporting Data'!L74)*'Vehicle Share Diversion Support'!L53/(1-'Vehicle Share Diversion Support'!L53)</f>
        <v>88.917931154585347</v>
      </c>
      <c r="M59" s="56">
        <f>('Light Vehicle Supporting Data'!M53+'Light Vehicle Supporting Data'!M74)*'Vehicle Share Diversion Support'!M53/(1-'Vehicle Share Diversion Support'!M53)</f>
        <v>180.49766230916566</v>
      </c>
      <c r="N59" s="56">
        <f>('Light Vehicle Supporting Data'!N53+'Light Vehicle Supporting Data'!N74)*'Vehicle Share Diversion Support'!N53/(1-'Vehicle Share Diversion Support'!N53)</f>
        <v>272.98175848885859</v>
      </c>
      <c r="O59" s="56">
        <f>('Light Vehicle Supporting Data'!O53+'Light Vehicle Supporting Data'!O74)*'Vehicle Share Diversion Support'!O53/(1-'Vehicle Share Diversion Support'!O53)</f>
        <v>365.8378126274967</v>
      </c>
      <c r="P59" s="56">
        <f>('Light Vehicle Supporting Data'!P53+'Light Vehicle Supporting Data'!P74)*'Vehicle Share Diversion Support'!P53/(1-'Vehicle Share Diversion Support'!P53)</f>
        <v>460.84453280379597</v>
      </c>
      <c r="Q59" s="56">
        <f>('Light Vehicle Supporting Data'!Q53+'Light Vehicle Supporting Data'!Q74)*'Vehicle Share Diversion Support'!Q53/(1-'Vehicle Share Diversion Support'!Q53)</f>
        <v>555.53450424350979</v>
      </c>
      <c r="R59" s="57">
        <f>('Light Vehicle Supporting Data'!R53+'Light Vehicle Supporting Data'!R74)*'Vehicle Share Diversion Support'!R53/(1-'Vehicle Share Diversion Support'!R53)</f>
        <v>649.68482708760212</v>
      </c>
    </row>
    <row r="60" spans="3:18" ht="16" x14ac:dyDescent="0.2">
      <c r="C60" s="24" t="s">
        <v>7</v>
      </c>
      <c r="D60" s="55">
        <v>0</v>
      </c>
      <c r="E60" s="56">
        <v>0</v>
      </c>
      <c r="F60" s="56">
        <v>0</v>
      </c>
      <c r="G60" s="56">
        <v>0</v>
      </c>
      <c r="H60" s="56">
        <v>0</v>
      </c>
      <c r="I60" s="56">
        <v>0</v>
      </c>
      <c r="J60" s="56">
        <f t="shared" si="9"/>
        <v>0</v>
      </c>
      <c r="K60" s="56">
        <f>('Light Vehicle Supporting Data'!K54+'Light Vehicle Supporting Data'!K75)*'Vehicle Share Diversion Support'!K54/(1-'Vehicle Share Diversion Support'!K54)</f>
        <v>0</v>
      </c>
      <c r="L60" s="56">
        <f>('Light Vehicle Supporting Data'!L54+'Light Vehicle Supporting Data'!L75)*'Vehicle Share Diversion Support'!L54/(1-'Vehicle Share Diversion Support'!L54)</f>
        <v>145.52826444285287</v>
      </c>
      <c r="M60" s="56">
        <f>('Light Vehicle Supporting Data'!M54+'Light Vehicle Supporting Data'!M75)*'Vehicle Share Diversion Support'!M54/(1-'Vehicle Share Diversion Support'!M54)</f>
        <v>292.0983773881502</v>
      </c>
      <c r="N60" s="56">
        <f>('Light Vehicle Supporting Data'!N54+'Light Vehicle Supporting Data'!N75)*'Vehicle Share Diversion Support'!N54/(1-'Vehicle Share Diversion Support'!N54)</f>
        <v>436.17142251596528</v>
      </c>
      <c r="O60" s="56">
        <f>('Light Vehicle Supporting Data'!O54+'Light Vehicle Supporting Data'!O75)*'Vehicle Share Diversion Support'!O54/(1-'Vehicle Share Diversion Support'!O54)</f>
        <v>576.4832300060084</v>
      </c>
      <c r="P60" s="56">
        <f>('Light Vehicle Supporting Data'!P54+'Light Vehicle Supporting Data'!P75)*'Vehicle Share Diversion Support'!P54/(1-'Vehicle Share Diversion Support'!P54)</f>
        <v>715.44682803592877</v>
      </c>
      <c r="Q60" s="56">
        <f>('Light Vehicle Supporting Data'!Q54+'Light Vehicle Supporting Data'!Q75)*'Vehicle Share Diversion Support'!Q54/(1-'Vehicle Share Diversion Support'!Q54)</f>
        <v>849.6863903584125</v>
      </c>
      <c r="R60" s="57">
        <f>('Light Vehicle Supporting Data'!R54+'Light Vehicle Supporting Data'!R75)*'Vehicle Share Diversion Support'!R54/(1-'Vehicle Share Diversion Support'!R54)</f>
        <v>978.98251209172236</v>
      </c>
    </row>
    <row r="61" spans="3:18" ht="16" x14ac:dyDescent="0.2">
      <c r="C61" s="24" t="s">
        <v>8</v>
      </c>
      <c r="D61" s="55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f t="shared" si="9"/>
        <v>0</v>
      </c>
      <c r="K61" s="56">
        <f>('Light Vehicle Supporting Data'!K55+'Light Vehicle Supporting Data'!K76)*'Vehicle Share Diversion Support'!K55/(1-'Vehicle Share Diversion Support'!K55)</f>
        <v>0</v>
      </c>
      <c r="L61" s="56">
        <f>('Light Vehicle Supporting Data'!L55+'Light Vehicle Supporting Data'!L76)*'Vehicle Share Diversion Support'!L55/(1-'Vehicle Share Diversion Support'!L55)</f>
        <v>310.66093301913645</v>
      </c>
      <c r="M61" s="56">
        <f>('Light Vehicle Supporting Data'!M55+'Light Vehicle Supporting Data'!M76)*'Vehicle Share Diversion Support'!M55/(1-'Vehicle Share Diversion Support'!M55)</f>
        <v>631.13658576018508</v>
      </c>
      <c r="N61" s="56">
        <f>('Light Vehicle Supporting Data'!N55+'Light Vehicle Supporting Data'!N76)*'Vehicle Share Diversion Support'!N55/(1-'Vehicle Share Diversion Support'!N55)</f>
        <v>954.3236465747392</v>
      </c>
      <c r="O61" s="56">
        <f>('Light Vehicle Supporting Data'!O55+'Light Vehicle Supporting Data'!O76)*'Vehicle Share Diversion Support'!O55/(1-'Vehicle Share Diversion Support'!O55)</f>
        <v>1276.6501876029211</v>
      </c>
      <c r="P61" s="56">
        <f>('Light Vehicle Supporting Data'!P55+'Light Vehicle Supporting Data'!P76)*'Vehicle Share Diversion Support'!P55/(1-'Vehicle Share Diversion Support'!P55)</f>
        <v>1604.339150834405</v>
      </c>
      <c r="Q61" s="56">
        <f>('Light Vehicle Supporting Data'!Q55+'Light Vehicle Supporting Data'!Q76)*'Vehicle Share Diversion Support'!Q55/(1-'Vehicle Share Diversion Support'!Q55)</f>
        <v>1928.7486297015225</v>
      </c>
      <c r="R61" s="57">
        <f>('Light Vehicle Supporting Data'!R55+'Light Vehicle Supporting Data'!R76)*'Vehicle Share Diversion Support'!R55/(1-'Vehicle Share Diversion Support'!R55)</f>
        <v>2248.8797438607885</v>
      </c>
    </row>
    <row r="62" spans="3:18" ht="16" x14ac:dyDescent="0.2">
      <c r="C62" s="24" t="s">
        <v>9</v>
      </c>
      <c r="D62" s="55">
        <v>0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f t="shared" si="9"/>
        <v>0</v>
      </c>
      <c r="K62" s="56">
        <f>('Light Vehicle Supporting Data'!K56+'Light Vehicle Supporting Data'!K77)*'Vehicle Share Diversion Support'!K56/(1-'Vehicle Share Diversion Support'!K56)</f>
        <v>0</v>
      </c>
      <c r="L62" s="56">
        <f>('Light Vehicle Supporting Data'!L56+'Light Vehicle Supporting Data'!L77)*'Vehicle Share Diversion Support'!L56/(1-'Vehicle Share Diversion Support'!L56)</f>
        <v>86.601301353435929</v>
      </c>
      <c r="M62" s="56">
        <f>('Light Vehicle Supporting Data'!M56+'Light Vehicle Supporting Data'!M77)*'Vehicle Share Diversion Support'!M56/(1-'Vehicle Share Diversion Support'!M56)</f>
        <v>175.45730409710333</v>
      </c>
      <c r="N62" s="56">
        <f>('Light Vehicle Supporting Data'!N56+'Light Vehicle Supporting Data'!N77)*'Vehicle Share Diversion Support'!N56/(1-'Vehicle Share Diversion Support'!N56)</f>
        <v>264.21017739307831</v>
      </c>
      <c r="O62" s="56">
        <f>('Light Vehicle Supporting Data'!O56+'Light Vehicle Supporting Data'!O77)*'Vehicle Share Diversion Support'!O56/(1-'Vehicle Share Diversion Support'!O56)</f>
        <v>351.50559725058105</v>
      </c>
      <c r="P62" s="56">
        <f>('Light Vehicle Supporting Data'!P56+'Light Vehicle Supporting Data'!P77)*'Vehicle Share Diversion Support'!P56/(1-'Vehicle Share Diversion Support'!P56)</f>
        <v>439.19589839947236</v>
      </c>
      <c r="Q62" s="56">
        <f>('Light Vehicle Supporting Data'!Q56+'Light Vehicle Supporting Data'!Q77)*'Vehicle Share Diversion Support'!Q56/(1-'Vehicle Share Diversion Support'!Q56)</f>
        <v>525.16460004936721</v>
      </c>
      <c r="R62" s="57">
        <f>('Light Vehicle Supporting Data'!R56+'Light Vehicle Supporting Data'!R77)*'Vehicle Share Diversion Support'!R56/(1-'Vehicle Share Diversion Support'!R56)</f>
        <v>609.23960249522918</v>
      </c>
    </row>
    <row r="63" spans="3:18" ht="16" x14ac:dyDescent="0.2">
      <c r="C63" s="24" t="s">
        <v>10</v>
      </c>
      <c r="D63" s="55">
        <v>0</v>
      </c>
      <c r="E63" s="56">
        <v>0</v>
      </c>
      <c r="F63" s="56">
        <v>0</v>
      </c>
      <c r="G63" s="56">
        <v>0</v>
      </c>
      <c r="H63" s="56">
        <v>0</v>
      </c>
      <c r="I63" s="56">
        <v>0</v>
      </c>
      <c r="J63" s="56">
        <f t="shared" si="9"/>
        <v>0</v>
      </c>
      <c r="K63" s="56">
        <f>('Light Vehicle Supporting Data'!K57+'Light Vehicle Supporting Data'!K78)*'Vehicle Share Diversion Support'!K57/(1-'Vehicle Share Diversion Support'!K57)</f>
        <v>0</v>
      </c>
      <c r="L63" s="56">
        <f>('Light Vehicle Supporting Data'!L57+'Light Vehicle Supporting Data'!L78)*'Vehicle Share Diversion Support'!L57/(1-'Vehicle Share Diversion Support'!L57)</f>
        <v>19.156062056485649</v>
      </c>
      <c r="M63" s="56">
        <f>('Light Vehicle Supporting Data'!M57+'Light Vehicle Supporting Data'!M78)*'Vehicle Share Diversion Support'!M57/(1-'Vehicle Share Diversion Support'!M57)</f>
        <v>37.711707183202719</v>
      </c>
      <c r="N63" s="56">
        <f>('Light Vehicle Supporting Data'!N57+'Light Vehicle Supporting Data'!N78)*'Vehicle Share Diversion Support'!N57/(1-'Vehicle Share Diversion Support'!N57)</f>
        <v>55.225997035511881</v>
      </c>
      <c r="O63" s="56">
        <f>('Light Vehicle Supporting Data'!O57+'Light Vehicle Supporting Data'!O78)*'Vehicle Share Diversion Support'!O57/(1-'Vehicle Share Diversion Support'!O57)</f>
        <v>71.635353392086287</v>
      </c>
      <c r="P63" s="56">
        <f>('Light Vehicle Supporting Data'!P57+'Light Vehicle Supporting Data'!P78)*'Vehicle Share Diversion Support'!P57/(1-'Vehicle Share Diversion Support'!P57)</f>
        <v>87.344044728818588</v>
      </c>
      <c r="Q63" s="56">
        <f>('Light Vehicle Supporting Data'!Q57+'Light Vehicle Supporting Data'!Q78)*'Vehicle Share Diversion Support'!Q57/(1-'Vehicle Share Diversion Support'!Q57)</f>
        <v>101.91308420584278</v>
      </c>
      <c r="R63" s="57">
        <f>('Light Vehicle Supporting Data'!R57+'Light Vehicle Supporting Data'!R78)*'Vehicle Share Diversion Support'!R57/(1-'Vehicle Share Diversion Support'!R57)</f>
        <v>115.36170889806195</v>
      </c>
    </row>
    <row r="64" spans="3:18" ht="16" x14ac:dyDescent="0.2">
      <c r="C64" s="24" t="s">
        <v>11</v>
      </c>
      <c r="D64" s="55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f t="shared" si="9"/>
        <v>0</v>
      </c>
      <c r="K64" s="56">
        <f>('Light Vehicle Supporting Data'!K58+'Light Vehicle Supporting Data'!K79)*'Vehicle Share Diversion Support'!K58/(1-'Vehicle Share Diversion Support'!K58)</f>
        <v>0</v>
      </c>
      <c r="L64" s="56">
        <f>('Light Vehicle Supporting Data'!L58+'Light Vehicle Supporting Data'!L79)*'Vehicle Share Diversion Support'!L58/(1-'Vehicle Share Diversion Support'!L58)</f>
        <v>364.66562018503021</v>
      </c>
      <c r="M64" s="56">
        <f>('Light Vehicle Supporting Data'!M58+'Light Vehicle Supporting Data'!M79)*'Vehicle Share Diversion Support'!M58/(1-'Vehicle Share Diversion Support'!M58)</f>
        <v>756.34035616823655</v>
      </c>
      <c r="N64" s="56">
        <f>('Light Vehicle Supporting Data'!N58+'Light Vehicle Supporting Data'!N79)*'Vehicle Share Diversion Support'!N58/(1-'Vehicle Share Diversion Support'!N58)</f>
        <v>1167.3507843265404</v>
      </c>
      <c r="O64" s="56">
        <f>('Light Vehicle Supporting Data'!O58+'Light Vehicle Supporting Data'!O79)*'Vehicle Share Diversion Support'!O58/(1-'Vehicle Share Diversion Support'!O58)</f>
        <v>1594.7112265202843</v>
      </c>
      <c r="P64" s="56">
        <f>('Light Vehicle Supporting Data'!P58+'Light Vehicle Supporting Data'!P79)*'Vehicle Share Diversion Support'!P58/(1-'Vehicle Share Diversion Support'!P58)</f>
        <v>2046.0846066780516</v>
      </c>
      <c r="Q64" s="56">
        <f>('Light Vehicle Supporting Data'!Q58+'Light Vehicle Supporting Data'!Q79)*'Vehicle Share Diversion Support'!Q58/(1-'Vehicle Share Diversion Support'!Q58)</f>
        <v>2512.2090175899853</v>
      </c>
      <c r="R64" s="57">
        <f>('Light Vehicle Supporting Data'!R58+'Light Vehicle Supporting Data'!R79)*'Vehicle Share Diversion Support'!R58/(1-'Vehicle Share Diversion Support'!R58)</f>
        <v>2992.4227697592009</v>
      </c>
    </row>
    <row r="65" spans="3:18" ht="16" x14ac:dyDescent="0.2">
      <c r="C65" s="24" t="s">
        <v>12</v>
      </c>
      <c r="D65" s="55">
        <v>0</v>
      </c>
      <c r="E65" s="56">
        <v>0</v>
      </c>
      <c r="F65" s="56">
        <v>0</v>
      </c>
      <c r="G65" s="56">
        <v>0</v>
      </c>
      <c r="H65" s="56">
        <v>0</v>
      </c>
      <c r="I65" s="56">
        <v>0</v>
      </c>
      <c r="J65" s="56">
        <f t="shared" si="9"/>
        <v>0</v>
      </c>
      <c r="K65" s="56">
        <f>('Light Vehicle Supporting Data'!K59+'Light Vehicle Supporting Data'!K80)*'Vehicle Share Diversion Support'!K59/(1-'Vehicle Share Diversion Support'!K59)</f>
        <v>0</v>
      </c>
      <c r="L65" s="56">
        <f>('Light Vehicle Supporting Data'!L59+'Light Vehicle Supporting Data'!L80)*'Vehicle Share Diversion Support'!L59/(1-'Vehicle Share Diversion Support'!L59)</f>
        <v>120.11760819690919</v>
      </c>
      <c r="M65" s="56">
        <f>('Light Vehicle Supporting Data'!M59+'Light Vehicle Supporting Data'!M80)*'Vehicle Share Diversion Support'!M59/(1-'Vehicle Share Diversion Support'!M59)</f>
        <v>244.95561147030432</v>
      </c>
      <c r="N65" s="56">
        <f>('Light Vehicle Supporting Data'!N59+'Light Vehicle Supporting Data'!N80)*'Vehicle Share Diversion Support'!N59/(1-'Vehicle Share Diversion Support'!N59)</f>
        <v>372.06940261837758</v>
      </c>
      <c r="O65" s="56">
        <f>('Light Vehicle Supporting Data'!O59+'Light Vehicle Supporting Data'!O80)*'Vehicle Share Diversion Support'!O59/(1-'Vehicle Share Diversion Support'!O59)</f>
        <v>500.29812485108511</v>
      </c>
      <c r="P65" s="56">
        <f>('Light Vehicle Supporting Data'!P59+'Light Vehicle Supporting Data'!P80)*'Vehicle Share Diversion Support'!P59/(1-'Vehicle Share Diversion Support'!P59)</f>
        <v>632.3573567150969</v>
      </c>
      <c r="Q65" s="56">
        <f>('Light Vehicle Supporting Data'!Q59+'Light Vehicle Supporting Data'!Q80)*'Vehicle Share Diversion Support'!Q59/(1-'Vehicle Share Diversion Support'!Q59)</f>
        <v>764.86895092841849</v>
      </c>
      <c r="R65" s="57">
        <f>('Light Vehicle Supporting Data'!R59+'Light Vehicle Supporting Data'!R80)*'Vehicle Share Diversion Support'!R59/(1-'Vehicle Share Diversion Support'!R59)</f>
        <v>897.52505230232998</v>
      </c>
    </row>
    <row r="66" spans="3:18" ht="17" thickBot="1" x14ac:dyDescent="0.25">
      <c r="C66" s="25" t="s">
        <v>13</v>
      </c>
      <c r="D66" s="58">
        <v>0</v>
      </c>
      <c r="E66" s="59">
        <v>0</v>
      </c>
      <c r="F66" s="59">
        <v>0</v>
      </c>
      <c r="G66" s="59">
        <v>0</v>
      </c>
      <c r="H66" s="59">
        <v>0</v>
      </c>
      <c r="I66" s="59">
        <v>0</v>
      </c>
      <c r="J66" s="59">
        <f t="shared" si="9"/>
        <v>0</v>
      </c>
      <c r="K66" s="59">
        <f>('Light Vehicle Supporting Data'!K60+'Light Vehicle Supporting Data'!K81)*'Vehicle Share Diversion Support'!K60/(1-'Vehicle Share Diversion Support'!K60)</f>
        <v>0</v>
      </c>
      <c r="L66" s="59">
        <f>('Light Vehicle Supporting Data'!L60+'Light Vehicle Supporting Data'!L81)*'Vehicle Share Diversion Support'!L60/(1-'Vehicle Share Diversion Support'!L60)</f>
        <v>55.297101941685149</v>
      </c>
      <c r="M66" s="59">
        <f>('Light Vehicle Supporting Data'!M60+'Light Vehicle Supporting Data'!M81)*'Vehicle Share Diversion Support'!M60/(1-'Vehicle Share Diversion Support'!M60)</f>
        <v>110.30755086139658</v>
      </c>
      <c r="N66" s="59">
        <f>('Light Vehicle Supporting Data'!N60+'Light Vehicle Supporting Data'!N81)*'Vehicle Share Diversion Support'!N60/(1-'Vehicle Share Diversion Support'!N60)</f>
        <v>163.73742816583629</v>
      </c>
      <c r="O66" s="59">
        <f>('Light Vehicle Supporting Data'!O60+'Light Vehicle Supporting Data'!O81)*'Vehicle Share Diversion Support'!O60/(1-'Vehicle Share Diversion Support'!O60)</f>
        <v>215.19719140133265</v>
      </c>
      <c r="P66" s="59">
        <f>('Light Vehicle Supporting Data'!P60+'Light Vehicle Supporting Data'!P81)*'Vehicle Share Diversion Support'!P60/(1-'Vehicle Share Diversion Support'!P60)</f>
        <v>265.6918171297782</v>
      </c>
      <c r="Q66" s="59">
        <f>('Light Vehicle Supporting Data'!Q60+'Light Vehicle Supporting Data'!Q81)*'Vehicle Share Diversion Support'!Q60/(1-'Vehicle Share Diversion Support'!Q60)</f>
        <v>313.91381781770019</v>
      </c>
      <c r="R66" s="60">
        <f>('Light Vehicle Supporting Data'!R60+'Light Vehicle Supporting Data'!R81)*'Vehicle Share Diversion Support'!R60/(1-'Vehicle Share Diversion Support'!R60)</f>
        <v>359.81371131100906</v>
      </c>
    </row>
    <row r="67" spans="3:18" ht="19" thickTop="1" thickBot="1" x14ac:dyDescent="0.25">
      <c r="C67" s="31" t="s">
        <v>24</v>
      </c>
      <c r="D67" s="61">
        <f>SUM(D53:D66)</f>
        <v>0</v>
      </c>
      <c r="E67" s="62">
        <f t="shared" ref="E67:O67" si="10">SUM(E53:E66)</f>
        <v>0</v>
      </c>
      <c r="F67" s="62">
        <f t="shared" si="10"/>
        <v>0</v>
      </c>
      <c r="G67" s="62">
        <f t="shared" si="10"/>
        <v>0</v>
      </c>
      <c r="H67" s="62">
        <f t="shared" si="10"/>
        <v>0</v>
      </c>
      <c r="I67" s="62">
        <f t="shared" si="10"/>
        <v>0</v>
      </c>
      <c r="J67" s="62">
        <f t="shared" si="10"/>
        <v>0</v>
      </c>
      <c r="K67" s="62">
        <f t="shared" si="10"/>
        <v>0</v>
      </c>
      <c r="L67" s="62">
        <f t="shared" si="10"/>
        <v>2879.5897591794105</v>
      </c>
      <c r="M67" s="62">
        <f t="shared" si="10"/>
        <v>5942.4068878356929</v>
      </c>
      <c r="N67" s="62">
        <f t="shared" si="10"/>
        <v>9119.5397550300913</v>
      </c>
      <c r="O67" s="62">
        <f t="shared" si="10"/>
        <v>12386.005779795149</v>
      </c>
      <c r="P67" s="62">
        <f t="shared" ref="P67:R67" si="11">SUM(P53:P66)</f>
        <v>15810.817285359077</v>
      </c>
      <c r="Q67" s="62">
        <f t="shared" si="11"/>
        <v>19316.733690426405</v>
      </c>
      <c r="R67" s="63">
        <f t="shared" si="11"/>
        <v>22896.61768329961</v>
      </c>
    </row>
    <row r="68" spans="3:18" ht="17" thickTop="1" x14ac:dyDescent="0.2">
      <c r="C68" s="154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53"/>
      <c r="Q68" s="53"/>
      <c r="R68" s="53"/>
    </row>
    <row r="69" spans="3:18" ht="16" x14ac:dyDescent="0.2">
      <c r="C69" s="128"/>
      <c r="D69" s="167"/>
    </row>
    <row r="70" spans="3:18" ht="17" thickBot="1" x14ac:dyDescent="0.25">
      <c r="C70" s="170"/>
      <c r="D70" s="171"/>
    </row>
    <row r="71" spans="3:18" ht="17" thickTop="1" x14ac:dyDescent="0.2">
      <c r="C71" s="32" t="s">
        <v>144</v>
      </c>
      <c r="D71" s="33"/>
      <c r="E71" s="33"/>
      <c r="F71" s="33"/>
      <c r="G71" s="33"/>
      <c r="H71" s="33"/>
      <c r="I71" s="33"/>
      <c r="J71" s="33"/>
      <c r="K71" s="34"/>
      <c r="L71" s="34"/>
      <c r="M71" s="34"/>
      <c r="N71" s="34"/>
      <c r="O71" s="34"/>
      <c r="P71" s="34"/>
      <c r="Q71" s="34"/>
      <c r="R71" s="35"/>
    </row>
    <row r="72" spans="3:18" ht="14" thickBot="1" x14ac:dyDescent="0.2">
      <c r="C72" s="36"/>
      <c r="D72" s="37" t="s">
        <v>25</v>
      </c>
      <c r="E72" s="37" t="s">
        <v>37</v>
      </c>
      <c r="F72" s="37" t="s">
        <v>38</v>
      </c>
      <c r="G72" s="37" t="s">
        <v>177</v>
      </c>
      <c r="H72" s="37" t="s">
        <v>178</v>
      </c>
      <c r="I72" s="37" t="s">
        <v>26</v>
      </c>
      <c r="J72" s="37"/>
      <c r="K72" s="37" t="s">
        <v>27</v>
      </c>
      <c r="L72" s="37" t="s">
        <v>28</v>
      </c>
      <c r="M72" s="37" t="s">
        <v>29</v>
      </c>
      <c r="N72" s="37" t="s">
        <v>30</v>
      </c>
      <c r="O72" s="37" t="s">
        <v>31</v>
      </c>
      <c r="P72" s="37" t="s">
        <v>174</v>
      </c>
      <c r="Q72" s="37" t="s">
        <v>175</v>
      </c>
      <c r="R72" s="38" t="s">
        <v>176</v>
      </c>
    </row>
    <row r="73" spans="3:18" ht="15" thickTop="1" thickBot="1" x14ac:dyDescent="0.2">
      <c r="C73" s="18"/>
      <c r="D73" s="65" t="s">
        <v>39</v>
      </c>
      <c r="E73" s="65" t="s">
        <v>39</v>
      </c>
      <c r="F73" s="65" t="s">
        <v>39</v>
      </c>
      <c r="G73" s="65" t="s">
        <v>39</v>
      </c>
      <c r="H73" s="65" t="s">
        <v>39</v>
      </c>
      <c r="I73" s="65" t="s">
        <v>32</v>
      </c>
      <c r="J73" s="65"/>
      <c r="K73" s="65" t="s">
        <v>32</v>
      </c>
      <c r="L73" s="65" t="s">
        <v>32</v>
      </c>
      <c r="M73" s="65" t="s">
        <v>32</v>
      </c>
      <c r="N73" s="65" t="s">
        <v>32</v>
      </c>
      <c r="O73" s="65" t="s">
        <v>32</v>
      </c>
      <c r="P73" s="65" t="s">
        <v>32</v>
      </c>
      <c r="Q73" s="65" t="s">
        <v>32</v>
      </c>
      <c r="R73" s="66" t="s">
        <v>32</v>
      </c>
    </row>
    <row r="74" spans="3:18" ht="17" thickTop="1" x14ac:dyDescent="0.2">
      <c r="C74" s="27" t="s">
        <v>0</v>
      </c>
      <c r="D74" s="86">
        <f>D32-D53</f>
        <v>0.75976041549999995</v>
      </c>
      <c r="E74" s="87">
        <f t="shared" ref="E74:O74" si="12">E32-E53</f>
        <v>0.7820647634542166</v>
      </c>
      <c r="F74" s="87">
        <f t="shared" si="12"/>
        <v>0.80436911140843337</v>
      </c>
      <c r="G74" s="87">
        <f t="shared" si="12"/>
        <v>0.82667345936264991</v>
      </c>
      <c r="H74" s="87">
        <f t="shared" si="12"/>
        <v>0.84897780731686667</v>
      </c>
      <c r="I74" s="87">
        <f t="shared" si="12"/>
        <v>0.87128215527108333</v>
      </c>
      <c r="J74" s="87">
        <f t="shared" ref="J74" si="13">J32-J53</f>
        <v>0.89031841529241096</v>
      </c>
      <c r="K74" s="87">
        <f t="shared" si="12"/>
        <v>0.96646345537772127</v>
      </c>
      <c r="L74" s="87">
        <f t="shared" si="12"/>
        <v>1.0523260580744278</v>
      </c>
      <c r="M74" s="87">
        <f t="shared" si="12"/>
        <v>1.1253880898404702</v>
      </c>
      <c r="N74" s="87">
        <f t="shared" si="12"/>
        <v>1.181355822441958</v>
      </c>
      <c r="O74" s="87">
        <f t="shared" si="12"/>
        <v>1.2329234630060455</v>
      </c>
      <c r="P74" s="87">
        <f t="shared" ref="P74:Q74" si="14">P32-P53</f>
        <v>1.2362229937605207</v>
      </c>
      <c r="Q74" s="87">
        <f t="shared" si="14"/>
        <v>1.2355782647028946</v>
      </c>
      <c r="R74" s="88">
        <f t="shared" ref="R74" si="15">R32-R53</f>
        <v>1.2322740700608392</v>
      </c>
    </row>
    <row r="75" spans="3:18" ht="16" x14ac:dyDescent="0.2">
      <c r="C75" s="24" t="s">
        <v>1</v>
      </c>
      <c r="D75" s="89">
        <f t="shared" ref="D75:O75" si="16">D33-D54</f>
        <v>41.157157814999998</v>
      </c>
      <c r="E75" s="90">
        <f t="shared" si="16"/>
        <v>42.976446024449977</v>
      </c>
      <c r="F75" s="90">
        <f t="shared" si="16"/>
        <v>44.79573423389995</v>
      </c>
      <c r="G75" s="90">
        <f t="shared" si="16"/>
        <v>46.615022443349929</v>
      </c>
      <c r="H75" s="90">
        <f t="shared" si="16"/>
        <v>48.434310652799915</v>
      </c>
      <c r="I75" s="90">
        <f t="shared" si="16"/>
        <v>50.253598862249895</v>
      </c>
      <c r="J75" s="90">
        <f t="shared" ref="J75" si="17">J33-J54</f>
        <v>51.917999813174688</v>
      </c>
      <c r="K75" s="90">
        <f t="shared" si="16"/>
        <v>58.57560361687387</v>
      </c>
      <c r="L75" s="90">
        <f t="shared" si="16"/>
        <v>66.348004815116838</v>
      </c>
      <c r="M75" s="90">
        <f t="shared" si="16"/>
        <v>73.775103282136342</v>
      </c>
      <c r="N75" s="90">
        <f t="shared" si="16"/>
        <v>80.417142625010911</v>
      </c>
      <c r="O75" s="90">
        <f t="shared" si="16"/>
        <v>87.121057914812809</v>
      </c>
      <c r="P75" s="56">
        <f t="shared" ref="P75" si="18">P33-P54</f>
        <v>90.678212725762933</v>
      </c>
      <c r="Q75" s="56">
        <f t="shared" ref="Q75:R75" si="19">Q33-Q54</f>
        <v>94.079609404598159</v>
      </c>
      <c r="R75" s="57">
        <f t="shared" si="19"/>
        <v>97.398365117474896</v>
      </c>
    </row>
    <row r="76" spans="3:18" ht="16" x14ac:dyDescent="0.2">
      <c r="C76" s="24" t="s">
        <v>2</v>
      </c>
      <c r="D76" s="89">
        <f t="shared" ref="D76:O76" si="20">D34-D55</f>
        <v>2.4426175743999998</v>
      </c>
      <c r="E76" s="90">
        <f t="shared" si="20"/>
        <v>2.5306277852264292</v>
      </c>
      <c r="F76" s="90">
        <f t="shared" si="20"/>
        <v>2.6186379960528585</v>
      </c>
      <c r="G76" s="90">
        <f t="shared" si="20"/>
        <v>2.7066482068792874</v>
      </c>
      <c r="H76" s="90">
        <f t="shared" si="20"/>
        <v>2.7946584177057168</v>
      </c>
      <c r="I76" s="90">
        <f t="shared" si="20"/>
        <v>2.8826686285321461</v>
      </c>
      <c r="J76" s="90">
        <f t="shared" ref="J76" si="21">J34-J55</f>
        <v>2.9551167494374262</v>
      </c>
      <c r="K76" s="90">
        <f t="shared" si="20"/>
        <v>3.2449092330585461</v>
      </c>
      <c r="L76" s="90">
        <f t="shared" si="20"/>
        <v>3.5807239614660489</v>
      </c>
      <c r="M76" s="90">
        <f t="shared" si="20"/>
        <v>3.8858963662779615</v>
      </c>
      <c r="N76" s="90">
        <f t="shared" si="20"/>
        <v>4.1418323220877937</v>
      </c>
      <c r="O76" s="90">
        <f t="shared" si="20"/>
        <v>4.3937745315033681</v>
      </c>
      <c r="P76" s="56">
        <f t="shared" ref="P76" si="22">P34-P55</f>
        <v>4.4780437240933679</v>
      </c>
      <c r="Q76" s="56">
        <f t="shared" ref="Q76:R76" si="23">Q34-Q55</f>
        <v>4.5493739380081024</v>
      </c>
      <c r="R76" s="57">
        <f t="shared" si="23"/>
        <v>4.6118858377471952</v>
      </c>
    </row>
    <row r="77" spans="3:18" ht="16" x14ac:dyDescent="0.2">
      <c r="C77" s="24" t="s">
        <v>3</v>
      </c>
      <c r="D77" s="89">
        <f t="shared" ref="D77:O77" si="24">D35-D56</f>
        <v>0.98369936449999995</v>
      </c>
      <c r="E77" s="90">
        <f t="shared" si="24"/>
        <v>1.0159276101731041</v>
      </c>
      <c r="F77" s="90">
        <f t="shared" si="24"/>
        <v>1.0481558558462081</v>
      </c>
      <c r="G77" s="90">
        <f t="shared" si="24"/>
        <v>1.0803841015193123</v>
      </c>
      <c r="H77" s="90">
        <f t="shared" si="24"/>
        <v>1.1126123471924165</v>
      </c>
      <c r="I77" s="90">
        <f t="shared" si="24"/>
        <v>1.1448405928655205</v>
      </c>
      <c r="J77" s="90">
        <f t="shared" ref="J77" si="25">J35-J56</f>
        <v>1.1718565135713446</v>
      </c>
      <c r="K77" s="90">
        <f t="shared" si="24"/>
        <v>1.2799201963946412</v>
      </c>
      <c r="L77" s="90">
        <f t="shared" si="24"/>
        <v>1.4029627773338404</v>
      </c>
      <c r="M77" s="90">
        <f t="shared" si="24"/>
        <v>1.5127608617557371</v>
      </c>
      <c r="N77" s="90">
        <f t="shared" si="24"/>
        <v>1.6014545498748021</v>
      </c>
      <c r="O77" s="90">
        <f t="shared" si="24"/>
        <v>1.6873933616005843</v>
      </c>
      <c r="P77" s="56">
        <f t="shared" ref="P77" si="26">P35-P56</f>
        <v>1.7081396081257481</v>
      </c>
      <c r="Q77" s="56">
        <f t="shared" ref="Q77:R77" si="27">Q35-Q56</f>
        <v>1.7236263830614007</v>
      </c>
      <c r="R77" s="57">
        <f t="shared" si="27"/>
        <v>1.7355075620753269</v>
      </c>
    </row>
    <row r="78" spans="3:18" ht="16" x14ac:dyDescent="0.2">
      <c r="C78" s="24" t="s">
        <v>4</v>
      </c>
      <c r="D78" s="89">
        <f t="shared" ref="D78:O78" si="28">D36-D57</f>
        <v>0.1174510768</v>
      </c>
      <c r="E78" s="90">
        <f t="shared" si="28"/>
        <v>0.11995930081887385</v>
      </c>
      <c r="F78" s="90">
        <f t="shared" si="28"/>
        <v>0.1224675248377477</v>
      </c>
      <c r="G78" s="90">
        <f t="shared" si="28"/>
        <v>0.12497574885662155</v>
      </c>
      <c r="H78" s="90">
        <f t="shared" si="28"/>
        <v>0.1274839728754954</v>
      </c>
      <c r="I78" s="90">
        <f t="shared" si="28"/>
        <v>0.12999219689436925</v>
      </c>
      <c r="J78" s="90">
        <f t="shared" ref="J78" si="29">J36-J57</f>
        <v>0.13221369179111944</v>
      </c>
      <c r="K78" s="90">
        <f t="shared" si="28"/>
        <v>0.14109967137812021</v>
      </c>
      <c r="L78" s="90">
        <f t="shared" si="28"/>
        <v>0.15113140580771756</v>
      </c>
      <c r="M78" s="90">
        <f t="shared" si="28"/>
        <v>0.15929995288460219</v>
      </c>
      <c r="N78" s="90">
        <f t="shared" si="28"/>
        <v>0.16466574195982275</v>
      </c>
      <c r="O78" s="90">
        <f t="shared" si="28"/>
        <v>0.16943705123144071</v>
      </c>
      <c r="P78" s="56">
        <f t="shared" ref="P78" si="30">P36-P57</f>
        <v>0.16750154698272013</v>
      </c>
      <c r="Q78" s="56">
        <f t="shared" ref="Q78:R78" si="31">Q36-Q57</f>
        <v>0.16506006167730902</v>
      </c>
      <c r="R78" s="57">
        <f t="shared" si="31"/>
        <v>0.16230383850802355</v>
      </c>
    </row>
    <row r="79" spans="3:18" ht="16" x14ac:dyDescent="0.2">
      <c r="C79" s="24" t="s">
        <v>5</v>
      </c>
      <c r="D79" s="89">
        <f t="shared" ref="D79:O79" si="32">D37-D58</f>
        <v>1.7589425135000001</v>
      </c>
      <c r="E79" s="90">
        <f t="shared" si="32"/>
        <v>1.7990307951715812</v>
      </c>
      <c r="F79" s="90">
        <f t="shared" si="32"/>
        <v>1.8391190768431624</v>
      </c>
      <c r="G79" s="90">
        <f t="shared" si="32"/>
        <v>1.8792073585147437</v>
      </c>
      <c r="H79" s="90">
        <f t="shared" si="32"/>
        <v>1.919295640186325</v>
      </c>
      <c r="I79" s="90">
        <f t="shared" si="32"/>
        <v>1.9593839218579061</v>
      </c>
      <c r="J79" s="90">
        <f t="shared" ref="J79" si="33">J37-J58</f>
        <v>1.993517258228372</v>
      </c>
      <c r="K79" s="90">
        <f t="shared" si="32"/>
        <v>2.1300506037102349</v>
      </c>
      <c r="L79" s="90">
        <f t="shared" si="32"/>
        <v>2.2877760582696425</v>
      </c>
      <c r="M79" s="90">
        <f t="shared" si="32"/>
        <v>2.4153876240665682</v>
      </c>
      <c r="N79" s="90">
        <f t="shared" si="32"/>
        <v>2.5046426399894699</v>
      </c>
      <c r="O79" s="90">
        <f t="shared" si="32"/>
        <v>2.5836347636811183</v>
      </c>
      <c r="P79" s="56">
        <f t="shared" ref="P79" si="34">P37-P58</f>
        <v>2.5604822969679617</v>
      </c>
      <c r="Q79" s="56">
        <f t="shared" ref="Q79:R79" si="35">Q37-Q58</f>
        <v>2.529444638126165</v>
      </c>
      <c r="R79" s="57">
        <f t="shared" si="35"/>
        <v>2.4934013298064883</v>
      </c>
    </row>
    <row r="80" spans="3:18" ht="16" x14ac:dyDescent="0.2">
      <c r="C80" s="24" t="s">
        <v>6</v>
      </c>
      <c r="D80" s="89">
        <f t="shared" ref="D80:O80" si="36">D38-D59</f>
        <v>1.1335038904000001</v>
      </c>
      <c r="E80" s="90">
        <f t="shared" si="36"/>
        <v>1.1617224848730541</v>
      </c>
      <c r="F80" s="90">
        <f t="shared" si="36"/>
        <v>1.189941079346108</v>
      </c>
      <c r="G80" s="90">
        <f t="shared" si="36"/>
        <v>1.2181596738191618</v>
      </c>
      <c r="H80" s="90">
        <f t="shared" si="36"/>
        <v>1.246378268292216</v>
      </c>
      <c r="I80" s="90">
        <f t="shared" si="36"/>
        <v>1.2745968627652697</v>
      </c>
      <c r="J80" s="90">
        <f t="shared" ref="J80" si="37">J38-J59</f>
        <v>1.2990931076380374</v>
      </c>
      <c r="K80" s="90">
        <f t="shared" si="36"/>
        <v>1.3970780871291077</v>
      </c>
      <c r="L80" s="90">
        <f t="shared" si="36"/>
        <v>1.5146559054108621</v>
      </c>
      <c r="M80" s="90">
        <f t="shared" si="36"/>
        <v>1.6160844628572306</v>
      </c>
      <c r="N80" s="90">
        <f t="shared" si="36"/>
        <v>1.6961132445333078</v>
      </c>
      <c r="O80" s="90">
        <f t="shared" si="36"/>
        <v>1.773377205470581</v>
      </c>
      <c r="P80" s="56">
        <f t="shared" ref="P80" si="38">P38-P59</f>
        <v>1.7813641450150612</v>
      </c>
      <c r="Q80" s="56">
        <f t="shared" ref="Q80:R80" si="39">Q38-Q59</f>
        <v>1.7836803767780793</v>
      </c>
      <c r="R80" s="57">
        <f t="shared" si="39"/>
        <v>1.7821529324374978</v>
      </c>
    </row>
    <row r="81" spans="3:18" ht="16" x14ac:dyDescent="0.2">
      <c r="C81" s="24" t="s">
        <v>7</v>
      </c>
      <c r="D81" s="89">
        <f t="shared" ref="D81:O81" si="40">D39-D60</f>
        <v>5.6344181790999999</v>
      </c>
      <c r="E81" s="90">
        <f t="shared" si="40"/>
        <v>5.764787666855292</v>
      </c>
      <c r="F81" s="90">
        <f t="shared" si="40"/>
        <v>5.8951571546105832</v>
      </c>
      <c r="G81" s="90">
        <f t="shared" si="40"/>
        <v>6.0255266423658744</v>
      </c>
      <c r="H81" s="90">
        <f t="shared" si="40"/>
        <v>6.1558961301211657</v>
      </c>
      <c r="I81" s="90">
        <f t="shared" si="40"/>
        <v>6.2862656178764578</v>
      </c>
      <c r="J81" s="90">
        <f t="shared" ref="J81" si="41">J39-J60</f>
        <v>6.3916727957382964</v>
      </c>
      <c r="K81" s="90">
        <f t="shared" si="40"/>
        <v>6.8133015071856491</v>
      </c>
      <c r="L81" s="90">
        <f t="shared" si="40"/>
        <v>7.2956169402029047</v>
      </c>
      <c r="M81" s="90">
        <f t="shared" si="40"/>
        <v>7.6873147094237311</v>
      </c>
      <c r="N81" s="90">
        <f t="shared" si="40"/>
        <v>7.9588810918637023</v>
      </c>
      <c r="O81" s="90">
        <f t="shared" si="40"/>
        <v>8.1989942418440478</v>
      </c>
      <c r="P81" s="56">
        <f t="shared" ref="P81" si="42">P39-P60</f>
        <v>8.1147371147480953</v>
      </c>
      <c r="Q81" s="56">
        <f t="shared" ref="Q81:R81" si="43">Q39-Q60</f>
        <v>8.0057324412989601</v>
      </c>
      <c r="R81" s="57">
        <f t="shared" si="43"/>
        <v>7.8811808856847847</v>
      </c>
    </row>
    <row r="82" spans="3:18" ht="16" x14ac:dyDescent="0.2">
      <c r="C82" s="24" t="s">
        <v>8</v>
      </c>
      <c r="D82" s="89">
        <f t="shared" ref="D82:O82" si="44">D40-D61</f>
        <v>19.359252680000001</v>
      </c>
      <c r="E82" s="90">
        <f t="shared" si="44"/>
        <v>19.883319228092226</v>
      </c>
      <c r="F82" s="90">
        <f t="shared" si="44"/>
        <v>20.407385776184451</v>
      </c>
      <c r="G82" s="90">
        <f t="shared" si="44"/>
        <v>20.931452324276677</v>
      </c>
      <c r="H82" s="90">
        <f t="shared" si="44"/>
        <v>21.455518872368902</v>
      </c>
      <c r="I82" s="90">
        <f t="shared" si="44"/>
        <v>21.979585420461127</v>
      </c>
      <c r="J82" s="90">
        <f t="shared" ref="J82" si="45">J40-J61</f>
        <v>22.425578846435506</v>
      </c>
      <c r="K82" s="90">
        <f t="shared" si="44"/>
        <v>24.209552550333033</v>
      </c>
      <c r="L82" s="90">
        <f t="shared" si="44"/>
        <v>26.278738354426878</v>
      </c>
      <c r="M82" s="90">
        <f t="shared" si="44"/>
        <v>28.098473319804725</v>
      </c>
      <c r="N82" s="90">
        <f t="shared" si="44"/>
        <v>29.530924023484431</v>
      </c>
      <c r="O82" s="90">
        <f t="shared" si="44"/>
        <v>30.877359934863307</v>
      </c>
      <c r="P82" s="56">
        <f t="shared" ref="P82" si="46">P40-P61</f>
        <v>31.017628697497912</v>
      </c>
      <c r="Q82" s="56">
        <f t="shared" ref="Q82:R82" si="47">Q40-Q61</f>
        <v>31.059164459167278</v>
      </c>
      <c r="R82" s="57">
        <f t="shared" si="47"/>
        <v>31.033771001845707</v>
      </c>
    </row>
    <row r="83" spans="3:18" ht="16" x14ac:dyDescent="0.2">
      <c r="C83" s="24" t="s">
        <v>9</v>
      </c>
      <c r="D83" s="89">
        <f t="shared" ref="D83:O83" si="48">D41-D62</f>
        <v>2.5483198348</v>
      </c>
      <c r="E83" s="90">
        <f t="shared" si="48"/>
        <v>2.6118191716051866</v>
      </c>
      <c r="F83" s="90">
        <f t="shared" si="48"/>
        <v>2.6753185084103732</v>
      </c>
      <c r="G83" s="90">
        <f t="shared" si="48"/>
        <v>2.7388178452155598</v>
      </c>
      <c r="H83" s="90">
        <f t="shared" si="48"/>
        <v>2.8023171820207464</v>
      </c>
      <c r="I83" s="90">
        <f t="shared" si="48"/>
        <v>2.8658165188259326</v>
      </c>
      <c r="J83" s="90">
        <f t="shared" ref="J83" si="49">J41-J62</f>
        <v>2.9218919627392923</v>
      </c>
      <c r="K83" s="90">
        <f t="shared" si="48"/>
        <v>3.1461937383927321</v>
      </c>
      <c r="L83" s="90">
        <f t="shared" si="48"/>
        <v>3.4031380241653011</v>
      </c>
      <c r="M83" s="90">
        <f t="shared" si="48"/>
        <v>3.6201884019349961</v>
      </c>
      <c r="N83" s="90">
        <f t="shared" si="48"/>
        <v>3.7801637081831814</v>
      </c>
      <c r="O83" s="90">
        <f t="shared" si="48"/>
        <v>3.9203867110678061</v>
      </c>
      <c r="P83" s="56">
        <f t="shared" ref="P83" si="50">P41-P62</f>
        <v>3.9063665862461221</v>
      </c>
      <c r="Q83" s="56">
        <f t="shared" ref="Q83:R83" si="51">Q41-Q62</f>
        <v>3.880166224259824</v>
      </c>
      <c r="R83" s="57">
        <f t="shared" si="51"/>
        <v>3.8460223038307504</v>
      </c>
    </row>
    <row r="84" spans="3:18" ht="16" x14ac:dyDescent="0.2">
      <c r="C84" s="24" t="s">
        <v>10</v>
      </c>
      <c r="D84" s="89">
        <f t="shared" ref="D84:O84" si="52">D42-D63</f>
        <v>1.6916956777000001</v>
      </c>
      <c r="E84" s="90">
        <f t="shared" si="52"/>
        <v>1.7107429706872064</v>
      </c>
      <c r="F84" s="90">
        <f t="shared" si="52"/>
        <v>1.7297902636744125</v>
      </c>
      <c r="G84" s="90">
        <f t="shared" si="52"/>
        <v>1.7488375566616186</v>
      </c>
      <c r="H84" s="90">
        <f t="shared" si="52"/>
        <v>1.7678848496488251</v>
      </c>
      <c r="I84" s="90">
        <f t="shared" si="52"/>
        <v>1.7869321426360312</v>
      </c>
      <c r="J84" s="90">
        <f t="shared" ref="J84" si="53">J42-J63</f>
        <v>1.8104023833242207</v>
      </c>
      <c r="K84" s="90">
        <f t="shared" si="52"/>
        <v>1.9042833460769777</v>
      </c>
      <c r="L84" s="90">
        <f t="shared" si="52"/>
        <v>2.0027945230667932</v>
      </c>
      <c r="M84" s="90">
        <f t="shared" si="52"/>
        <v>2.0724664098648446</v>
      </c>
      <c r="N84" s="90">
        <f t="shared" si="52"/>
        <v>2.1061681003166228</v>
      </c>
      <c r="O84" s="90">
        <f t="shared" si="52"/>
        <v>2.1314660543645232</v>
      </c>
      <c r="P84" s="56">
        <f t="shared" ref="P84" si="54">P42-P63</f>
        <v>2.0723786938708173</v>
      </c>
      <c r="Q84" s="56">
        <f t="shared" ref="Q84:R84" si="55">Q42-Q63</f>
        <v>2.0085033470376601</v>
      </c>
      <c r="R84" s="57">
        <f t="shared" si="55"/>
        <v>1.942404199140185</v>
      </c>
    </row>
    <row r="85" spans="3:18" ht="16" x14ac:dyDescent="0.2">
      <c r="C85" s="24" t="s">
        <v>11</v>
      </c>
      <c r="D85" s="89">
        <f t="shared" ref="D85:O85" si="56">D43-D64</f>
        <v>16.530142167000001</v>
      </c>
      <c r="E85" s="90">
        <f t="shared" si="56"/>
        <v>17.149832467173503</v>
      </c>
      <c r="F85" s="90">
        <f t="shared" si="56"/>
        <v>17.769522767347006</v>
      </c>
      <c r="G85" s="90">
        <f t="shared" si="56"/>
        <v>18.389213067520508</v>
      </c>
      <c r="H85" s="90">
        <f t="shared" si="56"/>
        <v>19.008903367694007</v>
      </c>
      <c r="I85" s="90">
        <f t="shared" si="56"/>
        <v>19.628593667867509</v>
      </c>
      <c r="J85" s="90">
        <f t="shared" ref="J85" si="57">J43-J64</f>
        <v>20.161635130757254</v>
      </c>
      <c r="K85" s="90">
        <f t="shared" si="56"/>
        <v>22.293800982316228</v>
      </c>
      <c r="L85" s="90">
        <f t="shared" si="56"/>
        <v>24.661419925976304</v>
      </c>
      <c r="M85" s="90">
        <f t="shared" si="56"/>
        <v>26.859044751538136</v>
      </c>
      <c r="N85" s="90">
        <f t="shared" si="56"/>
        <v>28.748031527292824</v>
      </c>
      <c r="O85" s="90">
        <f t="shared" si="56"/>
        <v>30.616760184520899</v>
      </c>
      <c r="P85" s="56">
        <f t="shared" ref="P85" si="58">P43-P64</f>
        <v>31.326773055333661</v>
      </c>
      <c r="Q85" s="56">
        <f t="shared" ref="Q85:R85" si="59">Q43-Q64</f>
        <v>31.951027737874483</v>
      </c>
      <c r="R85" s="57">
        <f t="shared" si="59"/>
        <v>32.517534595580855</v>
      </c>
    </row>
    <row r="86" spans="3:18" ht="16" x14ac:dyDescent="0.2">
      <c r="C86" s="24" t="s">
        <v>12</v>
      </c>
      <c r="D86" s="89">
        <f t="shared" ref="D86:O86" si="60">D44-D65</f>
        <v>7.2892681777000004</v>
      </c>
      <c r="E86" s="90">
        <f t="shared" si="60"/>
        <v>7.5223372931308727</v>
      </c>
      <c r="F86" s="90">
        <f t="shared" si="60"/>
        <v>7.7554064085617442</v>
      </c>
      <c r="G86" s="90">
        <f t="shared" si="60"/>
        <v>7.9884755239926157</v>
      </c>
      <c r="H86" s="90">
        <f t="shared" si="60"/>
        <v>8.2215446394234881</v>
      </c>
      <c r="I86" s="90">
        <f t="shared" si="60"/>
        <v>8.4546137548543605</v>
      </c>
      <c r="J86" s="90">
        <f t="shared" ref="J86" si="61">J44-J65</f>
        <v>8.6470596727994895</v>
      </c>
      <c r="K86" s="90">
        <f t="shared" si="60"/>
        <v>9.4168433445800002</v>
      </c>
      <c r="L86" s="90">
        <f t="shared" si="60"/>
        <v>10.248228108076816</v>
      </c>
      <c r="M86" s="90">
        <f t="shared" si="60"/>
        <v>10.98547072875192</v>
      </c>
      <c r="N86" s="90">
        <f t="shared" si="60"/>
        <v>11.579746965216657</v>
      </c>
      <c r="O86" s="90">
        <f t="shared" si="60"/>
        <v>12.148193668091892</v>
      </c>
      <c r="P86" s="56">
        <f t="shared" ref="P86" si="62">P44-P65</f>
        <v>12.244178511147197</v>
      </c>
      <c r="Q86" s="56">
        <f t="shared" ref="Q86:R86" si="63">Q44-Q65</f>
        <v>12.301564311621064</v>
      </c>
      <c r="R86" s="57">
        <f t="shared" si="63"/>
        <v>12.332599768242858</v>
      </c>
    </row>
    <row r="87" spans="3:18" ht="17" thickBot="1" x14ac:dyDescent="0.25">
      <c r="C87" s="25" t="s">
        <v>13</v>
      </c>
      <c r="D87" s="91">
        <f t="shared" ref="D87:O87" si="64">D45-D66</f>
        <v>1.2430116738999999</v>
      </c>
      <c r="E87" s="92">
        <f t="shared" si="64"/>
        <v>1.2699349933006558</v>
      </c>
      <c r="F87" s="92">
        <f t="shared" si="64"/>
        <v>1.2968583127013116</v>
      </c>
      <c r="G87" s="92">
        <f t="shared" si="64"/>
        <v>1.3237816321019675</v>
      </c>
      <c r="H87" s="92">
        <f t="shared" si="64"/>
        <v>1.3507049515026233</v>
      </c>
      <c r="I87" s="92">
        <f t="shared" si="64"/>
        <v>1.3776282709032792</v>
      </c>
      <c r="J87" s="92">
        <f t="shared" ref="J87" si="65">J45-J66</f>
        <v>1.3983864507905261</v>
      </c>
      <c r="K87" s="92">
        <f t="shared" si="64"/>
        <v>1.4814191703395134</v>
      </c>
      <c r="L87" s="92">
        <f t="shared" si="64"/>
        <v>1.5755330870422029</v>
      </c>
      <c r="M87" s="92">
        <f t="shared" si="64"/>
        <v>1.6507848424819684</v>
      </c>
      <c r="N87" s="92">
        <f t="shared" si="64"/>
        <v>1.6995907850113667</v>
      </c>
      <c r="O87" s="92">
        <f t="shared" si="64"/>
        <v>1.7417581972981395</v>
      </c>
      <c r="P87" s="59">
        <f t="shared" ref="P87" si="66">P45-P66</f>
        <v>1.7148915759942156</v>
      </c>
      <c r="Q87" s="59">
        <f t="shared" ref="Q87:R87" si="67">Q45-Q66</f>
        <v>1.6830546334113592</v>
      </c>
      <c r="R87" s="60">
        <f t="shared" si="67"/>
        <v>1.6482510759516344</v>
      </c>
    </row>
    <row r="88" spans="3:18" ht="19" thickTop="1" thickBot="1" x14ac:dyDescent="0.25">
      <c r="C88" s="31" t="s">
        <v>24</v>
      </c>
      <c r="D88" s="93">
        <f>SUM(D74:D87)</f>
        <v>102.6492410403</v>
      </c>
      <c r="E88" s="94">
        <f t="shared" ref="E88:R88" si="68">SUM(E74:E87)</f>
        <v>106.29855255501219</v>
      </c>
      <c r="F88" s="94">
        <f t="shared" si="68"/>
        <v>109.94786406972436</v>
      </c>
      <c r="G88" s="94">
        <f t="shared" si="68"/>
        <v>113.59717558443653</v>
      </c>
      <c r="H88" s="94">
        <f t="shared" si="68"/>
        <v>117.24648709914869</v>
      </c>
      <c r="I88" s="94">
        <f t="shared" si="68"/>
        <v>120.89579861386088</v>
      </c>
      <c r="J88" s="94">
        <f t="shared" ref="J88" si="69">SUM(J74:J87)</f>
        <v>124.116742791718</v>
      </c>
      <c r="K88" s="94">
        <f t="shared" si="68"/>
        <v>137.00051950314634</v>
      </c>
      <c r="L88" s="94">
        <f t="shared" si="68"/>
        <v>151.80304994443659</v>
      </c>
      <c r="M88" s="94">
        <f t="shared" si="68"/>
        <v>165.46366380361923</v>
      </c>
      <c r="N88" s="94">
        <f t="shared" si="68"/>
        <v>177.11071314726684</v>
      </c>
      <c r="O88" s="94">
        <f t="shared" si="68"/>
        <v>188.59651728335658</v>
      </c>
      <c r="P88" s="94">
        <f t="shared" si="68"/>
        <v>193.00692127554635</v>
      </c>
      <c r="Q88" s="94">
        <f t="shared" si="68"/>
        <v>196.95558622162275</v>
      </c>
      <c r="R88" s="95">
        <f t="shared" si="68"/>
        <v>200.61765451838704</v>
      </c>
    </row>
    <row r="89" spans="3:18" ht="17" thickTop="1" x14ac:dyDescent="0.2">
      <c r="C89" s="154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</row>
    <row r="90" spans="3:18" ht="16" x14ac:dyDescent="0.2">
      <c r="C90" s="128"/>
      <c r="D90" s="167"/>
    </row>
    <row r="91" spans="3:18" ht="17" thickBot="1" x14ac:dyDescent="0.25">
      <c r="C91" s="170"/>
      <c r="D91" s="171"/>
    </row>
    <row r="92" spans="3:18" ht="17" thickTop="1" x14ac:dyDescent="0.2">
      <c r="C92" s="32" t="s">
        <v>145</v>
      </c>
      <c r="D92" s="33"/>
      <c r="E92" s="33"/>
      <c r="F92" s="33"/>
      <c r="G92" s="33"/>
      <c r="H92" s="33"/>
      <c r="I92" s="33"/>
      <c r="J92" s="33"/>
      <c r="K92" s="34"/>
      <c r="L92" s="34"/>
      <c r="M92" s="34"/>
      <c r="N92" s="34"/>
      <c r="O92" s="34"/>
      <c r="P92" s="34"/>
      <c r="Q92" s="34"/>
      <c r="R92" s="35"/>
    </row>
    <row r="93" spans="3:18" ht="14" thickBot="1" x14ac:dyDescent="0.2">
      <c r="C93" s="36"/>
      <c r="D93" s="37" t="s">
        <v>25</v>
      </c>
      <c r="E93" s="37" t="s">
        <v>37</v>
      </c>
      <c r="F93" s="37" t="s">
        <v>38</v>
      </c>
      <c r="G93" s="37" t="s">
        <v>177</v>
      </c>
      <c r="H93" s="37" t="s">
        <v>178</v>
      </c>
      <c r="I93" s="37" t="s">
        <v>26</v>
      </c>
      <c r="J93" s="37"/>
      <c r="K93" s="37" t="s">
        <v>27</v>
      </c>
      <c r="L93" s="37" t="s">
        <v>28</v>
      </c>
      <c r="M93" s="37" t="s">
        <v>29</v>
      </c>
      <c r="N93" s="37" t="s">
        <v>30</v>
      </c>
      <c r="O93" s="37" t="s">
        <v>31</v>
      </c>
      <c r="P93" s="37" t="s">
        <v>174</v>
      </c>
      <c r="Q93" s="37" t="s">
        <v>175</v>
      </c>
      <c r="R93" s="38" t="s">
        <v>176</v>
      </c>
    </row>
    <row r="94" spans="3:18" ht="15" thickTop="1" thickBot="1" x14ac:dyDescent="0.2">
      <c r="C94" s="18"/>
      <c r="D94" s="65" t="s">
        <v>39</v>
      </c>
      <c r="E94" s="65" t="s">
        <v>39</v>
      </c>
      <c r="F94" s="65" t="s">
        <v>39</v>
      </c>
      <c r="G94" s="65" t="s">
        <v>39</v>
      </c>
      <c r="H94" s="65" t="s">
        <v>39</v>
      </c>
      <c r="I94" s="65" t="s">
        <v>39</v>
      </c>
      <c r="J94" s="65"/>
      <c r="K94" s="65" t="s">
        <v>32</v>
      </c>
      <c r="L94" s="65" t="s">
        <v>32</v>
      </c>
      <c r="M94" s="65" t="s">
        <v>32</v>
      </c>
      <c r="N94" s="65" t="s">
        <v>32</v>
      </c>
      <c r="O94" s="65" t="s">
        <v>32</v>
      </c>
      <c r="P94" s="65" t="s">
        <v>32</v>
      </c>
      <c r="Q94" s="65" t="s">
        <v>32</v>
      </c>
      <c r="R94" s="66" t="s">
        <v>32</v>
      </c>
    </row>
    <row r="95" spans="3:18" ht="17" thickTop="1" x14ac:dyDescent="0.2">
      <c r="C95" s="27" t="s">
        <v>0</v>
      </c>
      <c r="D95" s="86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f>(J53/'Household Vehicle Occupancy'!J89)*IF($C$2,(1-$I11),1)</f>
        <v>0</v>
      </c>
      <c r="K95" s="87">
        <f>(K53/'Household Vehicle Occupancy'!K89)*IF($C$2,(1-$I11),1)</f>
        <v>0</v>
      </c>
      <c r="L95" s="87">
        <f>(L53/'Household Vehicle Occupancy'!L89)*IF($C$2,(1-$I11),1)</f>
        <v>82.674145098634824</v>
      </c>
      <c r="M95" s="87">
        <f>(M53/'Household Vehicle Occupancy'!M89)*IF($C$2,(1-$I11),1)</f>
        <v>169.24627476181126</v>
      </c>
      <c r="N95" s="87">
        <f>(N53/'Household Vehicle Occupancy'!N89)*IF($C$2,(1-$I11),1)</f>
        <v>257.12497811303547</v>
      </c>
      <c r="O95" s="87">
        <f>(O53/'Household Vehicle Occupancy'!O89)*IF($C$2,(1-$I11),1)</f>
        <v>345.57194625486568</v>
      </c>
      <c r="P95" s="87">
        <f>(P53/'Household Vehicle Occupancy'!P89)*IF($C$2,(1-$I11),1)</f>
        <v>434.33947781933364</v>
      </c>
      <c r="Q95" s="87">
        <f>(Q53/'Household Vehicle Occupancy'!Q89)*IF($C$2,(1-$I11),1)</f>
        <v>522.40840158592664</v>
      </c>
      <c r="R95" s="88">
        <f>(R53/'Household Vehicle Occupancy'!R89)*IF($C$2,(1-$I11),1)</f>
        <v>609.57262898058912</v>
      </c>
    </row>
    <row r="96" spans="3:18" ht="16" x14ac:dyDescent="0.2">
      <c r="C96" s="24" t="s">
        <v>1</v>
      </c>
      <c r="D96" s="89">
        <v>0</v>
      </c>
      <c r="E96" s="90">
        <v>0</v>
      </c>
      <c r="F96" s="90">
        <v>0</v>
      </c>
      <c r="G96" s="90">
        <v>0</v>
      </c>
      <c r="H96" s="90">
        <v>0</v>
      </c>
      <c r="I96" s="90">
        <v>0</v>
      </c>
      <c r="J96" s="90">
        <f>(J54/'Household Vehicle Occupancy'!J90)*IF($C$2,(1-$I12),1)</f>
        <v>0</v>
      </c>
      <c r="K96" s="90">
        <f>(K54/'Household Vehicle Occupancy'!K90)*IF($C$2,(1-$I12),1)</f>
        <v>0</v>
      </c>
      <c r="L96" s="90">
        <f>(L54/'Household Vehicle Occupancy'!L90)*IF($C$2,(1-$I12),1)</f>
        <v>536.81514494344447</v>
      </c>
      <c r="M96" s="90">
        <f>(M54/'Household Vehicle Occupancy'!M90)*IF($C$2,(1-$I12),1)</f>
        <v>1138.0497531815158</v>
      </c>
      <c r="N96" s="90">
        <f>(N54/'Household Vehicle Occupancy'!N90)*IF($C$2,(1-$I12),1)</f>
        <v>1788.3553963018167</v>
      </c>
      <c r="O96" s="90">
        <f>(O54/'Household Vehicle Occupancy'!O90)*IF($C$2,(1-$I12),1)</f>
        <v>2485.599017341598</v>
      </c>
      <c r="P96" s="56">
        <f>(P54/'Household Vehicle Occupancy'!P90)*IF($C$2,(1-$I12),1)</f>
        <v>3232.5479744432014</v>
      </c>
      <c r="Q96" s="56">
        <f>(Q54/'Household Vehicle Occupancy'!Q90)*IF($C$2,(1-$I12),1)</f>
        <v>4022.3475111007515</v>
      </c>
      <c r="R96" s="57">
        <f>(R54/'Household Vehicle Occupancy'!R90)*IF($C$2,(1-$I12),1)</f>
        <v>4853.9684423072158</v>
      </c>
    </row>
    <row r="97" spans="3:18" ht="16" x14ac:dyDescent="0.2">
      <c r="C97" s="24" t="s">
        <v>2</v>
      </c>
      <c r="D97" s="89">
        <v>0</v>
      </c>
      <c r="E97" s="90">
        <v>0</v>
      </c>
      <c r="F97" s="90">
        <v>0</v>
      </c>
      <c r="G97" s="90">
        <v>0</v>
      </c>
      <c r="H97" s="90">
        <v>0</v>
      </c>
      <c r="I97" s="90">
        <v>0</v>
      </c>
      <c r="J97" s="90">
        <f>(J55/'Household Vehicle Occupancy'!J91)*IF($C$2,(1-$I13),1)</f>
        <v>0</v>
      </c>
      <c r="K97" s="90">
        <f>(K55/'Household Vehicle Occupancy'!K91)*IF($C$2,(1-$I13),1)</f>
        <v>0</v>
      </c>
      <c r="L97" s="90">
        <f>(L55/'Household Vehicle Occupancy'!L91)*IF($C$2,(1-$I13),1)</f>
        <v>256.39430570815489</v>
      </c>
      <c r="M97" s="90">
        <f>(M55/'Household Vehicle Occupancy'!M91)*IF($C$2,(1-$I13),1)</f>
        <v>532.6306608299393</v>
      </c>
      <c r="N97" s="90">
        <f>(N55/'Household Vehicle Occupancy'!N91)*IF($C$2,(1-$I13),1)</f>
        <v>821.62604886313147</v>
      </c>
      <c r="O97" s="90">
        <f>(O55/'Household Vehicle Occupancy'!O91)*IF($C$2,(1-$I13),1)</f>
        <v>1122.4274358834475</v>
      </c>
      <c r="P97" s="56">
        <f>(P55/'Household Vehicle Occupancy'!P91)*IF($C$2,(1-$I13),1)</f>
        <v>1433.9663580236906</v>
      </c>
      <c r="Q97" s="56">
        <f>(Q55/'Household Vehicle Occupancy'!Q91)*IF($C$2,(1-$I13),1)</f>
        <v>1753.1120438822895</v>
      </c>
      <c r="R97" s="57">
        <f>(R55/'Household Vehicle Occupancy'!R91)*IF($C$2,(1-$I13),1)</f>
        <v>2079.2889302866347</v>
      </c>
    </row>
    <row r="98" spans="3:18" ht="16" x14ac:dyDescent="0.2">
      <c r="C98" s="24" t="s">
        <v>3</v>
      </c>
      <c r="D98" s="89">
        <v>0</v>
      </c>
      <c r="E98" s="90">
        <v>0</v>
      </c>
      <c r="F98" s="90">
        <v>0</v>
      </c>
      <c r="G98" s="90">
        <v>0</v>
      </c>
      <c r="H98" s="90">
        <v>0</v>
      </c>
      <c r="I98" s="90">
        <v>0</v>
      </c>
      <c r="J98" s="90">
        <f>(J56/'Household Vehicle Occupancy'!J92)*IF($C$2,(1-$I14),1)</f>
        <v>0</v>
      </c>
      <c r="K98" s="90">
        <f>(K56/'Household Vehicle Occupancy'!K92)*IF($C$2,(1-$I14),1)</f>
        <v>0</v>
      </c>
      <c r="L98" s="90">
        <f>(L56/'Household Vehicle Occupancy'!L92)*IF($C$2,(1-$I14),1)</f>
        <v>124.12941787804117</v>
      </c>
      <c r="M98" s="90">
        <f>(M56/'Household Vehicle Occupancy'!M92)*IF($C$2,(1-$I14),1)</f>
        <v>256.21011153148044</v>
      </c>
      <c r="N98" s="90">
        <f>(N56/'Household Vehicle Occupancy'!N92)*IF($C$2,(1-$I14),1)</f>
        <v>392.54309401532055</v>
      </c>
      <c r="O98" s="90">
        <f>(O56/'Household Vehicle Occupancy'!O92)*IF($C$2,(1-$I14),1)</f>
        <v>532.63276625674678</v>
      </c>
      <c r="P98" s="56">
        <f>(P56/'Household Vehicle Occupancy'!P92)*IF($C$2,(1-$I14),1)</f>
        <v>675.872899377095</v>
      </c>
      <c r="Q98" s="56">
        <f>(Q56/'Household Vehicle Occupancy'!Q92)*IF($C$2,(1-$I14),1)</f>
        <v>820.71469185772423</v>
      </c>
      <c r="R98" s="57">
        <f>(R56/'Household Vehicle Occupancy'!R92)*IF($C$2,(1-$I14),1)</f>
        <v>966.83828734673023</v>
      </c>
    </row>
    <row r="99" spans="3:18" ht="16" x14ac:dyDescent="0.2">
      <c r="C99" s="24" t="s">
        <v>4</v>
      </c>
      <c r="D99" s="89">
        <v>0</v>
      </c>
      <c r="E99" s="90">
        <v>0</v>
      </c>
      <c r="F99" s="90">
        <v>0</v>
      </c>
      <c r="G99" s="90">
        <v>0</v>
      </c>
      <c r="H99" s="90">
        <v>0</v>
      </c>
      <c r="I99" s="90">
        <v>0</v>
      </c>
      <c r="J99" s="90">
        <f>(J57/'Household Vehicle Occupancy'!J93)*IF($C$2,(1-$I15),1)</f>
        <v>0</v>
      </c>
      <c r="K99" s="90">
        <f>(K57/'Household Vehicle Occupancy'!K93)*IF($C$2,(1-$I15),1)</f>
        <v>0</v>
      </c>
      <c r="L99" s="90">
        <f>(L57/'Household Vehicle Occupancy'!L93)*IF($C$2,(1-$I15),1)</f>
        <v>15.595354590472443</v>
      </c>
      <c r="M99" s="90">
        <f>(M57/'Household Vehicle Occupancy'!M93)*IF($C$2,(1-$I15),1)</f>
        <v>31.466873525604804</v>
      </c>
      <c r="N99" s="90">
        <f>(N57/'Household Vehicle Occupancy'!N93)*IF($C$2,(1-$I15),1)</f>
        <v>47.074741139393694</v>
      </c>
      <c r="O99" s="90">
        <f>(O57/'Household Vehicle Occupancy'!O93)*IF($C$2,(1-$I15),1)</f>
        <v>62.378063723503296</v>
      </c>
      <c r="P99" s="56">
        <f>(P57/'Household Vehicle Occupancy'!P93)*IF($C$2,(1-$I15),1)</f>
        <v>77.298746904997671</v>
      </c>
      <c r="Q99" s="56">
        <f>(Q57/'Household Vehicle Occupancy'!Q93)*IF($C$2,(1-$I15),1)</f>
        <v>91.664893773798738</v>
      </c>
      <c r="R99" s="57">
        <f>(R57/'Household Vehicle Occupancy'!R93)*IF($C$2,(1-$I15),1)</f>
        <v>105.45522016023544</v>
      </c>
    </row>
    <row r="100" spans="3:18" ht="16" x14ac:dyDescent="0.2">
      <c r="C100" s="24" t="s">
        <v>5</v>
      </c>
      <c r="D100" s="89">
        <v>0</v>
      </c>
      <c r="E100" s="90">
        <v>0</v>
      </c>
      <c r="F100" s="90">
        <v>0</v>
      </c>
      <c r="G100" s="90">
        <v>0</v>
      </c>
      <c r="H100" s="90">
        <v>0</v>
      </c>
      <c r="I100" s="90">
        <v>0</v>
      </c>
      <c r="J100" s="90">
        <f>(J58/'Household Vehicle Occupancy'!J94)*IF($C$2,(1-$I16),1)</f>
        <v>0</v>
      </c>
      <c r="K100" s="90">
        <f>(K58/'Household Vehicle Occupancy'!K94)*IF($C$2,(1-$I16),1)</f>
        <v>0</v>
      </c>
      <c r="L100" s="90">
        <f>(L58/'Household Vehicle Occupancy'!L94)*IF($C$2,(1-$I16),1)</f>
        <v>63.055205119799339</v>
      </c>
      <c r="M100" s="90">
        <f>(M58/'Household Vehicle Occupancy'!M94)*IF($C$2,(1-$I16),1)</f>
        <v>127.43586888323439</v>
      </c>
      <c r="N100" s="90">
        <f>(N58/'Household Vehicle Occupancy'!N94)*IF($C$2,(1-$I16),1)</f>
        <v>191.24819964314793</v>
      </c>
      <c r="O100" s="90">
        <f>(O58/'Household Vehicle Occupancy'!O94)*IF($C$2,(1-$I16),1)</f>
        <v>254.05136048449413</v>
      </c>
      <c r="P100" s="56">
        <f>(P58/'Household Vehicle Occupancy'!P94)*IF($C$2,(1-$I16),1)</f>
        <v>315.60386213174581</v>
      </c>
      <c r="Q100" s="56">
        <f>(Q58/'Household Vehicle Occupancy'!Q94)*IF($C$2,(1-$I16),1)</f>
        <v>375.19160755429124</v>
      </c>
      <c r="R100" s="57">
        <f>(R58/'Household Vehicle Occupancy'!R94)*IF($C$2,(1-$I16),1)</f>
        <v>432.71144162509796</v>
      </c>
    </row>
    <row r="101" spans="3:18" ht="16" x14ac:dyDescent="0.2">
      <c r="C101" s="24" t="s">
        <v>6</v>
      </c>
      <c r="D101" s="89">
        <v>0</v>
      </c>
      <c r="E101" s="90">
        <v>0</v>
      </c>
      <c r="F101" s="90">
        <v>0</v>
      </c>
      <c r="G101" s="90">
        <v>0</v>
      </c>
      <c r="H101" s="90">
        <v>0</v>
      </c>
      <c r="I101" s="90">
        <v>0</v>
      </c>
      <c r="J101" s="90">
        <f>(J59/'Household Vehicle Occupancy'!J95)*IF($C$2,(1-$I17),1)</f>
        <v>0</v>
      </c>
      <c r="K101" s="90">
        <f>(K59/'Household Vehicle Occupancy'!K95)*IF($C$2,(1-$I17),1)</f>
        <v>0</v>
      </c>
      <c r="L101" s="90">
        <f>(L59/'Household Vehicle Occupancy'!L95)*IF($C$2,(1-$I17),1)</f>
        <v>47.114045484578384</v>
      </c>
      <c r="M101" s="90">
        <f>(M59/'Household Vehicle Occupancy'!M95)*IF($C$2,(1-$I17),1)</f>
        <v>96.22720798789976</v>
      </c>
      <c r="N101" s="90">
        <f>(N59/'Household Vehicle Occupancy'!N95)*IF($C$2,(1-$I17),1)</f>
        <v>146.16231516303702</v>
      </c>
      <c r="O101" s="90">
        <f>(O59/'Household Vehicle Occupancy'!O95)*IF($C$2,(1-$I17),1)</f>
        <v>196.79792261354032</v>
      </c>
      <c r="P101" s="56">
        <f>(P59/'Household Vehicle Occupancy'!P95)*IF($C$2,(1-$I17),1)</f>
        <v>247.80052418388038</v>
      </c>
      <c r="Q101" s="56">
        <f>(Q59/'Household Vehicle Occupancy'!Q95)*IF($C$2,(1-$I17),1)</f>
        <v>298.58910272141628</v>
      </c>
      <c r="R101" s="57">
        <f>(R59/'Household Vehicle Occupancy'!R95)*IF($C$2,(1-$I17),1)</f>
        <v>349.04397351784485</v>
      </c>
    </row>
    <row r="102" spans="3:18" ht="16" x14ac:dyDescent="0.2">
      <c r="C102" s="24" t="s">
        <v>7</v>
      </c>
      <c r="D102" s="89">
        <v>0</v>
      </c>
      <c r="E102" s="90">
        <v>0</v>
      </c>
      <c r="F102" s="90">
        <v>0</v>
      </c>
      <c r="G102" s="90">
        <v>0</v>
      </c>
      <c r="H102" s="90">
        <v>0</v>
      </c>
      <c r="I102" s="90">
        <v>0</v>
      </c>
      <c r="J102" s="90">
        <f>(J60/'Household Vehicle Occupancy'!J96)*IF($C$2,(1-$I18),1)</f>
        <v>0</v>
      </c>
      <c r="K102" s="90">
        <f>(K60/'Household Vehicle Occupancy'!K96)*IF($C$2,(1-$I18),1)</f>
        <v>0</v>
      </c>
      <c r="L102" s="90">
        <f>(L60/'Household Vehicle Occupancy'!L96)*IF($C$2,(1-$I18),1)</f>
        <v>99.554283212649977</v>
      </c>
      <c r="M102" s="90">
        <f>(M60/'Household Vehicle Occupancy'!M96)*IF($C$2,(1-$I18),1)</f>
        <v>200.8029104801283</v>
      </c>
      <c r="N102" s="90">
        <f>(N60/'Household Vehicle Occupancy'!N96)*IF($C$2,(1-$I18),1)</f>
        <v>300.88053771356221</v>
      </c>
      <c r="O102" s="90">
        <f>(O60/'Household Vehicle Occupancy'!O96)*IF($C$2,(1-$I18),1)</f>
        <v>399.15491521814158</v>
      </c>
      <c r="P102" s="56">
        <f>(P60/'Household Vehicle Occupancy'!P96)*IF($C$2,(1-$I18),1)</f>
        <v>495.20552484205325</v>
      </c>
      <c r="Q102" s="56">
        <f>(Q60/'Household Vehicle Occupancy'!Q96)*IF($C$2,(1-$I18),1)</f>
        <v>587.92171747234852</v>
      </c>
      <c r="R102" s="57">
        <f>(R60/'Household Vehicle Occupancy'!R96)*IF($C$2,(1-$I18),1)</f>
        <v>677.15483247126633</v>
      </c>
    </row>
    <row r="103" spans="3:18" ht="16" x14ac:dyDescent="0.2">
      <c r="C103" s="24" t="s">
        <v>8</v>
      </c>
      <c r="D103" s="89">
        <v>0</v>
      </c>
      <c r="E103" s="90">
        <v>0</v>
      </c>
      <c r="F103" s="90">
        <v>0</v>
      </c>
      <c r="G103" s="90">
        <v>0</v>
      </c>
      <c r="H103" s="90">
        <v>0</v>
      </c>
      <c r="I103" s="90">
        <v>0</v>
      </c>
      <c r="J103" s="90">
        <f>(J61/'Household Vehicle Occupancy'!J97)*IF($C$2,(1-$I19),1)</f>
        <v>0</v>
      </c>
      <c r="K103" s="90">
        <f>(K61/'Household Vehicle Occupancy'!K97)*IF($C$2,(1-$I19),1)</f>
        <v>0</v>
      </c>
      <c r="L103" s="90">
        <f>(L61/'Household Vehicle Occupancy'!L97)*IF($C$2,(1-$I19),1)</f>
        <v>151.37007106521446</v>
      </c>
      <c r="M103" s="90">
        <f>(M61/'Household Vehicle Occupancy'!M97)*IF($C$2,(1-$I19),1)</f>
        <v>309.35204497695105</v>
      </c>
      <c r="N103" s="90">
        <f>(N61/'Household Vehicle Occupancy'!N97)*IF($C$2,(1-$I19),1)</f>
        <v>469.79916255587347</v>
      </c>
      <c r="O103" s="90">
        <f>(O61/'Household Vehicle Occupancy'!O97)*IF($C$2,(1-$I19),1)</f>
        <v>631.46271730268393</v>
      </c>
      <c r="P103" s="56">
        <f>(P61/'Household Vehicle Occupancy'!P97)*IF($C$2,(1-$I19),1)</f>
        <v>793.71278578107194</v>
      </c>
      <c r="Q103" s="56">
        <f>(Q61/'Household Vehicle Occupancy'!Q97)*IF($C$2,(1-$I19),1)</f>
        <v>954.48004450880615</v>
      </c>
      <c r="R103" s="57">
        <f>(R61/'Household Vehicle Occupancy'!R97)*IF($C$2,(1-$I19),1)</f>
        <v>1113.2979677268677</v>
      </c>
    </row>
    <row r="104" spans="3:18" ht="16" x14ac:dyDescent="0.2">
      <c r="C104" s="24" t="s">
        <v>9</v>
      </c>
      <c r="D104" s="89">
        <v>0</v>
      </c>
      <c r="E104" s="90">
        <v>0</v>
      </c>
      <c r="F104" s="90">
        <v>0</v>
      </c>
      <c r="G104" s="90">
        <v>0</v>
      </c>
      <c r="H104" s="90">
        <v>0</v>
      </c>
      <c r="I104" s="90">
        <v>0</v>
      </c>
      <c r="J104" s="90">
        <f>(J62/'Household Vehicle Occupancy'!J98)*IF($C$2,(1-$I20),1)</f>
        <v>0</v>
      </c>
      <c r="K104" s="90">
        <f>(K62/'Household Vehicle Occupancy'!K98)*IF($C$2,(1-$I20),1)</f>
        <v>0</v>
      </c>
      <c r="L104" s="90">
        <f>(L62/'Household Vehicle Occupancy'!L98)*IF($C$2,(1-$I20),1)</f>
        <v>59.002035673275373</v>
      </c>
      <c r="M104" s="90">
        <f>(M62/'Household Vehicle Occupancy'!M98)*IF($C$2,(1-$I20),1)</f>
        <v>120.14785468280085</v>
      </c>
      <c r="N104" s="90">
        <f>(N62/'Household Vehicle Occupancy'!N98)*IF($C$2,(1-$I20),1)</f>
        <v>181.56920590052533</v>
      </c>
      <c r="O104" s="90">
        <f>(O62/'Household Vehicle Occupancy'!O98)*IF($C$2,(1-$I20),1)</f>
        <v>242.49306013885106</v>
      </c>
      <c r="P104" s="56">
        <f>(P62/'Household Vehicle Occupancy'!P98)*IF($C$2,(1-$I20),1)</f>
        <v>302.88204464650994</v>
      </c>
      <c r="Q104" s="56">
        <f>(Q62/'Household Vehicle Occupancy'!Q98)*IF($C$2,(1-$I20),1)</f>
        <v>362.04142704074678</v>
      </c>
      <c r="R104" s="57">
        <f>(R62/'Household Vehicle Occupancy'!R98)*IF($C$2,(1-$I20),1)</f>
        <v>419.85370579204618</v>
      </c>
    </row>
    <row r="105" spans="3:18" ht="16" x14ac:dyDescent="0.2">
      <c r="C105" s="24" t="s">
        <v>10</v>
      </c>
      <c r="D105" s="89">
        <v>0</v>
      </c>
      <c r="E105" s="90">
        <v>0</v>
      </c>
      <c r="F105" s="90">
        <v>0</v>
      </c>
      <c r="G105" s="90">
        <v>0</v>
      </c>
      <c r="H105" s="90">
        <v>0</v>
      </c>
      <c r="I105" s="90">
        <v>0</v>
      </c>
      <c r="J105" s="90">
        <f>(J63/'Household Vehicle Occupancy'!J99)*IF($C$2,(1-$I21),1)</f>
        <v>0</v>
      </c>
      <c r="K105" s="90">
        <f>(K63/'Household Vehicle Occupancy'!K99)*IF($C$2,(1-$I21),1)</f>
        <v>0</v>
      </c>
      <c r="L105" s="90">
        <f>(L63/'Household Vehicle Occupancy'!L99)*IF($C$2,(1-$I21),1)</f>
        <v>21.529926083337909</v>
      </c>
      <c r="M105" s="90">
        <f>(M63/'Household Vehicle Occupancy'!M99)*IF($C$2,(1-$I21),1)</f>
        <v>42.647252713877826</v>
      </c>
      <c r="N105" s="90">
        <f>(N63/'Household Vehicle Occupancy'!N99)*IF($C$2,(1-$I21),1)</f>
        <v>62.725383900449856</v>
      </c>
      <c r="O105" s="90">
        <f>(O63/'Household Vehicle Occupancy'!O99)*IF($C$2,(1-$I21),1)</f>
        <v>81.74619325513342</v>
      </c>
      <c r="P105" s="56">
        <f>(P63/'Household Vehicle Occupancy'!P99)*IF($C$2,(1-$I21),1)</f>
        <v>99.629594335874444</v>
      </c>
      <c r="Q105" s="56">
        <f>(Q63/'Household Vehicle Occupancy'!Q99)*IF($C$2,(1-$I21),1)</f>
        <v>116.19814857442449</v>
      </c>
      <c r="R105" s="57">
        <f>(R63/'Household Vehicle Occupancy'!R99)*IF($C$2,(1-$I21),1)</f>
        <v>131.475403400663</v>
      </c>
    </row>
    <row r="106" spans="3:18" ht="16" x14ac:dyDescent="0.2">
      <c r="C106" s="24" t="s">
        <v>11</v>
      </c>
      <c r="D106" s="89">
        <v>0</v>
      </c>
      <c r="E106" s="90">
        <v>0</v>
      </c>
      <c r="F106" s="90">
        <v>0</v>
      </c>
      <c r="G106" s="90">
        <v>0</v>
      </c>
      <c r="H106" s="90">
        <v>0</v>
      </c>
      <c r="I106" s="90">
        <v>0</v>
      </c>
      <c r="J106" s="90">
        <f>(J64/'Household Vehicle Occupancy'!J100)*IF($C$2,(1-$I22),1)</f>
        <v>0</v>
      </c>
      <c r="K106" s="90">
        <f>(K64/'Household Vehicle Occupancy'!K100)*IF($C$2,(1-$I22),1)</f>
        <v>0</v>
      </c>
      <c r="L106" s="90">
        <f>(L64/'Household Vehicle Occupancy'!L100)*IF($C$2,(1-$I22),1)</f>
        <v>248.69853935950127</v>
      </c>
      <c r="M106" s="90">
        <f>(M64/'Household Vehicle Occupancy'!M100)*IF($C$2,(1-$I22),1)</f>
        <v>518.49328328205206</v>
      </c>
      <c r="N106" s="90">
        <f>(N64/'Household Vehicle Occupancy'!N100)*IF($C$2,(1-$I22),1)</f>
        <v>803.16989650889241</v>
      </c>
      <c r="O106" s="90">
        <f>(O64/'Household Vehicle Occupancy'!O100)*IF($C$2,(1-$I22),1)</f>
        <v>1101.5326191720319</v>
      </c>
      <c r="P106" s="56">
        <f>(P64/'Household Vehicle Occupancy'!P100)*IF($C$2,(1-$I22),1)</f>
        <v>1412.8105094725054</v>
      </c>
      <c r="Q106" s="56">
        <f>(Q64/'Household Vehicle Occupancy'!Q100)*IF($C$2,(1-$I22),1)</f>
        <v>1734.0455183008883</v>
      </c>
      <c r="R106" s="57">
        <f>(R64/'Household Vehicle Occupancy'!R100)*IF($C$2,(1-$I22),1)</f>
        <v>2064.7692669677904</v>
      </c>
    </row>
    <row r="107" spans="3:18" ht="16" x14ac:dyDescent="0.2">
      <c r="C107" s="24" t="s">
        <v>12</v>
      </c>
      <c r="D107" s="89">
        <v>0</v>
      </c>
      <c r="E107" s="90">
        <v>0</v>
      </c>
      <c r="F107" s="90">
        <v>0</v>
      </c>
      <c r="G107" s="90">
        <v>0</v>
      </c>
      <c r="H107" s="90">
        <v>0</v>
      </c>
      <c r="I107" s="90">
        <v>0</v>
      </c>
      <c r="J107" s="90">
        <f>(J65/'Household Vehicle Occupancy'!J101)*IF($C$2,(1-$I23),1)</f>
        <v>0</v>
      </c>
      <c r="K107" s="90">
        <f>(K65/'Household Vehicle Occupancy'!K101)*IF($C$2,(1-$I23),1)</f>
        <v>0</v>
      </c>
      <c r="L107" s="90">
        <f>(L65/'Household Vehicle Occupancy'!L101)*IF($C$2,(1-$I23),1)</f>
        <v>99.082131065760947</v>
      </c>
      <c r="M107" s="90">
        <f>(M65/'Household Vehicle Occupancy'!M101)*IF($C$2,(1-$I23),1)</f>
        <v>203.31182661338363</v>
      </c>
      <c r="N107" s="90">
        <f>(N65/'Household Vehicle Occupancy'!N101)*IF($C$2,(1-$I23),1)</f>
        <v>310.16284986813986</v>
      </c>
      <c r="O107" s="90">
        <f>(O65/'Household Vehicle Occupancy'!O101)*IF($C$2,(1-$I23),1)</f>
        <v>419.02625518539344</v>
      </c>
      <c r="P107" s="56">
        <f>(P65/'Household Vehicle Occupancy'!P101)*IF($C$2,(1-$I23),1)</f>
        <v>529.40654683413709</v>
      </c>
      <c r="Q107" s="56">
        <f>(Q65/'Household Vehicle Occupancy'!Q101)*IF($C$2,(1-$I23),1)</f>
        <v>640.06989574189924</v>
      </c>
      <c r="R107" s="57">
        <f>(R65/'Household Vehicle Occupancy'!R101)*IF($C$2,(1-$I23),1)</f>
        <v>750.75797268161273</v>
      </c>
    </row>
    <row r="108" spans="3:18" ht="17" thickBot="1" x14ac:dyDescent="0.25">
      <c r="C108" s="25" t="s">
        <v>13</v>
      </c>
      <c r="D108" s="91">
        <v>0</v>
      </c>
      <c r="E108" s="92">
        <v>0</v>
      </c>
      <c r="F108" s="92">
        <v>0</v>
      </c>
      <c r="G108" s="92">
        <v>0</v>
      </c>
      <c r="H108" s="92">
        <v>0</v>
      </c>
      <c r="I108" s="92">
        <v>0</v>
      </c>
      <c r="J108" s="92">
        <f>(J66/'Household Vehicle Occupancy'!J102)*IF($C$2,(1-$I24),1)</f>
        <v>0</v>
      </c>
      <c r="K108" s="92">
        <f>(K66/'Household Vehicle Occupancy'!K102)*IF($C$2,(1-$I24),1)</f>
        <v>0</v>
      </c>
      <c r="L108" s="92">
        <f>(L66/'Household Vehicle Occupancy'!L102)*IF($C$2,(1-$I24),1)</f>
        <v>46.663862799312518</v>
      </c>
      <c r="M108" s="92">
        <f>(M66/'Household Vehicle Occupancy'!M102)*IF($C$2,(1-$I24),1)</f>
        <v>93.592499685529603</v>
      </c>
      <c r="N108" s="92">
        <f>(N66/'Household Vehicle Occupancy'!N102)*IF($C$2,(1-$I24),1)</f>
        <v>139.45743715421128</v>
      </c>
      <c r="O108" s="92">
        <f>(O66/'Household Vehicle Occupancy'!O102)*IF($C$2,(1-$I24),1)</f>
        <v>184.04498802022195</v>
      </c>
      <c r="P108" s="59">
        <f>(P66/'Household Vehicle Occupancy'!P102)*IF($C$2,(1-$I24),1)</f>
        <v>227.14486594504558</v>
      </c>
      <c r="Q108" s="59">
        <f>(Q66/'Household Vehicle Occupancy'!Q102)*IF($C$2,(1-$I24),1)</f>
        <v>268.26985659480243</v>
      </c>
      <c r="R108" s="60">
        <f>(R66/'Household Vehicle Occupancy'!R102)*IF($C$2,(1-$I24),1)</f>
        <v>307.37977364244512</v>
      </c>
    </row>
    <row r="109" spans="3:18" ht="19" thickTop="1" thickBot="1" x14ac:dyDescent="0.25">
      <c r="C109" s="31" t="s">
        <v>24</v>
      </c>
      <c r="D109" s="93">
        <f>SUM(D95:D108)</f>
        <v>0</v>
      </c>
      <c r="E109" s="94">
        <f t="shared" ref="E109:O109" si="70">SUM(E95:E108)</f>
        <v>0</v>
      </c>
      <c r="F109" s="94">
        <f t="shared" si="70"/>
        <v>0</v>
      </c>
      <c r="G109" s="94">
        <f t="shared" si="70"/>
        <v>0</v>
      </c>
      <c r="H109" s="94">
        <f t="shared" si="70"/>
        <v>0</v>
      </c>
      <c r="I109" s="94">
        <f t="shared" si="70"/>
        <v>0</v>
      </c>
      <c r="J109" s="94">
        <f t="shared" ref="J109" si="71">SUM(J95:J108)</f>
        <v>0</v>
      </c>
      <c r="K109" s="94">
        <f t="shared" si="70"/>
        <v>0</v>
      </c>
      <c r="L109" s="94">
        <f t="shared" si="70"/>
        <v>1851.6784680821777</v>
      </c>
      <c r="M109" s="94">
        <f t="shared" si="70"/>
        <v>3839.6144231362096</v>
      </c>
      <c r="N109" s="94">
        <f t="shared" si="70"/>
        <v>5911.8992468405377</v>
      </c>
      <c r="O109" s="94">
        <f t="shared" si="70"/>
        <v>8058.9192608506537</v>
      </c>
      <c r="P109" s="94">
        <f t="shared" ref="P109:R109" si="72">SUM(P95:P108)</f>
        <v>10278.221714741141</v>
      </c>
      <c r="Q109" s="94">
        <f t="shared" si="72"/>
        <v>12547.054860710115</v>
      </c>
      <c r="R109" s="95">
        <f t="shared" si="72"/>
        <v>14861.567846907041</v>
      </c>
    </row>
    <row r="110" spans="3:18" ht="17" thickTop="1" x14ac:dyDescent="0.2">
      <c r="C110" s="154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</row>
    <row r="111" spans="3:18" ht="16" x14ac:dyDescent="0.2">
      <c r="C111" s="128"/>
      <c r="D111" s="167"/>
    </row>
    <row r="112" spans="3:18" ht="17" thickBot="1" x14ac:dyDescent="0.25">
      <c r="C112" s="170"/>
      <c r="D112" s="171"/>
    </row>
    <row r="113" spans="3:18" ht="17" thickTop="1" x14ac:dyDescent="0.2">
      <c r="C113" s="32" t="s">
        <v>149</v>
      </c>
      <c r="D113" s="33"/>
      <c r="E113" s="33"/>
      <c r="F113" s="33"/>
      <c r="G113" s="33"/>
      <c r="H113" s="33"/>
      <c r="I113" s="33"/>
      <c r="J113" s="33"/>
      <c r="K113" s="34"/>
      <c r="L113" s="34"/>
      <c r="M113" s="34"/>
      <c r="N113" s="34"/>
      <c r="O113" s="34"/>
      <c r="P113" s="34"/>
      <c r="Q113" s="34"/>
      <c r="R113" s="35"/>
    </row>
    <row r="114" spans="3:18" ht="14" thickBot="1" x14ac:dyDescent="0.2">
      <c r="C114" s="36"/>
      <c r="D114" s="37" t="s">
        <v>25</v>
      </c>
      <c r="E114" s="37" t="s">
        <v>37</v>
      </c>
      <c r="F114" s="37" t="s">
        <v>38</v>
      </c>
      <c r="G114" s="37" t="s">
        <v>177</v>
      </c>
      <c r="H114" s="37" t="s">
        <v>178</v>
      </c>
      <c r="I114" s="37" t="s">
        <v>26</v>
      </c>
      <c r="J114" s="37"/>
      <c r="K114" s="37" t="s">
        <v>27</v>
      </c>
      <c r="L114" s="37" t="s">
        <v>28</v>
      </c>
      <c r="M114" s="37" t="s">
        <v>29</v>
      </c>
      <c r="N114" s="37" t="s">
        <v>30</v>
      </c>
      <c r="O114" s="37" t="s">
        <v>31</v>
      </c>
      <c r="P114" s="37" t="s">
        <v>174</v>
      </c>
      <c r="Q114" s="37" t="s">
        <v>175</v>
      </c>
      <c r="R114" s="38" t="s">
        <v>176</v>
      </c>
    </row>
    <row r="115" spans="3:18" ht="15" thickTop="1" thickBot="1" x14ac:dyDescent="0.2">
      <c r="C115" s="18"/>
      <c r="D115" s="65" t="s">
        <v>39</v>
      </c>
      <c r="E115" s="65" t="s">
        <v>39</v>
      </c>
      <c r="F115" s="71" t="s">
        <v>39</v>
      </c>
      <c r="G115" s="65" t="s">
        <v>39</v>
      </c>
      <c r="H115" s="71" t="s">
        <v>39</v>
      </c>
      <c r="I115" s="65" t="s">
        <v>39</v>
      </c>
      <c r="J115" s="65"/>
      <c r="K115" s="65" t="s">
        <v>32</v>
      </c>
      <c r="L115" s="65" t="s">
        <v>32</v>
      </c>
      <c r="M115" s="65" t="s">
        <v>32</v>
      </c>
      <c r="N115" s="65" t="s">
        <v>32</v>
      </c>
      <c r="O115" s="65" t="s">
        <v>32</v>
      </c>
      <c r="P115" s="65" t="s">
        <v>32</v>
      </c>
      <c r="Q115" s="65" t="s">
        <v>32</v>
      </c>
      <c r="R115" s="66" t="s">
        <v>32</v>
      </c>
    </row>
    <row r="116" spans="3:18" ht="17" thickTop="1" x14ac:dyDescent="0.2">
      <c r="C116" s="27" t="s">
        <v>0</v>
      </c>
      <c r="D116" s="86"/>
      <c r="E116" s="87"/>
      <c r="G116" s="87"/>
      <c r="J116" s="87">
        <v>1</v>
      </c>
      <c r="K116" s="87">
        <f>$J116*(K74/$I74)*('Household Vehicle Occupancy'!$I89/'Household Vehicle Occupancy'!K89)</f>
        <v>1.1192703469774077</v>
      </c>
      <c r="L116" s="87">
        <f>$J116*(L74/$I74)*('Household Vehicle Occupancy'!$I89/'Household Vehicle Occupancy'!L89)</f>
        <v>1.225132280008437</v>
      </c>
      <c r="M116" s="87">
        <f>$J116*(M74/$I74)*('Household Vehicle Occupancy'!$I89/'Household Vehicle Occupancy'!M89)</f>
        <v>1.3179390560495716</v>
      </c>
      <c r="N116" s="87">
        <f>$J116*(N74/$I74)*('Household Vehicle Occupancy'!$I89/'Household Vehicle Occupancy'!N89)</f>
        <v>1.389232819678375</v>
      </c>
      <c r="O116" s="87">
        <f>$J116*(O74/$I74)*('Household Vehicle Occupancy'!$I89/'Household Vehicle Occupancy'!O89)</f>
        <v>1.4563974330517102</v>
      </c>
      <c r="P116" s="87">
        <f>$J116*(P74/$I74)*('Household Vehicle Occupancy'!$I89/'Household Vehicle Occupancy'!P89)</f>
        <v>1.4597006382982278</v>
      </c>
      <c r="Q116" s="87">
        <f>$J116*(Q74/$I74)*('Household Vehicle Occupancy'!$I89/'Household Vehicle Occupancy'!Q89)</f>
        <v>1.458343168120273</v>
      </c>
      <c r="R116" s="88">
        <f>$J116*(R74/$I74)*('Household Vehicle Occupancy'!$I89/'Household Vehicle Occupancy'!R89)</f>
        <v>1.4538468642410995</v>
      </c>
    </row>
    <row r="117" spans="3:18" ht="16" x14ac:dyDescent="0.2">
      <c r="C117" s="24" t="s">
        <v>1</v>
      </c>
      <c r="D117" s="89"/>
      <c r="E117" s="90"/>
      <c r="G117" s="90"/>
      <c r="J117" s="90">
        <v>1</v>
      </c>
      <c r="K117" s="90">
        <f>$J117*(K75/$I75)*('Household Vehicle Occupancy'!$I90/'Household Vehicle Occupancy'!K90)</f>
        <v>1.1793360862865594</v>
      </c>
      <c r="L117" s="90">
        <f>$J117*(L75/$I75)*('Household Vehicle Occupancy'!$I90/'Household Vehicle Occupancy'!L90)</f>
        <v>1.3468017690018379</v>
      </c>
      <c r="M117" s="90">
        <f>$J117*(M75/$I75)*('Household Vehicle Occupancy'!$I90/'Household Vehicle Occupancy'!M90)</f>
        <v>1.5076252086157043</v>
      </c>
      <c r="N117" s="90">
        <f>$J117*(N75/$I75)*('Household Vehicle Occupancy'!$I90/'Household Vehicle Occupancy'!N90)</f>
        <v>1.651860999514595</v>
      </c>
      <c r="O117" s="90">
        <f>$J117*(O75/$I75)*('Household Vehicle Occupancy'!$I90/'Household Vehicle Occupancy'!O90)</f>
        <v>1.7993652651196832</v>
      </c>
      <c r="P117" s="56">
        <f>$J117*(P75/$I75)*('Household Vehicle Occupancy'!$I90/'Household Vehicle Occupancy'!P90)</f>
        <v>1.8745165571433839</v>
      </c>
      <c r="Q117" s="56">
        <f>$J117*(Q75/$I75)*('Household Vehicle Occupancy'!$I90/'Household Vehicle Occupancy'!Q90)</f>
        <v>1.946703156115813</v>
      </c>
      <c r="R117" s="57">
        <f>$J117*(R75/$I75)*('Household Vehicle Occupancy'!$I90/'Household Vehicle Occupancy'!R90)</f>
        <v>2.0175976107428588</v>
      </c>
    </row>
    <row r="118" spans="3:18" ht="16" x14ac:dyDescent="0.2">
      <c r="C118" s="24" t="s">
        <v>2</v>
      </c>
      <c r="D118" s="89"/>
      <c r="E118" s="90"/>
      <c r="G118" s="90"/>
      <c r="J118" s="90">
        <v>1</v>
      </c>
      <c r="K118" s="90">
        <f>$J118*(K76/$I76)*('Household Vehicle Occupancy'!$I91/'Household Vehicle Occupancy'!K91)</f>
        <v>1.1344753795254205</v>
      </c>
      <c r="L118" s="90">
        <f>$J118*(L76/$I76)*('Household Vehicle Occupancy'!$I91/'Household Vehicle Occupancy'!L91)</f>
        <v>1.2575931180624094</v>
      </c>
      <c r="M118" s="90">
        <f>$J118*(M76/$I76)*('Household Vehicle Occupancy'!$I91/'Household Vehicle Occupancy'!M91)</f>
        <v>1.3717523399253635</v>
      </c>
      <c r="N118" s="90">
        <f>$J118*(N76/$I76)*('Household Vehicle Occupancy'!$I91/'Household Vehicle Occupancy'!N91)</f>
        <v>1.4673523386482381</v>
      </c>
      <c r="O118" s="90">
        <f>$J118*(O76/$I76)*('Household Vehicle Occupancy'!$I91/'Household Vehicle Occupancy'!O91)</f>
        <v>1.5626589203843404</v>
      </c>
      <c r="P118" s="56">
        <f>$J118*(P76/$I76)*('Household Vehicle Occupancy'!$I91/'Household Vehicle Occupancy'!P91)</f>
        <v>1.5920695017553061</v>
      </c>
      <c r="Q118" s="56">
        <f>$J118*(Q76/$I76)*('Household Vehicle Occupancy'!$I91/'Household Vehicle Occupancy'!Q91)</f>
        <v>1.6168583653099895</v>
      </c>
      <c r="R118" s="57">
        <f>$J118*(R76/$I76)*('Household Vehicle Occupancy'!$I91/'Household Vehicle Occupancy'!R91)</f>
        <v>1.6384945692748292</v>
      </c>
    </row>
    <row r="119" spans="3:18" ht="16" x14ac:dyDescent="0.2">
      <c r="C119" s="24" t="s">
        <v>3</v>
      </c>
      <c r="D119" s="89"/>
      <c r="E119" s="90"/>
      <c r="G119" s="90"/>
      <c r="J119" s="90">
        <v>1</v>
      </c>
      <c r="K119" s="90">
        <f>$J119*(K77/$I77)*('Household Vehicle Occupancy'!$I92/'Household Vehicle Occupancy'!K92)</f>
        <v>1.1285008965970813</v>
      </c>
      <c r="L119" s="90">
        <f>$J119*(L77/$I77)*('Household Vehicle Occupancy'!$I92/'Household Vehicle Occupancy'!L92)</f>
        <v>1.2437693929349656</v>
      </c>
      <c r="M119" s="90">
        <f>$J119*(M77/$I77)*('Household Vehicle Occupancy'!$I92/'Household Vehicle Occupancy'!M92)</f>
        <v>1.3493595187479637</v>
      </c>
      <c r="N119" s="90">
        <f>$J119*(N77/$I77)*('Household Vehicle Occupancy'!$I92/'Household Vehicle Occupancy'!N92)</f>
        <v>1.4346513895625022</v>
      </c>
      <c r="O119" s="90">
        <f>$J119*(O77/$I77)*('Household Vehicle Occupancy'!$I92/'Household Vehicle Occupancy'!O92)</f>
        <v>1.5187175852552781</v>
      </c>
      <c r="P119" s="56">
        <f>$J119*(P77/$I77)*('Household Vehicle Occupancy'!$I92/'Household Vehicle Occupancy'!P92)</f>
        <v>1.5367386770078089</v>
      </c>
      <c r="Q119" s="56">
        <f>$J119*(Q77/$I77)*('Household Vehicle Occupancy'!$I92/'Household Vehicle Occupancy'!Q92)</f>
        <v>1.5500119155420673</v>
      </c>
      <c r="R119" s="57">
        <f>$J119*(R77/$I77)*('Household Vehicle Occupancy'!$I92/'Household Vehicle Occupancy'!R92)</f>
        <v>1.5600302837772735</v>
      </c>
    </row>
    <row r="120" spans="3:18" ht="16" x14ac:dyDescent="0.2">
      <c r="C120" s="24" t="s">
        <v>4</v>
      </c>
      <c r="D120" s="89"/>
      <c r="E120" s="90"/>
      <c r="G120" s="90"/>
      <c r="J120" s="90">
        <v>1</v>
      </c>
      <c r="K120" s="90">
        <f>$J120*(K78/$I78)*('Household Vehicle Occupancy'!$I93/'Household Vehicle Occupancy'!K93)</f>
        <v>1.095837879570065</v>
      </c>
      <c r="L120" s="90">
        <f>$J120*(L78/$I78)*('Household Vehicle Occupancy'!$I93/'Household Vehicle Occupancy'!L93)</f>
        <v>1.1803017005237639</v>
      </c>
      <c r="M120" s="90">
        <f>$J120*(M78/$I78)*('Household Vehicle Occupancy'!$I93/'Household Vehicle Occupancy'!M93)</f>
        <v>1.2518909512916321</v>
      </c>
      <c r="N120" s="90">
        <f>$J120*(N78/$I78)*('Household Vehicle Occupancy'!$I93/'Household Vehicle Occupancy'!N93)</f>
        <v>1.2997596279184451</v>
      </c>
      <c r="O120" s="90">
        <f>$J120*(O78/$I78)*('Household Vehicle Occupancy'!$I93/'Household Vehicle Occupancy'!O93)</f>
        <v>1.3438001349090558</v>
      </c>
      <c r="P120" s="56">
        <f>$J120*(P78/$I78)*('Household Vehicle Occupancy'!$I93/'Household Vehicle Occupancy'!P93)</f>
        <v>1.3278764679121799</v>
      </c>
      <c r="Q120" s="56">
        <f>$J120*(Q78/$I78)*('Household Vehicle Occupancy'!$I93/'Household Vehicle Occupancy'!Q93)</f>
        <v>1.3079546058884648</v>
      </c>
      <c r="R120" s="57">
        <f>$J120*(R78/$I78)*('Household Vehicle Occupancy'!$I93/'Household Vehicle Occupancy'!R93)</f>
        <v>1.2855549226403771</v>
      </c>
    </row>
    <row r="121" spans="3:18" ht="16" x14ac:dyDescent="0.2">
      <c r="C121" s="24" t="s">
        <v>5</v>
      </c>
      <c r="D121" s="89"/>
      <c r="E121" s="90"/>
      <c r="G121" s="90"/>
      <c r="J121" s="90">
        <v>1</v>
      </c>
      <c r="K121" s="90">
        <f>$J121*(K79/$I79)*('Household Vehicle Occupancy'!$I94/'Household Vehicle Occupancy'!K94)</f>
        <v>1.0964355815646729</v>
      </c>
      <c r="L121" s="90">
        <f>$J121*(L79/$I79)*('Household Vehicle Occupancy'!$I94/'Household Vehicle Occupancy'!L94)</f>
        <v>1.1835176713740991</v>
      </c>
      <c r="M121" s="90">
        <f>$J121*(M79/$I79)*('Household Vehicle Occupancy'!$I94/'Household Vehicle Occupancy'!M94)</f>
        <v>1.2565469191433156</v>
      </c>
      <c r="N121" s="90">
        <f>$J121*(N79/$I79)*('Household Vehicle Occupancy'!$I94/'Household Vehicle Occupancy'!N94)</f>
        <v>1.3081189607808679</v>
      </c>
      <c r="O121" s="90">
        <f>$J121*(O79/$I79)*('Household Vehicle Occupancy'!$I94/'Household Vehicle Occupancy'!O94)</f>
        <v>1.3551345586391113</v>
      </c>
      <c r="P121" s="56">
        <f>$J121*(P79/$I79)*('Household Vehicle Occupancy'!$I94/'Household Vehicle Occupancy'!P94)</f>
        <v>1.3424722808044993</v>
      </c>
      <c r="Q121" s="56">
        <f>$J121*(Q79/$I79)*('Household Vehicle Occupancy'!$I94/'Household Vehicle Occupancy'!Q94)</f>
        <v>1.3256848905982235</v>
      </c>
      <c r="R121" s="57">
        <f>$J121*(R79/$I79)*('Household Vehicle Occupancy'!$I94/'Household Vehicle Occupancy'!R94)</f>
        <v>1.3062861205427203</v>
      </c>
    </row>
    <row r="122" spans="3:18" ht="16" x14ac:dyDescent="0.2">
      <c r="C122" s="24" t="s">
        <v>6</v>
      </c>
      <c r="D122" s="89"/>
      <c r="E122" s="90"/>
      <c r="G122" s="90"/>
      <c r="J122" s="90">
        <v>1</v>
      </c>
      <c r="K122" s="90">
        <f>$J122*(K80/$I80)*('Household Vehicle Occupancy'!$I95/'Household Vehicle Occupancy'!K95)</f>
        <v>1.1064052917618492</v>
      </c>
      <c r="L122" s="90">
        <f>$J122*(L80/$I80)*('Household Vehicle Occupancy'!$I95/'Household Vehicle Occupancy'!L95)</f>
        <v>1.2061009026815515</v>
      </c>
      <c r="M122" s="90">
        <f>$J122*(M80/$I80)*('Household Vehicle Occupancy'!$I95/'Household Vehicle Occupancy'!M95)</f>
        <v>1.294788910183944</v>
      </c>
      <c r="N122" s="90">
        <f>$J122*(N80/$I80)*('Household Vehicle Occupancy'!$I95/'Household Vehicle Occupancy'!N95)</f>
        <v>1.3647881547453693</v>
      </c>
      <c r="O122" s="90">
        <f>$J122*(O80/$I80)*('Household Vehicle Occupancy'!$I95/'Household Vehicle Occupancy'!O95)</f>
        <v>1.4336450928773956</v>
      </c>
      <c r="P122" s="56">
        <f>$J122*(P80/$I80)*('Household Vehicle Occupancy'!$I95/'Household Vehicle Occupancy'!P95)</f>
        <v>1.4394914854857446</v>
      </c>
      <c r="Q122" s="56">
        <f>$J122*(Q80/$I80)*('Household Vehicle Occupancy'!$I95/'Household Vehicle Occupancy'!Q95)</f>
        <v>1.440749782342998</v>
      </c>
      <c r="R122" s="57">
        <f>$J122*(R80/$I80)*('Household Vehicle Occupancy'!$I95/'Household Vehicle Occupancy'!R95)</f>
        <v>1.4389012900144484</v>
      </c>
    </row>
    <row r="123" spans="3:18" ht="16" x14ac:dyDescent="0.2">
      <c r="C123" s="24" t="s">
        <v>7</v>
      </c>
      <c r="D123" s="89"/>
      <c r="E123" s="90"/>
      <c r="G123" s="90"/>
      <c r="J123" s="90">
        <v>1</v>
      </c>
      <c r="K123" s="90">
        <f>$J123*(K81/$I81)*('Household Vehicle Occupancy'!$I96/'Household Vehicle Occupancy'!K96)</f>
        <v>1.0919948796781618</v>
      </c>
      <c r="L123" s="90">
        <f>$J123*(L81/$I81)*('Household Vehicle Occupancy'!$I96/'Household Vehicle Occupancy'!L96)</f>
        <v>1.1744231182475962</v>
      </c>
      <c r="M123" s="90">
        <f>$J123*(M81/$I81)*('Household Vehicle Occupancy'!$I96/'Household Vehicle Occupancy'!M96)</f>
        <v>1.2435564044558494</v>
      </c>
      <c r="N123" s="90">
        <f>$J123*(N81/$I81)*('Household Vehicle Occupancy'!$I96/'Household Vehicle Occupancy'!N96)</f>
        <v>1.2919296751192979</v>
      </c>
      <c r="O123" s="90">
        <f>$J123*(O81/$I81)*('Household Vehicle Occupancy'!$I96/'Household Vehicle Occupancy'!O96)</f>
        <v>1.3358735581034371</v>
      </c>
      <c r="P123" s="56">
        <f>$J123*(P81/$I81)*('Household Vehicle Occupancy'!$I96/'Household Vehicle Occupancy'!P96)</f>
        <v>1.3216989424788708</v>
      </c>
      <c r="Q123" s="56">
        <f>$J123*(Q81/$I81)*('Household Vehicle Occupancy'!$I96/'Household Vehicle Occupancy'!Q96)</f>
        <v>1.3035025383945638</v>
      </c>
      <c r="R123" s="57">
        <f>$J123*(R81/$I81)*('Household Vehicle Occupancy'!$I96/'Household Vehicle Occupancy'!R96)</f>
        <v>1.2827862978910485</v>
      </c>
    </row>
    <row r="124" spans="3:18" ht="16" x14ac:dyDescent="0.2">
      <c r="C124" s="24" t="s">
        <v>8</v>
      </c>
      <c r="D124" s="89"/>
      <c r="E124" s="90"/>
      <c r="G124" s="90"/>
      <c r="J124" s="90">
        <v>1</v>
      </c>
      <c r="K124" s="90">
        <f>$J124*(K82/$I82)*('Household Vehicle Occupancy'!$I97/'Household Vehicle Occupancy'!K97)</f>
        <v>1.1116718208763487</v>
      </c>
      <c r="L124" s="90">
        <f>$J124*(L82/$I82)*('Household Vehicle Occupancy'!$I97/'Household Vehicle Occupancy'!L97)</f>
        <v>1.2134203297799413</v>
      </c>
      <c r="M124" s="90">
        <f>$J124*(M82/$I82)*('Household Vehicle Occupancy'!$I97/'Household Vehicle Occupancy'!M97)</f>
        <v>1.305165972370304</v>
      </c>
      <c r="N124" s="90">
        <f>$J124*(N82/$I82)*('Household Vehicle Occupancy'!$I97/'Household Vehicle Occupancy'!N97)</f>
        <v>1.3776756198405713</v>
      </c>
      <c r="O124" s="90">
        <f>$J124*(O82/$I82)*('Household Vehicle Occupancy'!$I97/'Household Vehicle Occupancy'!O97)</f>
        <v>1.4473359332511757</v>
      </c>
      <c r="P124" s="56">
        <f>$J124*(P82/$I82)*('Household Vehicle Occupancy'!$I97/'Household Vehicle Occupancy'!P97)</f>
        <v>1.4542168446361192</v>
      </c>
      <c r="Q124" s="56">
        <f>$J124*(Q82/$I82)*('Household Vehicle Occupancy'!$I97/'Household Vehicle Occupancy'!Q97)</f>
        <v>1.4565801065582982</v>
      </c>
      <c r="R124" s="57">
        <f>$J124*(R82/$I82)*('Household Vehicle Occupancy'!$I97/'Household Vehicle Occupancy'!R97)</f>
        <v>1.4559052704643909</v>
      </c>
    </row>
    <row r="125" spans="3:18" ht="16" x14ac:dyDescent="0.2">
      <c r="C125" s="24" t="s">
        <v>9</v>
      </c>
      <c r="D125" s="89"/>
      <c r="E125" s="90"/>
      <c r="G125" s="90"/>
      <c r="J125" s="90">
        <v>1</v>
      </c>
      <c r="K125" s="90">
        <f>$J125*(K83/$I83)*('Household Vehicle Occupancy'!$I98/'Household Vehicle Occupancy'!K98)</f>
        <v>1.1063801297706293</v>
      </c>
      <c r="L125" s="90">
        <f>$J125*(L83/$I83)*('Household Vehicle Occupancy'!$I98/'Household Vehicle Occupancy'!L98)</f>
        <v>1.2021634989485948</v>
      </c>
      <c r="M125" s="90">
        <f>$J125*(M83/$I83)*('Household Vehicle Occupancy'!$I98/'Household Vehicle Occupancy'!M98)</f>
        <v>1.2853373788503251</v>
      </c>
      <c r="N125" s="90">
        <f>$J125*(N83/$I83)*('Household Vehicle Occupancy'!$I98/'Household Vehicle Occupancy'!N98)</f>
        <v>1.3469288527807253</v>
      </c>
      <c r="O125" s="90">
        <f>$J125*(O83/$I83)*('Household Vehicle Occupancy'!$I98/'Household Vehicle Occupancy'!O98)</f>
        <v>1.4022885044756233</v>
      </c>
      <c r="P125" s="56">
        <f>$J125*(P83/$I83)*('Household Vehicle Occupancy'!$I98/'Household Vehicle Occupancy'!P98)</f>
        <v>1.3967852669327874</v>
      </c>
      <c r="Q125" s="56">
        <f>$J125*(Q83/$I83)*('Household Vehicle Occupancy'!$I98/'Household Vehicle Occupancy'!Q98)</f>
        <v>1.3869300295078619</v>
      </c>
      <c r="R125" s="57">
        <f>$J125*(R83/$I83)*('Household Vehicle Occupancy'!$I98/'Household Vehicle Occupancy'!R98)</f>
        <v>1.3742415000219208</v>
      </c>
    </row>
    <row r="126" spans="3:18" ht="16" x14ac:dyDescent="0.2">
      <c r="C126" s="24" t="s">
        <v>10</v>
      </c>
      <c r="D126" s="89"/>
      <c r="E126" s="90"/>
      <c r="G126" s="90"/>
      <c r="J126" s="90">
        <v>1</v>
      </c>
      <c r="K126" s="90">
        <f>$J126*(K84/$I84)*('Household Vehicle Occupancy'!$I99/'Household Vehicle Occupancy'!K99)</f>
        <v>1.0757465249437161</v>
      </c>
      <c r="L126" s="90">
        <f>$J126*(L84/$I84)*('Household Vehicle Occupancy'!$I99/'Household Vehicle Occupancy'!L99)</f>
        <v>1.1376342762950291</v>
      </c>
      <c r="M126" s="90">
        <f>$J126*(M84/$I84)*('Household Vehicle Occupancy'!$I99/'Household Vehicle Occupancy'!M99)</f>
        <v>1.1844925593217099</v>
      </c>
      <c r="N126" s="90">
        <f>$J126*(N84/$I84)*('Household Vehicle Occupancy'!$I99/'Household Vehicle Occupancy'!N99)</f>
        <v>1.2089901527117943</v>
      </c>
      <c r="O126" s="90">
        <f>$J126*(O84/$I84)*('Household Vehicle Occupancy'!$I99/'Household Vehicle Occupancy'!O99)</f>
        <v>1.229273502863895</v>
      </c>
      <c r="P126" s="56">
        <f>$J126*(P84/$I84)*('Household Vehicle Occupancy'!$I99/'Household Vehicle Occupancy'!P99)</f>
        <v>1.1946870367887252</v>
      </c>
      <c r="Q126" s="56">
        <f>$J126*(Q84/$I84)*('Household Vehicle Occupancy'!$I99/'Household Vehicle Occupancy'!Q99)</f>
        <v>1.1573688604130232</v>
      </c>
      <c r="R126" s="57">
        <f>$J126*(R84/$I84)*('Household Vehicle Occupancy'!$I99/'Household Vehicle Occupancy'!R99)</f>
        <v>1.1187998758562809</v>
      </c>
    </row>
    <row r="127" spans="3:18" ht="16" x14ac:dyDescent="0.2">
      <c r="C127" s="24" t="s">
        <v>11</v>
      </c>
      <c r="D127" s="89"/>
      <c r="E127" s="90"/>
      <c r="G127" s="90"/>
      <c r="J127" s="90">
        <v>1</v>
      </c>
      <c r="K127" s="90">
        <f>$J127*(K85/$I85)*('Household Vehicle Occupancy'!$I100/'Household Vehicle Occupancy'!K100)</f>
        <v>1.1448035370812948</v>
      </c>
      <c r="L127" s="90">
        <f>$J127*(L85/$I85)*('Household Vehicle Occupancy'!$I100/'Household Vehicle Occupancy'!L100)</f>
        <v>1.272243842116535</v>
      </c>
      <c r="M127" s="90">
        <f>$J127*(M85/$I85)*('Household Vehicle Occupancy'!$I100/'Household Vehicle Occupancy'!M100)</f>
        <v>1.3928049111162604</v>
      </c>
      <c r="N127" s="90">
        <f>$J127*(N85/$I85)*('Household Vehicle Occupancy'!$I100/'Household Vehicle Occupancy'!N100)</f>
        <v>1.4961943864780896</v>
      </c>
      <c r="O127" s="90">
        <f>$J127*(O85/$I85)*('Household Vehicle Occupancy'!$I100/'Household Vehicle Occupancy'!O100)</f>
        <v>1.5997363334881762</v>
      </c>
      <c r="P127" s="56">
        <f>$J127*(P85/$I85)*('Household Vehicle Occupancy'!$I100/'Household Vehicle Occupancy'!P100)</f>
        <v>1.6362507372757171</v>
      </c>
      <c r="Q127" s="56">
        <f>$J127*(Q85/$I85)*('Household Vehicle Occupancy'!$I100/'Household Vehicle Occupancy'!Q100)</f>
        <v>1.6682587872095787</v>
      </c>
      <c r="R127" s="57">
        <f>$J127*(R85/$I85)*('Household Vehicle Occupancy'!$I100/'Household Vehicle Occupancy'!R100)</f>
        <v>1.6972274735107094</v>
      </c>
    </row>
    <row r="128" spans="3:18" ht="16" x14ac:dyDescent="0.2">
      <c r="C128" s="24" t="s">
        <v>12</v>
      </c>
      <c r="D128" s="89"/>
      <c r="E128" s="90"/>
      <c r="G128" s="90"/>
      <c r="J128" s="90">
        <v>1</v>
      </c>
      <c r="K128" s="90">
        <f>$J128*(K86/$I86)*('Household Vehicle Occupancy'!$I101/'Household Vehicle Occupancy'!K101)</f>
        <v>1.1243721910897368</v>
      </c>
      <c r="L128" s="90">
        <f>$J128*(L86/$I86)*('Household Vehicle Occupancy'!$I101/'Household Vehicle Occupancy'!L101)</f>
        <v>1.2304062698544738</v>
      </c>
      <c r="M128" s="90">
        <f>$J128*(M86/$I86)*('Household Vehicle Occupancy'!$I101/'Household Vehicle Occupancy'!M101)</f>
        <v>1.3271041574442759</v>
      </c>
      <c r="N128" s="90">
        <f>$J128*(N86/$I86)*('Household Vehicle Occupancy'!$I101/'Household Vehicle Occupancy'!N101)</f>
        <v>1.4049988863542606</v>
      </c>
      <c r="O128" s="90">
        <f>$J128*(O86/$I86)*('Household Vehicle Occupancy'!$I101/'Household Vehicle Occupancy'!O101)</f>
        <v>1.4809321330008947</v>
      </c>
      <c r="P128" s="56">
        <f>$J128*(P86/$I86)*('Household Vehicle Occupancy'!$I101/'Household Vehicle Occupancy'!P101)</f>
        <v>1.4919953648653723</v>
      </c>
      <c r="Q128" s="56">
        <f>$J128*(Q86/$I86)*('Household Vehicle Occupancy'!$I101/'Household Vehicle Occupancy'!Q101)</f>
        <v>1.4983449226412404</v>
      </c>
      <c r="R128" s="57">
        <f>$J128*(R86/$I86)*('Household Vehicle Occupancy'!$I101/'Household Vehicle Occupancy'!R101)</f>
        <v>1.5014784373519494</v>
      </c>
    </row>
    <row r="129" spans="3:18" ht="17" thickBot="1" x14ac:dyDescent="0.25">
      <c r="C129" s="25" t="s">
        <v>13</v>
      </c>
      <c r="D129" s="91"/>
      <c r="E129" s="92"/>
      <c r="G129" s="92"/>
      <c r="J129" s="92">
        <v>1</v>
      </c>
      <c r="K129" s="92">
        <f>$J129*(K87/$I87)*('Household Vehicle Occupancy'!$I102/'Household Vehicle Occupancy'!K102)</f>
        <v>1.0842969144428152</v>
      </c>
      <c r="L129" s="92">
        <f>$J129*(L87/$I87)*('Household Vehicle Occupancy'!$I102/'Household Vehicle Occupancy'!L102)</f>
        <v>1.1587797978144303</v>
      </c>
      <c r="M129" s="92">
        <f>$J129*(M87/$I87)*('Household Vehicle Occupancy'!$I102/'Household Vehicle Occupancy'!M102)</f>
        <v>1.2207348653812866</v>
      </c>
      <c r="N129" s="92">
        <f>$J129*(N87/$I87)*('Household Vehicle Occupancy'!$I102/'Household Vehicle Occupancy'!N102)</f>
        <v>1.2616333322406412</v>
      </c>
      <c r="O129" s="92">
        <f>$J129*(O87/$I87)*('Household Vehicle Occupancy'!$I102/'Household Vehicle Occupancy'!O102)</f>
        <v>1.2982858712999108</v>
      </c>
      <c r="P129" s="59">
        <f>$J129*(P87/$I87)*('Household Vehicle Occupancy'!$I102/'Household Vehicle Occupancy'!P102)</f>
        <v>1.2777811721422956</v>
      </c>
      <c r="Q129" s="59">
        <f>$J129*(Q87/$I87)*('Household Vehicle Occupancy'!$I102/'Household Vehicle Occupancy'!Q102)</f>
        <v>1.2535877212931339</v>
      </c>
      <c r="R129" s="60">
        <f>$J129*(R87/$I87)*('Household Vehicle Occupancy'!$I102/'Household Vehicle Occupancy'!R102)</f>
        <v>1.2272018946089074</v>
      </c>
    </row>
    <row r="130" spans="3:18" ht="17" thickTop="1" x14ac:dyDescent="0.2">
      <c r="C130" s="130"/>
      <c r="D130" s="173"/>
      <c r="E130" s="173"/>
      <c r="F130" s="173"/>
      <c r="G130" s="173"/>
      <c r="H130" s="173"/>
      <c r="I130" s="173"/>
      <c r="J130" s="173"/>
      <c r="K130" s="173"/>
      <c r="L130" s="173"/>
      <c r="M130" s="173"/>
      <c r="N130" s="173"/>
      <c r="O130" s="173"/>
      <c r="P130" s="87"/>
      <c r="Q130" s="87"/>
      <c r="R130" s="87"/>
    </row>
    <row r="131" spans="3:18" ht="16" x14ac:dyDescent="0.2">
      <c r="C131" s="128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</row>
    <row r="132" spans="3:18" ht="16" x14ac:dyDescent="0.2">
      <c r="C132" s="128"/>
      <c r="D132" s="167"/>
    </row>
    <row r="133" spans="3:18" ht="17" thickBot="1" x14ac:dyDescent="0.25">
      <c r="C133" s="170"/>
      <c r="D133" s="171"/>
    </row>
    <row r="134" spans="3:18" ht="17" thickTop="1" x14ac:dyDescent="0.2">
      <c r="C134" s="32" t="s">
        <v>150</v>
      </c>
      <c r="D134" s="33"/>
      <c r="E134" s="33"/>
      <c r="F134" s="33"/>
      <c r="G134" s="33"/>
      <c r="H134" s="33"/>
      <c r="I134" s="33"/>
      <c r="J134" s="33"/>
      <c r="K134" s="34"/>
      <c r="L134" s="34"/>
      <c r="M134" s="34"/>
      <c r="N134" s="34"/>
      <c r="O134" s="34"/>
      <c r="P134" s="34"/>
      <c r="Q134" s="34"/>
      <c r="R134" s="35"/>
    </row>
    <row r="135" spans="3:18" ht="14" thickBot="1" x14ac:dyDescent="0.2">
      <c r="C135" s="36"/>
      <c r="D135" s="37" t="s">
        <v>25</v>
      </c>
      <c r="E135" s="37" t="s">
        <v>37</v>
      </c>
      <c r="F135" s="37" t="s">
        <v>38</v>
      </c>
      <c r="G135" s="37" t="s">
        <v>177</v>
      </c>
      <c r="H135" s="37" t="s">
        <v>178</v>
      </c>
      <c r="I135" s="37" t="s">
        <v>26</v>
      </c>
      <c r="J135" s="37"/>
      <c r="K135" s="37" t="s">
        <v>27</v>
      </c>
      <c r="L135" s="37" t="s">
        <v>28</v>
      </c>
      <c r="M135" s="37" t="s">
        <v>29</v>
      </c>
      <c r="N135" s="37" t="s">
        <v>30</v>
      </c>
      <c r="O135" s="37" t="s">
        <v>31</v>
      </c>
      <c r="P135" s="37" t="s">
        <v>174</v>
      </c>
      <c r="Q135" s="37" t="s">
        <v>175</v>
      </c>
      <c r="R135" s="38" t="s">
        <v>176</v>
      </c>
    </row>
    <row r="136" spans="3:18" ht="15" thickTop="1" thickBot="1" x14ac:dyDescent="0.2">
      <c r="C136" s="18"/>
      <c r="D136" s="65" t="s">
        <v>39</v>
      </c>
      <c r="E136" s="65" t="s">
        <v>39</v>
      </c>
      <c r="F136" s="71" t="s">
        <v>39</v>
      </c>
      <c r="G136" s="65" t="s">
        <v>39</v>
      </c>
      <c r="H136" s="71" t="s">
        <v>39</v>
      </c>
      <c r="I136" s="65" t="s">
        <v>39</v>
      </c>
      <c r="J136" s="65"/>
      <c r="K136" s="65" t="s">
        <v>32</v>
      </c>
      <c r="L136" s="65" t="s">
        <v>32</v>
      </c>
      <c r="M136" s="65" t="s">
        <v>32</v>
      </c>
      <c r="N136" s="65" t="s">
        <v>32</v>
      </c>
      <c r="O136" s="65" t="s">
        <v>32</v>
      </c>
      <c r="P136" s="65" t="s">
        <v>32</v>
      </c>
      <c r="Q136" s="65" t="s">
        <v>32</v>
      </c>
      <c r="R136" s="66" t="s">
        <v>32</v>
      </c>
    </row>
    <row r="137" spans="3:18" ht="17" thickTop="1" x14ac:dyDescent="0.2">
      <c r="C137" s="27" t="s">
        <v>0</v>
      </c>
      <c r="D137" s="86"/>
      <c r="E137" s="87"/>
      <c r="G137" s="87"/>
      <c r="J137" s="87">
        <v>1</v>
      </c>
      <c r="K137" s="87">
        <f>$J137*('Heavy Bus Supporting Data'!K$28/'Heavy Bus Supporting Data'!$I$28)*('Household Vehicle Occupancy'!$I89/'Household Vehicle Occupancy'!K89)</f>
        <v>1.2285141940029081</v>
      </c>
      <c r="L137" s="87">
        <f>$J137*('Heavy Bus Supporting Data'!L$28/'Heavy Bus Supporting Data'!$I$28)*('Household Vehicle Occupancy'!$I89/'Household Vehicle Occupancy'!L89)</f>
        <v>1.483648927986035</v>
      </c>
      <c r="M137" s="87">
        <f>$J137*('Heavy Bus Supporting Data'!M$28/'Heavy Bus Supporting Data'!$I$28)*('Household Vehicle Occupancy'!$I89/'Household Vehicle Occupancy'!M89)</f>
        <v>1.730125574835526</v>
      </c>
      <c r="N137" s="87">
        <f>$J137*('Heavy Bus Supporting Data'!N$28/'Heavy Bus Supporting Data'!$I$28)*('Household Vehicle Occupancy'!$I89/'Household Vehicle Occupancy'!N89)</f>
        <v>2.0140258691029498</v>
      </c>
      <c r="O137" s="87">
        <f>$J137*('Heavy Bus Supporting Data'!O$28/'Heavy Bus Supporting Data'!$I$28)*('Household Vehicle Occupancy'!$I89/'Household Vehicle Occupancy'!O89)</f>
        <v>2.3453121143747921</v>
      </c>
      <c r="P137" s="87">
        <f>$J137*('Heavy Bus Supporting Data'!P$28/'Heavy Bus Supporting Data'!$I$28)*('Household Vehicle Occupancy'!$I89/'Household Vehicle Occupancy'!P89)</f>
        <v>2.7177528743994994</v>
      </c>
      <c r="Q137" s="87">
        <f>$J137*('Heavy Bus Supporting Data'!Q$28/'Heavy Bus Supporting Data'!$I$28)*('Household Vehicle Occupancy'!$I89/'Household Vehicle Occupancy'!Q89)</f>
        <v>3.1493329575014024</v>
      </c>
      <c r="R137" s="88">
        <f>$J137*('Heavy Bus Supporting Data'!R$28/'Heavy Bus Supporting Data'!$I$28)*('Household Vehicle Occupancy'!$I89/'Household Vehicle Occupancy'!R89)</f>
        <v>3.6494429939338393</v>
      </c>
    </row>
    <row r="138" spans="3:18" ht="16" x14ac:dyDescent="0.2">
      <c r="C138" s="24" t="s">
        <v>1</v>
      </c>
      <c r="D138" s="89"/>
      <c r="E138" s="90"/>
      <c r="G138" s="90"/>
      <c r="J138" s="90">
        <v>1</v>
      </c>
      <c r="K138" s="90">
        <f>$J138*('Heavy Bus Supporting Data'!K$28/'Heavy Bus Supporting Data'!$I$28)*('Household Vehicle Occupancy'!$I90/'Household Vehicle Occupancy'!K90)</f>
        <v>1.2318555421523032</v>
      </c>
      <c r="L138" s="90">
        <f>$J138*('Heavy Bus Supporting Data'!L$28/'Heavy Bus Supporting Data'!$I$28)*('Household Vehicle Occupancy'!$I90/'Household Vehicle Occupancy'!L90)</f>
        <v>1.4920474989486603</v>
      </c>
      <c r="M138" s="90">
        <f>$J138*('Heavy Bus Supporting Data'!M$28/'Heavy Bus Supporting Data'!$I$28)*('Household Vehicle Occupancy'!$I90/'Household Vehicle Occupancy'!M90)</f>
        <v>1.7413117328666183</v>
      </c>
      <c r="N138" s="90">
        <f>$J138*('Heavy Bus Supporting Data'!N$28/'Heavy Bus Supporting Data'!$I$28)*('Household Vehicle Occupancy'!$I90/'Household Vehicle Occupancy'!N90)</f>
        <v>2.0291023193159647</v>
      </c>
      <c r="O138" s="90">
        <f>$J138*('Heavy Bus Supporting Data'!O$28/'Heavy Bus Supporting Data'!$I$28)*('Household Vehicle Occupancy'!$I90/'Household Vehicle Occupancy'!O90)</f>
        <v>2.3651647684807973</v>
      </c>
      <c r="P138" s="56">
        <f>$J138*('Heavy Bus Supporting Data'!P$28/'Heavy Bus Supporting Data'!$I$28)*('Household Vehicle Occupancy'!$I90/'Household Vehicle Occupancy'!P90)</f>
        <v>2.7443383949013116</v>
      </c>
      <c r="Q138" s="56">
        <f>$J138*('Heavy Bus Supporting Data'!Q$28/'Heavy Bus Supporting Data'!$I$28)*('Household Vehicle Occupancy'!$I90/'Household Vehicle Occupancy'!Q90)</f>
        <v>3.1845031537409003</v>
      </c>
      <c r="R138" s="57">
        <f>$J138*('Heavy Bus Supporting Data'!R$28/'Heavy Bus Supporting Data'!$I$28)*('Household Vehicle Occupancy'!$I90/'Household Vehicle Occupancy'!R90)</f>
        <v>3.6957830333565349</v>
      </c>
    </row>
    <row r="139" spans="3:18" ht="16" x14ac:dyDescent="0.2">
      <c r="C139" s="24" t="s">
        <v>2</v>
      </c>
      <c r="D139" s="89"/>
      <c r="E139" s="90"/>
      <c r="G139" s="90"/>
      <c r="J139" s="90">
        <v>1</v>
      </c>
      <c r="K139" s="90">
        <f>$J139*('Heavy Bus Supporting Data'!K$28/'Heavy Bus Supporting Data'!$I$28)*('Household Vehicle Occupancy'!$I91/'Household Vehicle Occupancy'!K91)</f>
        <v>1.2270409081259137</v>
      </c>
      <c r="L139" s="90">
        <f>$J139*('Heavy Bus Supporting Data'!L$28/'Heavy Bus Supporting Data'!$I$28)*('Household Vehicle Occupancy'!$I91/'Household Vehicle Occupancy'!L91)</f>
        <v>1.4808248746253991</v>
      </c>
      <c r="M139" s="90">
        <f>$J139*('Heavy Bus Supporting Data'!M$28/'Heavy Bus Supporting Data'!$I$28)*('Household Vehicle Occupancy'!$I91/'Household Vehicle Occupancy'!M91)</f>
        <v>1.7254604553805222</v>
      </c>
      <c r="N139" s="90">
        <f>$J139*('Heavy Bus Supporting Data'!N$28/'Heavy Bus Supporting Data'!$I$28)*('Household Vehicle Occupancy'!$I91/'Household Vehicle Occupancy'!N91)</f>
        <v>2.0074675512104001</v>
      </c>
      <c r="O139" s="90">
        <f>$J139*('Heavy Bus Supporting Data'!O$28/'Heavy Bus Supporting Data'!$I$28)*('Household Vehicle Occupancy'!$I91/'Household Vehicle Occupancy'!O91)</f>
        <v>2.3362493322569509</v>
      </c>
      <c r="P139" s="56">
        <f>$J139*('Heavy Bus Supporting Data'!P$28/'Heavy Bus Supporting Data'!$I$28)*('Household Vehicle Occupancy'!$I91/'Household Vehicle Occupancy'!P91)</f>
        <v>2.7074009604755691</v>
      </c>
      <c r="Q139" s="56">
        <f>$J139*('Heavy Bus Supporting Data'!Q$28/'Heavy Bus Supporting Data'!$I$28)*('Household Vehicle Occupancy'!$I91/'Household Vehicle Occupancy'!Q91)</f>
        <v>3.1375116826182028</v>
      </c>
      <c r="R139" s="57">
        <f>$J139*('Heavy Bus Supporting Data'!R$28/'Heavy Bus Supporting Data'!$I$28)*('Household Vehicle Occupancy'!$I91/'Household Vehicle Occupancy'!R91)</f>
        <v>3.6359473893412955</v>
      </c>
    </row>
    <row r="140" spans="3:18" ht="16" x14ac:dyDescent="0.2">
      <c r="C140" s="24" t="s">
        <v>3</v>
      </c>
      <c r="D140" s="89"/>
      <c r="E140" s="90"/>
      <c r="G140" s="90"/>
      <c r="J140" s="90">
        <v>1</v>
      </c>
      <c r="K140" s="90">
        <f>$J140*('Heavy Bus Supporting Data'!K$28/'Heavy Bus Supporting Data'!$I$28)*('Household Vehicle Occupancy'!$I92/'Household Vehicle Occupancy'!K92)</f>
        <v>1.2289545853789263</v>
      </c>
      <c r="L140" s="90">
        <f>$J140*('Heavy Bus Supporting Data'!L$28/'Heavy Bus Supporting Data'!$I$28)*('Household Vehicle Occupancy'!$I92/'Household Vehicle Occupancy'!L92)</f>
        <v>1.4844938616062877</v>
      </c>
      <c r="M140" s="90">
        <f>$J140*('Heavy Bus Supporting Data'!M$28/'Heavy Bus Supporting Data'!$I$28)*('Household Vehicle Occupancy'!$I92/'Household Vehicle Occupancy'!M92)</f>
        <v>1.7315227824895607</v>
      </c>
      <c r="N140" s="90">
        <f>$J140*('Heavy Bus Supporting Data'!N$28/'Heavy Bus Supporting Data'!$I$28)*('Household Vehicle Occupancy'!$I92/'Household Vehicle Occupancy'!N92)</f>
        <v>2.0159915255700325</v>
      </c>
      <c r="O140" s="90">
        <f>$J140*('Heavy Bus Supporting Data'!O$28/'Heavy Bus Supporting Data'!$I$28)*('Household Vehicle Occupancy'!$I92/'Household Vehicle Occupancy'!O92)</f>
        <v>2.3480305627000169</v>
      </c>
      <c r="P140" s="56">
        <f>$J140*('Heavy Bus Supporting Data'!P$28/'Heavy Bus Supporting Data'!$I$28)*('Household Vehicle Occupancy'!$I92/'Household Vehicle Occupancy'!P92)</f>
        <v>2.7208577835939289</v>
      </c>
      <c r="Q140" s="56">
        <f>$J140*('Heavy Bus Supporting Data'!Q$28/'Heavy Bus Supporting Data'!$I$28)*('Household Vehicle Occupancy'!$I92/'Household Vehicle Occupancy'!Q92)</f>
        <v>3.1528783242158296</v>
      </c>
      <c r="R140" s="57">
        <f>$J140*('Heavy Bus Supporting Data'!R$28/'Heavy Bus Supporting Data'!$I$28)*('Household Vehicle Occupancy'!$I92/'Household Vehicle Occupancy'!R92)</f>
        <v>3.6534902221280845</v>
      </c>
    </row>
    <row r="141" spans="3:18" ht="16" x14ac:dyDescent="0.2">
      <c r="C141" s="24" t="s">
        <v>4</v>
      </c>
      <c r="D141" s="89"/>
      <c r="E141" s="90"/>
      <c r="G141" s="90"/>
      <c r="J141" s="90">
        <v>1</v>
      </c>
      <c r="K141" s="90">
        <f>$J141*('Heavy Bus Supporting Data'!K$28/'Heavy Bus Supporting Data'!$I$28)*('Household Vehicle Occupancy'!$I93/'Household Vehicle Occupancy'!K93)</f>
        <v>1.2291627423499227</v>
      </c>
      <c r="L141" s="90">
        <f>$J141*('Heavy Bus Supporting Data'!L$28/'Heavy Bus Supporting Data'!$I$28)*('Household Vehicle Occupancy'!$I93/'Household Vehicle Occupancy'!L93)</f>
        <v>1.484893355046581</v>
      </c>
      <c r="M141" s="90">
        <f>$J141*('Heavy Bus Supporting Data'!M$28/'Heavy Bus Supporting Data'!$I$28)*('Household Vehicle Occupancy'!$I93/'Household Vehicle Occupancy'!M93)</f>
        <v>1.7321836283964238</v>
      </c>
      <c r="N141" s="90">
        <f>$J141*('Heavy Bus Supporting Data'!N$28/'Heavy Bus Supporting Data'!$I$28)*('Household Vehicle Occupancy'!$I93/'Household Vehicle Occupancy'!N93)</f>
        <v>2.0169214646684752</v>
      </c>
      <c r="O141" s="90">
        <f>$J141*('Heavy Bus Supporting Data'!O$28/'Heavy Bus Supporting Data'!$I$28)*('Household Vehicle Occupancy'!$I93/'Household Vehicle Occupancy'!O93)</f>
        <v>2.3493169892631083</v>
      </c>
      <c r="P141" s="56">
        <f>$J141*('Heavy Bus Supporting Data'!P$28/'Heavy Bus Supporting Data'!$I$28)*('Household Vehicle Occupancy'!$I93/'Household Vehicle Occupancy'!P93)</f>
        <v>2.7223270555311312</v>
      </c>
      <c r="Q141" s="56">
        <f>$J141*('Heavy Bus Supporting Data'!Q$28/'Heavy Bus Supporting Data'!$I$28)*('Household Vehicle Occupancy'!$I93/'Household Vehicle Occupancy'!Q93)</f>
        <v>3.1545559835164916</v>
      </c>
      <c r="R141" s="57">
        <f>$J141*('Heavy Bus Supporting Data'!R$28/'Heavy Bus Supporting Data'!$I$28)*('Household Vehicle Occupancy'!$I93/'Household Vehicle Occupancy'!R93)</f>
        <v>3.6554053139038785</v>
      </c>
    </row>
    <row r="142" spans="3:18" ht="16" x14ac:dyDescent="0.2">
      <c r="C142" s="24" t="s">
        <v>5</v>
      </c>
      <c r="D142" s="89"/>
      <c r="E142" s="90"/>
      <c r="G142" s="90"/>
      <c r="J142" s="90">
        <v>1</v>
      </c>
      <c r="K142" s="90">
        <f>$J142*('Heavy Bus Supporting Data'!K$28/'Heavy Bus Supporting Data'!$I$28)*('Household Vehicle Occupancy'!$I94/'Household Vehicle Occupancy'!K94)</f>
        <v>1.2279608979308094</v>
      </c>
      <c r="L142" s="90">
        <f>$J142*('Heavy Bus Supporting Data'!L$28/'Heavy Bus Supporting Data'!$I$28)*('Household Vehicle Occupancy'!$I94/'Household Vehicle Occupancy'!L94)</f>
        <v>1.4825878807736499</v>
      </c>
      <c r="M142" s="90">
        <f>$J142*('Heavy Bus Supporting Data'!M$28/'Heavy Bus Supporting Data'!$I$28)*('Household Vehicle Occupancy'!$I94/'Household Vehicle Occupancy'!M94)</f>
        <v>1.7283719365036883</v>
      </c>
      <c r="N142" s="90">
        <f>$J142*('Heavy Bus Supporting Data'!N$28/'Heavy Bus Supporting Data'!$I$28)*('Household Vehicle Occupancy'!$I94/'Household Vehicle Occupancy'!N94)</f>
        <v>2.0115597052795402</v>
      </c>
      <c r="O142" s="90">
        <f>$J142*('Heavy Bus Supporting Data'!O$28/'Heavy Bus Supporting Data'!$I$28)*('Household Vehicle Occupancy'!$I94/'Household Vehicle Occupancy'!O94)</f>
        <v>2.3419028844187042</v>
      </c>
      <c r="P142" s="56">
        <f>$J142*('Heavy Bus Supporting Data'!P$28/'Heavy Bus Supporting Data'!$I$28)*('Household Vehicle Occupancy'!$I94/'Household Vehicle Occupancy'!P94)</f>
        <v>2.7138588345414689</v>
      </c>
      <c r="Q142" s="56">
        <f>$J142*('Heavy Bus Supporting Data'!Q$28/'Heavy Bus Supporting Data'!$I$28)*('Household Vehicle Occupancy'!$I94/'Household Vehicle Occupancy'!Q94)</f>
        <v>3.1448863480640044</v>
      </c>
      <c r="R142" s="57">
        <f>$J142*('Heavy Bus Supporting Data'!R$28/'Heavy Bus Supporting Data'!$I$28)*('Household Vehicle Occupancy'!$I94/'Household Vehicle Occupancy'!R94)</f>
        <v>3.6443667568575804</v>
      </c>
    </row>
    <row r="143" spans="3:18" ht="16" x14ac:dyDescent="0.2">
      <c r="C143" s="24" t="s">
        <v>6</v>
      </c>
      <c r="D143" s="89"/>
      <c r="E143" s="90"/>
      <c r="G143" s="90"/>
      <c r="J143" s="90">
        <v>1</v>
      </c>
      <c r="K143" s="90">
        <f>$J143*('Heavy Bus Supporting Data'!K$28/'Heavy Bus Supporting Data'!$I$28)*('Household Vehicle Occupancy'!$I95/'Household Vehicle Occupancy'!K95)</f>
        <v>1.2289612983043408</v>
      </c>
      <c r="L143" s="90">
        <f>$J143*('Heavy Bus Supporting Data'!L$28/'Heavy Bus Supporting Data'!$I$28)*('Household Vehicle Occupancy'!$I95/'Household Vehicle Occupancy'!L95)</f>
        <v>1.4845067437638597</v>
      </c>
      <c r="M143" s="90">
        <f>$J143*('Heavy Bus Supporting Data'!M$28/'Heavy Bus Supporting Data'!$I$28)*('Household Vehicle Occupancy'!$I95/'Household Vehicle Occupancy'!M95)</f>
        <v>1.7315440899589225</v>
      </c>
      <c r="N143" s="90">
        <f>$J143*('Heavy Bus Supporting Data'!N$28/'Heavy Bus Supporting Data'!$I$28)*('Household Vehicle Occupancy'!$I95/'Household Vehicle Occupancy'!N95)</f>
        <v>2.016021507026323</v>
      </c>
      <c r="O143" s="90">
        <f>$J143*('Heavy Bus Supporting Data'!O$28/'Heavy Bus Supporting Data'!$I$28)*('Household Vehicle Occupancy'!$I95/'Household Vehicle Occupancy'!O95)</f>
        <v>2.348072033922656</v>
      </c>
      <c r="P143" s="56">
        <f>$J143*('Heavy Bus Supporting Data'!P$28/'Heavy Bus Supporting Data'!$I$28)*('Household Vehicle Occupancy'!$I95/'Household Vehicle Occupancy'!P95)</f>
        <v>2.7209051496615229</v>
      </c>
      <c r="Q143" s="56">
        <f>$J143*('Heavy Bus Supporting Data'!Q$28/'Heavy Bus Supporting Data'!$I$28)*('Household Vehicle Occupancy'!$I95/'Household Vehicle Occupancy'!Q95)</f>
        <v>3.1529324086429282</v>
      </c>
      <c r="R143" s="57">
        <f>$J143*('Heavy Bus Supporting Data'!R$28/'Heavy Bus Supporting Data'!$I$28)*('Household Vehicle Occupancy'!$I95/'Household Vehicle Occupancy'!R95)</f>
        <v>3.653551961383021</v>
      </c>
    </row>
    <row r="144" spans="3:18" ht="16" x14ac:dyDescent="0.2">
      <c r="C144" s="24" t="s">
        <v>7</v>
      </c>
      <c r="D144" s="89"/>
      <c r="E144" s="90"/>
      <c r="G144" s="90"/>
      <c r="J144" s="90">
        <v>1</v>
      </c>
      <c r="K144" s="90">
        <f>$J144*('Heavy Bus Supporting Data'!K$28/'Heavy Bus Supporting Data'!$I$28)*('Household Vehicle Occupancy'!$I96/'Household Vehicle Occupancy'!K96)</f>
        <v>1.2266693656389978</v>
      </c>
      <c r="L144" s="90">
        <f>$J144*('Heavy Bus Supporting Data'!L$28/'Heavy Bus Supporting Data'!$I$28)*('Household Vehicle Occupancy'!$I96/'Household Vehicle Occupancy'!L96)</f>
        <v>1.4801133157595725</v>
      </c>
      <c r="M144" s="90">
        <f>$J144*('Heavy Bus Supporting Data'!M$28/'Heavy Bus Supporting Data'!$I$28)*('Household Vehicle Occupancy'!$I96/'Household Vehicle Occupancy'!M96)</f>
        <v>1.7242861836433978</v>
      </c>
      <c r="N144" s="90">
        <f>$J144*('Heavy Bus Supporting Data'!N$28/'Heavy Bus Supporting Data'!$I$28)*('Household Vehicle Occupancy'!$I96/'Household Vehicle Occupancy'!N96)</f>
        <v>2.0058178965499742</v>
      </c>
      <c r="O144" s="90">
        <f>$J144*('Heavy Bus Supporting Data'!O$28/'Heavy Bus Supporting Data'!$I$28)*('Household Vehicle Occupancy'!$I96/'Household Vehicle Occupancy'!O96)</f>
        <v>2.3339714537893079</v>
      </c>
      <c r="P144" s="56">
        <f>$J144*('Heavy Bus Supporting Data'!P$28/'Heavy Bus Supporting Data'!$I$28)*('Household Vehicle Occupancy'!$I96/'Household Vehicle Occupancy'!P96)</f>
        <v>2.704798885629927</v>
      </c>
      <c r="Q144" s="56">
        <f>$J144*('Heavy Bus Supporting Data'!Q$28/'Heavy Bus Supporting Data'!$I$28)*('Household Vehicle Occupancy'!$I96/'Household Vehicle Occupancy'!Q96)</f>
        <v>3.1345400598321271</v>
      </c>
      <c r="R144" s="57">
        <f>$J144*('Heavy Bus Supporting Data'!R$28/'Heavy Bus Supporting Data'!$I$28)*('Household Vehicle Occupancy'!$I96/'Household Vehicle Occupancy'!R96)</f>
        <v>3.6325546379780902</v>
      </c>
    </row>
    <row r="145" spans="3:18" ht="16" x14ac:dyDescent="0.2">
      <c r="C145" s="24" t="s">
        <v>8</v>
      </c>
      <c r="D145" s="89"/>
      <c r="E145" s="90"/>
      <c r="G145" s="90"/>
      <c r="J145" s="90">
        <v>1</v>
      </c>
      <c r="K145" s="90">
        <f>$J145*('Heavy Bus Supporting Data'!K$28/'Heavy Bus Supporting Data'!$I$28)*('Household Vehicle Occupancy'!$I97/'Household Vehicle Occupancy'!K97)</f>
        <v>1.2287997911641568</v>
      </c>
      <c r="L145" s="90">
        <f>$J145*('Heavy Bus Supporting Data'!L$28/'Heavy Bus Supporting Data'!$I$28)*('Household Vehicle Occupancy'!$I97/'Household Vehicle Occupancy'!L97)</f>
        <v>1.484451189665887</v>
      </c>
      <c r="M145" s="90">
        <f>$J145*('Heavy Bus Supporting Data'!M$28/'Heavy Bus Supporting Data'!$I$28)*('Household Vehicle Occupancy'!$I97/'Household Vehicle Occupancy'!M97)</f>
        <v>1.7311245214510229</v>
      </c>
      <c r="N145" s="90">
        <f>$J145*('Heavy Bus Supporting Data'!N$28/'Heavy Bus Supporting Data'!$I$28)*('Household Vehicle Occupancy'!$I97/'Household Vehicle Occupancy'!N97)</f>
        <v>2.0155860773192131</v>
      </c>
      <c r="O145" s="90">
        <f>$J145*('Heavy Bus Supporting Data'!O$28/'Heavy Bus Supporting Data'!$I$28)*('Household Vehicle Occupancy'!$I97/'Household Vehicle Occupancy'!O97)</f>
        <v>2.3477222766517949</v>
      </c>
      <c r="P145" s="56">
        <f>$J145*('Heavy Bus Supporting Data'!P$28/'Heavy Bus Supporting Data'!$I$28)*('Household Vehicle Occupancy'!$I97/'Household Vehicle Occupancy'!P97)</f>
        <v>2.7222263797861959</v>
      </c>
      <c r="Q145" s="56">
        <f>$J145*('Heavy Bus Supporting Data'!Q$28/'Heavy Bus Supporting Data'!$I$28)*('Household Vehicle Occupancy'!$I97/'Household Vehicle Occupancy'!Q97)</f>
        <v>3.1567078451284831</v>
      </c>
      <c r="R145" s="57">
        <f>$J145*('Heavy Bus Supporting Data'!R$28/'Heavy Bus Supporting Data'!$I$28)*('Household Vehicle Occupancy'!$I97/'Household Vehicle Occupancy'!R97)</f>
        <v>3.6607871159055554</v>
      </c>
    </row>
    <row r="146" spans="3:18" ht="16" x14ac:dyDescent="0.2">
      <c r="C146" s="24" t="s">
        <v>9</v>
      </c>
      <c r="D146" s="89"/>
      <c r="E146" s="90"/>
      <c r="G146" s="90"/>
      <c r="J146" s="90">
        <v>1</v>
      </c>
      <c r="K146" s="90">
        <f>$J146*('Heavy Bus Supporting Data'!K$28/'Heavy Bus Supporting Data'!$I$28)*('Household Vehicle Occupancy'!$I98/'Household Vehicle Occupancy'!K98)</f>
        <v>1.2269845230580572</v>
      </c>
      <c r="L146" s="90">
        <f>$J146*('Heavy Bus Supporting Data'!L$28/'Heavy Bus Supporting Data'!$I$28)*('Household Vehicle Occupancy'!$I98/'Household Vehicle Occupancy'!L98)</f>
        <v>1.480716872587037</v>
      </c>
      <c r="M146" s="90">
        <f>$J146*('Heavy Bus Supporting Data'!M$28/'Heavy Bus Supporting Data'!$I$28)*('Household Vehicle Occupancy'!$I98/'Household Vehicle Occupancy'!M98)</f>
        <v>1.7252821914582168</v>
      </c>
      <c r="N146" s="90">
        <f>$J146*('Heavy Bus Supporting Data'!N$28/'Heavy Bus Supporting Data'!$I$28)*('Household Vehicle Occupancy'!$I98/'Household Vehicle Occupancy'!N98)</f>
        <v>2.0072170903079765</v>
      </c>
      <c r="O146" s="90">
        <f>$J146*('Heavy Bus Supporting Data'!O$28/'Heavy Bus Supporting Data'!$I$28)*('Household Vehicle Occupancy'!$I98/'Household Vehicle Occupancy'!O98)</f>
        <v>2.3359034454834853</v>
      </c>
      <c r="P146" s="56">
        <f>$J146*('Heavy Bus Supporting Data'!P$28/'Heavy Bus Supporting Data'!$I$28)*('Household Vehicle Occupancy'!$I98/'Household Vehicle Occupancy'!P98)</f>
        <v>2.7070058504419729</v>
      </c>
      <c r="Q146" s="56">
        <f>$J146*('Heavy Bus Supporting Data'!Q$28/'Heavy Bus Supporting Data'!$I$28)*('Household Vehicle Occupancy'!$I98/'Household Vehicle Occupancy'!Q98)</f>
        <v>3.1370604642160682</v>
      </c>
      <c r="R146" s="57">
        <f>$J146*('Heavy Bus Supporting Data'!R$28/'Heavy Bus Supporting Data'!$I$28)*('Household Vehicle Occupancy'!$I98/'Household Vehicle Occupancy'!R98)</f>
        <v>3.6354322318848138</v>
      </c>
    </row>
    <row r="147" spans="3:18" ht="16" x14ac:dyDescent="0.2">
      <c r="C147" s="24" t="s">
        <v>10</v>
      </c>
      <c r="D147" s="89"/>
      <c r="E147" s="90"/>
      <c r="G147" s="90"/>
      <c r="J147" s="90">
        <v>1</v>
      </c>
      <c r="K147" s="90">
        <f>$J147*('Heavy Bus Supporting Data'!K$28/'Heavy Bus Supporting Data'!$I$28)*('Household Vehicle Occupancy'!$I99/'Household Vehicle Occupancy'!K99)</f>
        <v>1.2290179937795565</v>
      </c>
      <c r="L147" s="90">
        <f>$J147*('Heavy Bus Supporting Data'!L$28/'Heavy Bus Supporting Data'!$I$28)*('Household Vehicle Occupancy'!$I99/'Household Vehicle Occupancy'!L99)</f>
        <v>1.4846155461389439</v>
      </c>
      <c r="M147" s="90">
        <f>$J147*('Heavy Bus Supporting Data'!M$28/'Heavy Bus Supporting Data'!$I$28)*('Household Vehicle Occupancy'!$I99/'Household Vehicle Occupancy'!M99)</f>
        <v>1.7317240584701392</v>
      </c>
      <c r="N147" s="90">
        <f>$J147*('Heavy Bus Supporting Data'!N$28/'Heavy Bus Supporting Data'!$I$28)*('Household Vehicle Occupancy'!$I99/'Household Vehicle Occupancy'!N99)</f>
        <v>2.0162747444596132</v>
      </c>
      <c r="O147" s="90">
        <f>$J147*('Heavy Bus Supporting Data'!O$28/'Heavy Bus Supporting Data'!$I$28)*('Household Vehicle Occupancy'!$I99/'Household Vehicle Occupancy'!O99)</f>
        <v>2.3484223285413326</v>
      </c>
      <c r="P147" s="56">
        <f>$J147*('Heavy Bus Supporting Data'!P$28/'Heavy Bus Supporting Data'!$I$28)*('Household Vehicle Occupancy'!$I99/'Household Vehicle Occupancy'!P99)</f>
        <v>2.7213052352576979</v>
      </c>
      <c r="Q147" s="56">
        <f>$J147*('Heavy Bus Supporting Data'!Q$28/'Heavy Bus Supporting Data'!$I$28)*('Household Vehicle Occupancy'!$I99/'Household Vehicle Occupancy'!Q99)</f>
        <v>3.1533892409140702</v>
      </c>
      <c r="R147" s="57">
        <f>$J147*('Heavy Bus Supporting Data'!R$28/'Heavy Bus Supporting Data'!$I$28)*('Household Vehicle Occupancy'!$I99/'Household Vehicle Occupancy'!R99)</f>
        <v>3.6540734500545224</v>
      </c>
    </row>
    <row r="148" spans="3:18" ht="16" x14ac:dyDescent="0.2">
      <c r="C148" s="24" t="s">
        <v>11</v>
      </c>
      <c r="D148" s="89"/>
      <c r="E148" s="90"/>
      <c r="G148" s="90"/>
      <c r="J148" s="90">
        <v>1</v>
      </c>
      <c r="K148" s="90">
        <f>$J148*('Heavy Bus Supporting Data'!K$28/'Heavy Bus Supporting Data'!$I$28)*('Household Vehicle Occupancy'!$I100/'Household Vehicle Occupancy'!K100)</f>
        <v>1.2271787475669005</v>
      </c>
      <c r="L148" s="90">
        <f>$J148*('Heavy Bus Supporting Data'!L$28/'Heavy Bus Supporting Data'!$I$28)*('Household Vehicle Occupancy'!$I100/'Household Vehicle Occupancy'!L100)</f>
        <v>1.4810889219159524</v>
      </c>
      <c r="M148" s="90">
        <f>$J148*('Heavy Bus Supporting Data'!M$28/'Heavy Bus Supporting Data'!$I$28)*('Household Vehicle Occupancy'!$I100/'Household Vehicle Occupancy'!M100)</f>
        <v>1.725896327086073</v>
      </c>
      <c r="N148" s="90">
        <f>$J148*('Heavy Bus Supporting Data'!N$28/'Heavy Bus Supporting Data'!$I$28)*('Household Vehicle Occupancy'!$I100/'Household Vehicle Occupancy'!N100)</f>
        <v>2.0080799964449616</v>
      </c>
      <c r="O148" s="90">
        <f>$J148*('Heavy Bus Supporting Data'!O$28/'Heavy Bus Supporting Data'!$I$28)*('Household Vehicle Occupancy'!$I100/'Household Vehicle Occupancy'!O100)</f>
        <v>2.3370951876524328</v>
      </c>
      <c r="P148" s="56">
        <f>$J148*('Heavy Bus Supporting Data'!P$28/'Heavy Bus Supporting Data'!$I$28)*('Household Vehicle Occupancy'!$I100/'Household Vehicle Occupancy'!P100)</f>
        <v>2.7083671827871485</v>
      </c>
      <c r="Q148" s="56">
        <f>$J148*('Heavy Bus Supporting Data'!Q$28/'Heavy Bus Supporting Data'!$I$28)*('Household Vehicle Occupancy'!$I100/'Household Vehicle Occupancy'!Q100)</f>
        <v>3.1386151071356623</v>
      </c>
      <c r="R148" s="57">
        <f>$J148*('Heavy Bus Supporting Data'!R$28/'Heavy Bus Supporting Data'!$I$28)*('Household Vehicle Occupancy'!$I100/'Household Vehicle Occupancy'!R100)</f>
        <v>3.6372071633083474</v>
      </c>
    </row>
    <row r="149" spans="3:18" ht="16" x14ac:dyDescent="0.2">
      <c r="C149" s="24" t="s">
        <v>12</v>
      </c>
      <c r="D149" s="89"/>
      <c r="E149" s="90"/>
      <c r="G149" s="90"/>
      <c r="J149" s="90">
        <v>1</v>
      </c>
      <c r="K149" s="90">
        <f>$J149*('Heavy Bus Supporting Data'!K$28/'Heavy Bus Supporting Data'!$I$28)*('Household Vehicle Occupancy'!$I101/'Household Vehicle Occupancy'!K101)</f>
        <v>1.2290521755040851</v>
      </c>
      <c r="L149" s="90">
        <f>$J149*('Heavy Bus Supporting Data'!L$28/'Heavy Bus Supporting Data'!$I$28)*('Household Vehicle Occupancy'!$I101/'Household Vehicle Occupancy'!L101)</f>
        <v>1.4846811459896716</v>
      </c>
      <c r="M149" s="90">
        <f>$J149*('Heavy Bus Supporting Data'!M$28/'Heavy Bus Supporting Data'!$I$28)*('Household Vehicle Occupancy'!$I101/'Household Vehicle Occupancy'!M101)</f>
        <v>1.7318325716099057</v>
      </c>
      <c r="N149" s="90">
        <f>$J149*('Heavy Bus Supporting Data'!N$28/'Heavy Bus Supporting Data'!$I$28)*('Household Vehicle Occupancy'!$I101/'Household Vehicle Occupancy'!N101)</f>
        <v>2.0164274408594975</v>
      </c>
      <c r="O149" s="90">
        <f>$J149*('Heavy Bus Supporting Data'!O$28/'Heavy Bus Supporting Data'!$I$28)*('Household Vehicle Occupancy'!$I101/'Household Vehicle Occupancy'!O101)</f>
        <v>2.3486335561915928</v>
      </c>
      <c r="P149" s="56">
        <f>$J149*('Heavy Bus Supporting Data'!P$28/'Heavy Bus Supporting Data'!$I$28)*('Household Vehicle Occupancy'!$I101/'Household Vehicle Occupancy'!P101)</f>
        <v>2.7215464860382435</v>
      </c>
      <c r="Q149" s="56">
        <f>$J149*('Heavy Bus Supporting Data'!Q$28/'Heavy Bus Supporting Data'!$I$28)*('Household Vehicle Occupancy'!$I101/'Household Vehicle Occupancy'!Q101)</f>
        <v>3.1536647088720327</v>
      </c>
      <c r="R149" s="57">
        <f>$J149*('Heavy Bus Supporting Data'!R$28/'Heavy Bus Supporting Data'!$I$28)*('Household Vehicle Occupancy'!$I101/'Household Vehicle Occupancy'!R101)</f>
        <v>3.6543879044658896</v>
      </c>
    </row>
    <row r="150" spans="3:18" ht="17" thickBot="1" x14ac:dyDescent="0.25">
      <c r="C150" s="25" t="s">
        <v>13</v>
      </c>
      <c r="D150" s="91"/>
      <c r="E150" s="92"/>
      <c r="G150" s="92"/>
      <c r="J150" s="92">
        <v>1</v>
      </c>
      <c r="K150" s="92">
        <f>$J150*('Heavy Bus Supporting Data'!K$28/'Heavy Bus Supporting Data'!$I$28)*('Household Vehicle Occupancy'!$I102/'Household Vehicle Occupancy'!K102)</f>
        <v>1.2276486938733862</v>
      </c>
      <c r="L150" s="92">
        <f>$J150*('Heavy Bus Supporting Data'!L$28/'Heavy Bus Supporting Data'!$I$28)*('Household Vehicle Occupancy'!$I102/'Household Vehicle Occupancy'!L102)</f>
        <v>1.4819894199953592</v>
      </c>
      <c r="M150" s="92">
        <f>$J150*('Heavy Bus Supporting Data'!M$28/'Heavy Bus Supporting Data'!$I$28)*('Household Vehicle Occupancy'!$I102/'Household Vehicle Occupancy'!M102)</f>
        <v>1.7273832965717779</v>
      </c>
      <c r="N150" s="92">
        <f>$J150*('Heavy Bus Supporting Data'!N$28/'Heavy Bus Supporting Data'!$I$28)*('Household Vehicle Occupancy'!$I102/'Household Vehicle Occupancy'!N102)</f>
        <v>2.0101698273572377</v>
      </c>
      <c r="O150" s="92">
        <f>$J150*('Heavy Bus Supporting Data'!O$28/'Heavy Bus Supporting Data'!$I$28)*('Household Vehicle Occupancy'!$I102/'Household Vehicle Occupancy'!O102)</f>
        <v>2.3399822034565725</v>
      </c>
      <c r="P150" s="59">
        <f>$J150*('Heavy Bus Supporting Data'!P$28/'Heavy Bus Supporting Data'!$I$28)*('Household Vehicle Occupancy'!$I102/'Household Vehicle Occupancy'!P102)</f>
        <v>2.7116649514305746</v>
      </c>
      <c r="Q150" s="59">
        <f>$J150*('Heavy Bus Supporting Data'!Q$28/'Heavy Bus Supporting Data'!$I$28)*('Household Vehicle Occupancy'!$I102/'Household Vehicle Occupancy'!Q102)</f>
        <v>3.1423810679844215</v>
      </c>
      <c r="R150" s="60">
        <f>$J150*('Heavy Bus Supporting Data'!R$28/'Heavy Bus Supporting Data'!$I$28)*('Household Vehicle Occupancy'!$I102/'Household Vehicle Occupancy'!R102)</f>
        <v>3.6415066421756999</v>
      </c>
    </row>
    <row r="151" spans="3:18" ht="17" thickTop="1" x14ac:dyDescent="0.2">
      <c r="C151" s="130"/>
      <c r="D151" s="173"/>
      <c r="E151" s="173"/>
      <c r="F151" s="173"/>
      <c r="G151" s="173"/>
      <c r="H151" s="173"/>
      <c r="I151" s="173"/>
      <c r="J151" s="173"/>
      <c r="K151" s="173"/>
      <c r="L151" s="173"/>
      <c r="M151" s="173"/>
      <c r="N151" s="173"/>
      <c r="O151" s="173"/>
      <c r="P151" s="87"/>
      <c r="Q151" s="87"/>
      <c r="R151" s="87"/>
    </row>
    <row r="152" spans="3:18" ht="16" x14ac:dyDescent="0.2">
      <c r="C152" s="128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</row>
    <row r="153" spans="3:18" ht="16" x14ac:dyDescent="0.2">
      <c r="C153" s="128"/>
      <c r="D153" s="167"/>
    </row>
    <row r="154" spans="3:18" ht="17" thickBot="1" x14ac:dyDescent="0.25">
      <c r="C154" s="170"/>
      <c r="D154" s="171"/>
    </row>
    <row r="155" spans="3:18" ht="17" thickTop="1" x14ac:dyDescent="0.2">
      <c r="C155" s="32" t="s">
        <v>148</v>
      </c>
      <c r="D155" s="33"/>
      <c r="E155" s="33"/>
      <c r="F155" s="33"/>
      <c r="G155" s="33"/>
      <c r="H155" s="33"/>
      <c r="I155" s="33"/>
      <c r="J155" s="33"/>
      <c r="K155" s="34"/>
      <c r="L155" s="34"/>
      <c r="M155" s="34"/>
      <c r="N155" s="34"/>
      <c r="O155" s="34"/>
      <c r="P155" s="34"/>
      <c r="Q155" s="34"/>
      <c r="R155" s="35"/>
    </row>
    <row r="156" spans="3:18" ht="14" thickBot="1" x14ac:dyDescent="0.2">
      <c r="C156" s="36"/>
      <c r="D156" s="37" t="s">
        <v>25</v>
      </c>
      <c r="E156" s="37" t="s">
        <v>37</v>
      </c>
      <c r="F156" s="37" t="s">
        <v>38</v>
      </c>
      <c r="G156" s="37" t="s">
        <v>177</v>
      </c>
      <c r="H156" s="37" t="s">
        <v>178</v>
      </c>
      <c r="I156" s="37" t="s">
        <v>26</v>
      </c>
      <c r="J156" s="37"/>
      <c r="K156" s="37" t="s">
        <v>27</v>
      </c>
      <c r="L156" s="37" t="s">
        <v>28</v>
      </c>
      <c r="M156" s="37" t="s">
        <v>29</v>
      </c>
      <c r="N156" s="37" t="s">
        <v>30</v>
      </c>
      <c r="O156" s="37" t="s">
        <v>31</v>
      </c>
      <c r="P156" s="37" t="s">
        <v>174</v>
      </c>
      <c r="Q156" s="37" t="s">
        <v>175</v>
      </c>
      <c r="R156" s="38" t="s">
        <v>176</v>
      </c>
    </row>
    <row r="157" spans="3:18" ht="15" thickTop="1" thickBot="1" x14ac:dyDescent="0.2">
      <c r="C157" s="18"/>
      <c r="D157" s="65" t="s">
        <v>39</v>
      </c>
      <c r="E157" s="65" t="s">
        <v>39</v>
      </c>
      <c r="F157" s="65" t="s">
        <v>39</v>
      </c>
      <c r="G157" s="65" t="s">
        <v>39</v>
      </c>
      <c r="H157" s="65" t="s">
        <v>39</v>
      </c>
      <c r="I157" s="65" t="s">
        <v>39</v>
      </c>
      <c r="J157" s="65"/>
      <c r="K157" s="65" t="s">
        <v>32</v>
      </c>
      <c r="L157" s="65" t="s">
        <v>32</v>
      </c>
      <c r="M157" s="65" t="s">
        <v>32</v>
      </c>
      <c r="N157" s="65" t="s">
        <v>32</v>
      </c>
      <c r="O157" s="71" t="s">
        <v>32</v>
      </c>
      <c r="P157" s="65" t="s">
        <v>32</v>
      </c>
      <c r="Q157" s="65" t="s">
        <v>32</v>
      </c>
      <c r="R157" s="66" t="s">
        <v>32</v>
      </c>
    </row>
    <row r="158" spans="3:18" ht="17" thickTop="1" x14ac:dyDescent="0.2">
      <c r="C158" s="27" t="s">
        <v>0</v>
      </c>
      <c r="D158" s="86">
        <v>0</v>
      </c>
      <c r="E158" s="87">
        <v>0</v>
      </c>
      <c r="F158" s="87">
        <v>0</v>
      </c>
      <c r="G158" s="87">
        <v>0</v>
      </c>
      <c r="H158" s="87">
        <v>0</v>
      </c>
      <c r="I158" s="87">
        <v>0</v>
      </c>
      <c r="J158" s="87">
        <f>'Vehicle Share Diversion Support'!J66*'Vehicle Share Diversion Support'!J106</f>
        <v>0</v>
      </c>
      <c r="K158" s="87">
        <f>'Vehicle Share Diversion Support'!K66*'Vehicle Share Diversion Support'!K106</f>
        <v>0</v>
      </c>
      <c r="L158" s="87">
        <f>'Vehicle Share Diversion Support'!L66*'Vehicle Share Diversion Support'!L106</f>
        <v>0</v>
      </c>
      <c r="M158" s="87">
        <f>'Vehicle Share Diversion Support'!M66*'Vehicle Share Diversion Support'!M106</f>
        <v>0</v>
      </c>
      <c r="N158" s="87">
        <f>'Vehicle Share Diversion Support'!N66*'Vehicle Share Diversion Support'!N106</f>
        <v>0</v>
      </c>
      <c r="O158" s="90">
        <f>'Vehicle Share Diversion Support'!O66*'Vehicle Share Diversion Support'!O106</f>
        <v>0</v>
      </c>
      <c r="P158" s="87">
        <f>'Vehicle Share Diversion Support'!P66*'Vehicle Share Diversion Support'!P106</f>
        <v>0</v>
      </c>
      <c r="Q158" s="87">
        <f>'Vehicle Share Diversion Support'!Q66*'Vehicle Share Diversion Support'!Q106</f>
        <v>0</v>
      </c>
      <c r="R158" s="88">
        <f>'Vehicle Share Diversion Support'!R66*'Vehicle Share Diversion Support'!R106</f>
        <v>0</v>
      </c>
    </row>
    <row r="159" spans="3:18" ht="16" x14ac:dyDescent="0.2">
      <c r="C159" s="24" t="s">
        <v>1</v>
      </c>
      <c r="D159" s="89">
        <v>0</v>
      </c>
      <c r="E159" s="90">
        <v>0</v>
      </c>
      <c r="F159" s="90">
        <v>0</v>
      </c>
      <c r="G159" s="90">
        <v>0</v>
      </c>
      <c r="H159" s="90">
        <v>0</v>
      </c>
      <c r="I159" s="90">
        <v>0</v>
      </c>
      <c r="J159" s="90">
        <f>'Vehicle Share Diversion Support'!J67*'Vehicle Share Diversion Support'!J107</f>
        <v>0</v>
      </c>
      <c r="K159" s="90">
        <f>'Vehicle Share Diversion Support'!K67*'Vehicle Share Diversion Support'!K107</f>
        <v>0</v>
      </c>
      <c r="L159" s="90">
        <f>'Vehicle Share Diversion Support'!L67*'Vehicle Share Diversion Support'!L107</f>
        <v>0</v>
      </c>
      <c r="M159" s="90">
        <f>'Vehicle Share Diversion Support'!M67*'Vehicle Share Diversion Support'!M107</f>
        <v>0</v>
      </c>
      <c r="N159" s="90">
        <f>'Vehicle Share Diversion Support'!N67*'Vehicle Share Diversion Support'!N107</f>
        <v>0</v>
      </c>
      <c r="O159" s="90">
        <f>'Vehicle Share Diversion Support'!O67*'Vehicle Share Diversion Support'!O107</f>
        <v>0</v>
      </c>
      <c r="P159" s="56">
        <f>'Vehicle Share Diversion Support'!P67*'Vehicle Share Diversion Support'!P107</f>
        <v>0</v>
      </c>
      <c r="Q159" s="56">
        <f>'Vehicle Share Diversion Support'!Q67*'Vehicle Share Diversion Support'!Q107</f>
        <v>0</v>
      </c>
      <c r="R159" s="57">
        <f>'Vehicle Share Diversion Support'!R67*'Vehicle Share Diversion Support'!R107</f>
        <v>0</v>
      </c>
    </row>
    <row r="160" spans="3:18" ht="16" x14ac:dyDescent="0.2">
      <c r="C160" s="24" t="s">
        <v>2</v>
      </c>
      <c r="D160" s="89">
        <v>0</v>
      </c>
      <c r="E160" s="90">
        <v>0</v>
      </c>
      <c r="F160" s="90">
        <v>0</v>
      </c>
      <c r="G160" s="90">
        <v>0</v>
      </c>
      <c r="H160" s="90">
        <v>0</v>
      </c>
      <c r="I160" s="90">
        <v>0</v>
      </c>
      <c r="J160" s="90">
        <f>'Vehicle Share Diversion Support'!J68*'Vehicle Share Diversion Support'!J108</f>
        <v>0</v>
      </c>
      <c r="K160" s="90">
        <f>'Vehicle Share Diversion Support'!K68*'Vehicle Share Diversion Support'!K108</f>
        <v>0</v>
      </c>
      <c r="L160" s="90">
        <f>'Vehicle Share Diversion Support'!L68*'Vehicle Share Diversion Support'!L108</f>
        <v>0</v>
      </c>
      <c r="M160" s="90">
        <f>'Vehicle Share Diversion Support'!M68*'Vehicle Share Diversion Support'!M108</f>
        <v>0</v>
      </c>
      <c r="N160" s="90">
        <f>'Vehicle Share Diversion Support'!N68*'Vehicle Share Diversion Support'!N108</f>
        <v>0</v>
      </c>
      <c r="O160" s="90">
        <f>'Vehicle Share Diversion Support'!O68*'Vehicle Share Diversion Support'!O108</f>
        <v>0</v>
      </c>
      <c r="P160" s="56">
        <f>'Vehicle Share Diversion Support'!P68*'Vehicle Share Diversion Support'!P108</f>
        <v>0</v>
      </c>
      <c r="Q160" s="56">
        <f>'Vehicle Share Diversion Support'!Q68*'Vehicle Share Diversion Support'!Q108</f>
        <v>0</v>
      </c>
      <c r="R160" s="57">
        <f>'Vehicle Share Diversion Support'!R68*'Vehicle Share Diversion Support'!R108</f>
        <v>0</v>
      </c>
    </row>
    <row r="161" spans="3:18" ht="16" x14ac:dyDescent="0.2">
      <c r="C161" s="24" t="s">
        <v>3</v>
      </c>
      <c r="D161" s="89">
        <v>0</v>
      </c>
      <c r="E161" s="90">
        <v>0</v>
      </c>
      <c r="F161" s="90">
        <v>0</v>
      </c>
      <c r="G161" s="90">
        <v>0</v>
      </c>
      <c r="H161" s="90">
        <v>0</v>
      </c>
      <c r="I161" s="90">
        <v>0</v>
      </c>
      <c r="J161" s="90">
        <f>'Vehicle Share Diversion Support'!J69*'Vehicle Share Diversion Support'!J109</f>
        <v>0</v>
      </c>
      <c r="K161" s="90">
        <f>'Vehicle Share Diversion Support'!K69*'Vehicle Share Diversion Support'!K109</f>
        <v>0</v>
      </c>
      <c r="L161" s="90">
        <f>'Vehicle Share Diversion Support'!L69*'Vehicle Share Diversion Support'!L109</f>
        <v>0</v>
      </c>
      <c r="M161" s="90">
        <f>'Vehicle Share Diversion Support'!M69*'Vehicle Share Diversion Support'!M109</f>
        <v>0</v>
      </c>
      <c r="N161" s="90">
        <f>'Vehicle Share Diversion Support'!N69*'Vehicle Share Diversion Support'!N109</f>
        <v>0</v>
      </c>
      <c r="O161" s="90">
        <f>'Vehicle Share Diversion Support'!O69*'Vehicle Share Diversion Support'!O109</f>
        <v>0</v>
      </c>
      <c r="P161" s="56">
        <f>'Vehicle Share Diversion Support'!P69*'Vehicle Share Diversion Support'!P109</f>
        <v>0</v>
      </c>
      <c r="Q161" s="56">
        <f>'Vehicle Share Diversion Support'!Q69*'Vehicle Share Diversion Support'!Q109</f>
        <v>0</v>
      </c>
      <c r="R161" s="57">
        <f>'Vehicle Share Diversion Support'!R69*'Vehicle Share Diversion Support'!R109</f>
        <v>0</v>
      </c>
    </row>
    <row r="162" spans="3:18" ht="16" x14ac:dyDescent="0.2">
      <c r="C162" s="24" t="s">
        <v>4</v>
      </c>
      <c r="D162" s="89">
        <v>0</v>
      </c>
      <c r="E162" s="90">
        <v>0</v>
      </c>
      <c r="F162" s="90">
        <v>0</v>
      </c>
      <c r="G162" s="90">
        <v>0</v>
      </c>
      <c r="H162" s="90">
        <v>0</v>
      </c>
      <c r="I162" s="90">
        <v>0</v>
      </c>
      <c r="J162" s="90">
        <f>'Vehicle Share Diversion Support'!J70*'Vehicle Share Diversion Support'!J110</f>
        <v>0</v>
      </c>
      <c r="K162" s="90">
        <f>'Vehicle Share Diversion Support'!K70*'Vehicle Share Diversion Support'!K110</f>
        <v>0</v>
      </c>
      <c r="L162" s="90">
        <f>'Vehicle Share Diversion Support'!L70*'Vehicle Share Diversion Support'!L110</f>
        <v>0</v>
      </c>
      <c r="M162" s="90">
        <f>'Vehicle Share Diversion Support'!M70*'Vehicle Share Diversion Support'!M110</f>
        <v>0</v>
      </c>
      <c r="N162" s="90">
        <f>'Vehicle Share Diversion Support'!N70*'Vehicle Share Diversion Support'!N110</f>
        <v>0</v>
      </c>
      <c r="O162" s="90">
        <f>'Vehicle Share Diversion Support'!O70*'Vehicle Share Diversion Support'!O110</f>
        <v>0</v>
      </c>
      <c r="P162" s="56">
        <f>'Vehicle Share Diversion Support'!P70*'Vehicle Share Diversion Support'!P110</f>
        <v>0</v>
      </c>
      <c r="Q162" s="56">
        <f>'Vehicle Share Diversion Support'!Q70*'Vehicle Share Diversion Support'!Q110</f>
        <v>0</v>
      </c>
      <c r="R162" s="57">
        <f>'Vehicle Share Diversion Support'!R70*'Vehicle Share Diversion Support'!R110</f>
        <v>0</v>
      </c>
    </row>
    <row r="163" spans="3:18" ht="16" x14ac:dyDescent="0.2">
      <c r="C163" s="24" t="s">
        <v>5</v>
      </c>
      <c r="D163" s="89">
        <v>0</v>
      </c>
      <c r="E163" s="90">
        <v>0</v>
      </c>
      <c r="F163" s="90">
        <v>0</v>
      </c>
      <c r="G163" s="90">
        <v>0</v>
      </c>
      <c r="H163" s="90">
        <v>0</v>
      </c>
      <c r="I163" s="90">
        <v>0</v>
      </c>
      <c r="J163" s="90">
        <f>'Vehicle Share Diversion Support'!J71*'Vehicle Share Diversion Support'!J111</f>
        <v>0</v>
      </c>
      <c r="K163" s="90">
        <f>'Vehicle Share Diversion Support'!K71*'Vehicle Share Diversion Support'!K111</f>
        <v>0</v>
      </c>
      <c r="L163" s="90">
        <f>'Vehicle Share Diversion Support'!L71*'Vehicle Share Diversion Support'!L111</f>
        <v>0</v>
      </c>
      <c r="M163" s="90">
        <f>'Vehicle Share Diversion Support'!M71*'Vehicle Share Diversion Support'!M111</f>
        <v>0</v>
      </c>
      <c r="N163" s="90">
        <f>'Vehicle Share Diversion Support'!N71*'Vehicle Share Diversion Support'!N111</f>
        <v>0</v>
      </c>
      <c r="O163" s="90">
        <f>'Vehicle Share Diversion Support'!O71*'Vehicle Share Diversion Support'!O111</f>
        <v>0</v>
      </c>
      <c r="P163" s="56">
        <f>'Vehicle Share Diversion Support'!P71*'Vehicle Share Diversion Support'!P111</f>
        <v>0</v>
      </c>
      <c r="Q163" s="56">
        <f>'Vehicle Share Diversion Support'!Q71*'Vehicle Share Diversion Support'!Q111</f>
        <v>0</v>
      </c>
      <c r="R163" s="57">
        <f>'Vehicle Share Diversion Support'!R71*'Vehicle Share Diversion Support'!R111</f>
        <v>0</v>
      </c>
    </row>
    <row r="164" spans="3:18" ht="16" x14ac:dyDescent="0.2">
      <c r="C164" s="24" t="s">
        <v>6</v>
      </c>
      <c r="D164" s="89">
        <v>0</v>
      </c>
      <c r="E164" s="90">
        <v>0</v>
      </c>
      <c r="F164" s="90">
        <v>0</v>
      </c>
      <c r="G164" s="90">
        <v>0</v>
      </c>
      <c r="H164" s="90">
        <v>0</v>
      </c>
      <c r="I164" s="90">
        <v>0</v>
      </c>
      <c r="J164" s="90">
        <f>'Vehicle Share Diversion Support'!J72*'Vehicle Share Diversion Support'!J112</f>
        <v>0</v>
      </c>
      <c r="K164" s="90">
        <f>'Vehicle Share Diversion Support'!K72*'Vehicle Share Diversion Support'!K112</f>
        <v>0</v>
      </c>
      <c r="L164" s="90">
        <f>'Vehicle Share Diversion Support'!L72*'Vehicle Share Diversion Support'!L112</f>
        <v>0</v>
      </c>
      <c r="M164" s="90">
        <f>'Vehicle Share Diversion Support'!M72*'Vehicle Share Diversion Support'!M112</f>
        <v>0</v>
      </c>
      <c r="N164" s="90">
        <f>'Vehicle Share Diversion Support'!N72*'Vehicle Share Diversion Support'!N112</f>
        <v>0</v>
      </c>
      <c r="O164" s="90">
        <f>'Vehicle Share Diversion Support'!O72*'Vehicle Share Diversion Support'!O112</f>
        <v>0</v>
      </c>
      <c r="P164" s="56">
        <f>'Vehicle Share Diversion Support'!P72*'Vehicle Share Diversion Support'!P112</f>
        <v>0</v>
      </c>
      <c r="Q164" s="56">
        <f>'Vehicle Share Diversion Support'!Q72*'Vehicle Share Diversion Support'!Q112</f>
        <v>0</v>
      </c>
      <c r="R164" s="57">
        <f>'Vehicle Share Diversion Support'!R72*'Vehicle Share Diversion Support'!R112</f>
        <v>0</v>
      </c>
    </row>
    <row r="165" spans="3:18" ht="16" x14ac:dyDescent="0.2">
      <c r="C165" s="24" t="s">
        <v>7</v>
      </c>
      <c r="D165" s="89">
        <v>0</v>
      </c>
      <c r="E165" s="90">
        <v>0</v>
      </c>
      <c r="F165" s="90">
        <v>0</v>
      </c>
      <c r="G165" s="90">
        <v>0</v>
      </c>
      <c r="H165" s="90">
        <v>0</v>
      </c>
      <c r="I165" s="90">
        <v>0</v>
      </c>
      <c r="J165" s="90">
        <f>'Vehicle Share Diversion Support'!J73*'Vehicle Share Diversion Support'!J113</f>
        <v>0</v>
      </c>
      <c r="K165" s="90">
        <f>'Vehicle Share Diversion Support'!K73*'Vehicle Share Diversion Support'!K113</f>
        <v>0</v>
      </c>
      <c r="L165" s="90">
        <f>'Vehicle Share Diversion Support'!L73*'Vehicle Share Diversion Support'!L113</f>
        <v>0</v>
      </c>
      <c r="M165" s="90">
        <f>'Vehicle Share Diversion Support'!M73*'Vehicle Share Diversion Support'!M113</f>
        <v>0</v>
      </c>
      <c r="N165" s="90">
        <f>'Vehicle Share Diversion Support'!N73*'Vehicle Share Diversion Support'!N113</f>
        <v>0</v>
      </c>
      <c r="O165" s="90">
        <f>'Vehicle Share Diversion Support'!O73*'Vehicle Share Diversion Support'!O113</f>
        <v>0</v>
      </c>
      <c r="P165" s="56">
        <f>'Vehicle Share Diversion Support'!P73*'Vehicle Share Diversion Support'!P113</f>
        <v>0</v>
      </c>
      <c r="Q165" s="56">
        <f>'Vehicle Share Diversion Support'!Q73*'Vehicle Share Diversion Support'!Q113</f>
        <v>0</v>
      </c>
      <c r="R165" s="57">
        <f>'Vehicle Share Diversion Support'!R73*'Vehicle Share Diversion Support'!R113</f>
        <v>0</v>
      </c>
    </row>
    <row r="166" spans="3:18" ht="16" x14ac:dyDescent="0.2">
      <c r="C166" s="24" t="s">
        <v>8</v>
      </c>
      <c r="D166" s="89">
        <v>0</v>
      </c>
      <c r="E166" s="90">
        <v>0</v>
      </c>
      <c r="F166" s="90">
        <v>0</v>
      </c>
      <c r="G166" s="90">
        <v>0</v>
      </c>
      <c r="H166" s="90">
        <v>0</v>
      </c>
      <c r="I166" s="90">
        <v>0</v>
      </c>
      <c r="J166" s="90">
        <f>'Vehicle Share Diversion Support'!J74*'Vehicle Share Diversion Support'!J114</f>
        <v>0</v>
      </c>
      <c r="K166" s="90">
        <f>'Vehicle Share Diversion Support'!K74*'Vehicle Share Diversion Support'!K114</f>
        <v>0</v>
      </c>
      <c r="L166" s="90">
        <f>'Vehicle Share Diversion Support'!L74*'Vehicle Share Diversion Support'!L114</f>
        <v>0</v>
      </c>
      <c r="M166" s="90">
        <f>'Vehicle Share Diversion Support'!M74*'Vehicle Share Diversion Support'!M114</f>
        <v>0</v>
      </c>
      <c r="N166" s="90">
        <f>'Vehicle Share Diversion Support'!N74*'Vehicle Share Diversion Support'!N114</f>
        <v>0</v>
      </c>
      <c r="O166" s="90">
        <f>'Vehicle Share Diversion Support'!O74*'Vehicle Share Diversion Support'!O114</f>
        <v>0</v>
      </c>
      <c r="P166" s="56">
        <f>'Vehicle Share Diversion Support'!P74*'Vehicle Share Diversion Support'!P114</f>
        <v>0</v>
      </c>
      <c r="Q166" s="56">
        <f>'Vehicle Share Diversion Support'!Q74*'Vehicle Share Diversion Support'!Q114</f>
        <v>0</v>
      </c>
      <c r="R166" s="57">
        <f>'Vehicle Share Diversion Support'!R74*'Vehicle Share Diversion Support'!R114</f>
        <v>0</v>
      </c>
    </row>
    <row r="167" spans="3:18" ht="16" x14ac:dyDescent="0.2">
      <c r="C167" s="24" t="s">
        <v>9</v>
      </c>
      <c r="D167" s="89">
        <v>0</v>
      </c>
      <c r="E167" s="90">
        <v>0</v>
      </c>
      <c r="F167" s="90">
        <v>0</v>
      </c>
      <c r="G167" s="90">
        <v>0</v>
      </c>
      <c r="H167" s="90">
        <v>0</v>
      </c>
      <c r="I167" s="90">
        <v>0</v>
      </c>
      <c r="J167" s="90">
        <f>'Vehicle Share Diversion Support'!J75*'Vehicle Share Diversion Support'!J115</f>
        <v>0</v>
      </c>
      <c r="K167" s="90">
        <f>'Vehicle Share Diversion Support'!K75*'Vehicle Share Diversion Support'!K115</f>
        <v>0</v>
      </c>
      <c r="L167" s="90">
        <f>'Vehicle Share Diversion Support'!L75*'Vehicle Share Diversion Support'!L115</f>
        <v>0</v>
      </c>
      <c r="M167" s="90">
        <f>'Vehicle Share Diversion Support'!M75*'Vehicle Share Diversion Support'!M115</f>
        <v>0</v>
      </c>
      <c r="N167" s="90">
        <f>'Vehicle Share Diversion Support'!N75*'Vehicle Share Diversion Support'!N115</f>
        <v>0</v>
      </c>
      <c r="O167" s="90">
        <f>'Vehicle Share Diversion Support'!O75*'Vehicle Share Diversion Support'!O115</f>
        <v>0</v>
      </c>
      <c r="P167" s="56">
        <f>'Vehicle Share Diversion Support'!P75*'Vehicle Share Diversion Support'!P115</f>
        <v>0</v>
      </c>
      <c r="Q167" s="56">
        <f>'Vehicle Share Diversion Support'!Q75*'Vehicle Share Diversion Support'!Q115</f>
        <v>0</v>
      </c>
      <c r="R167" s="57">
        <f>'Vehicle Share Diversion Support'!R75*'Vehicle Share Diversion Support'!R115</f>
        <v>0</v>
      </c>
    </row>
    <row r="168" spans="3:18" ht="16" x14ac:dyDescent="0.2">
      <c r="C168" s="24" t="s">
        <v>10</v>
      </c>
      <c r="D168" s="89">
        <v>0</v>
      </c>
      <c r="E168" s="90">
        <v>0</v>
      </c>
      <c r="F168" s="90">
        <v>0</v>
      </c>
      <c r="G168" s="90">
        <v>0</v>
      </c>
      <c r="H168" s="90">
        <v>0</v>
      </c>
      <c r="I168" s="90">
        <v>0</v>
      </c>
      <c r="J168" s="90">
        <f>'Vehicle Share Diversion Support'!J76*'Vehicle Share Diversion Support'!J116</f>
        <v>0</v>
      </c>
      <c r="K168" s="90">
        <f>'Vehicle Share Diversion Support'!K76*'Vehicle Share Diversion Support'!K116</f>
        <v>0</v>
      </c>
      <c r="L168" s="90">
        <f>'Vehicle Share Diversion Support'!L76*'Vehicle Share Diversion Support'!L116</f>
        <v>0</v>
      </c>
      <c r="M168" s="90">
        <f>'Vehicle Share Diversion Support'!M76*'Vehicle Share Diversion Support'!M116</f>
        <v>0</v>
      </c>
      <c r="N168" s="90">
        <f>'Vehicle Share Diversion Support'!N76*'Vehicle Share Diversion Support'!N116</f>
        <v>0</v>
      </c>
      <c r="O168" s="90">
        <f>'Vehicle Share Diversion Support'!O76*'Vehicle Share Diversion Support'!O116</f>
        <v>0</v>
      </c>
      <c r="P168" s="56">
        <f>'Vehicle Share Diversion Support'!P76*'Vehicle Share Diversion Support'!P116</f>
        <v>0</v>
      </c>
      <c r="Q168" s="56">
        <f>'Vehicle Share Diversion Support'!Q76*'Vehicle Share Diversion Support'!Q116</f>
        <v>0</v>
      </c>
      <c r="R168" s="57">
        <f>'Vehicle Share Diversion Support'!R76*'Vehicle Share Diversion Support'!R116</f>
        <v>0</v>
      </c>
    </row>
    <row r="169" spans="3:18" ht="16" x14ac:dyDescent="0.2">
      <c r="C169" s="24" t="s">
        <v>11</v>
      </c>
      <c r="D169" s="89">
        <v>0</v>
      </c>
      <c r="E169" s="90">
        <v>0</v>
      </c>
      <c r="F169" s="90">
        <v>0</v>
      </c>
      <c r="G169" s="90">
        <v>0</v>
      </c>
      <c r="H169" s="90">
        <v>0</v>
      </c>
      <c r="I169" s="90">
        <v>0</v>
      </c>
      <c r="J169" s="90">
        <f>'Vehicle Share Diversion Support'!J77*'Vehicle Share Diversion Support'!J117</f>
        <v>0</v>
      </c>
      <c r="K169" s="90">
        <f>'Vehicle Share Diversion Support'!K77*'Vehicle Share Diversion Support'!K117</f>
        <v>0</v>
      </c>
      <c r="L169" s="90">
        <f>'Vehicle Share Diversion Support'!L77*'Vehicle Share Diversion Support'!L117</f>
        <v>0</v>
      </c>
      <c r="M169" s="90">
        <f>'Vehicle Share Diversion Support'!M77*'Vehicle Share Diversion Support'!M117</f>
        <v>0</v>
      </c>
      <c r="N169" s="90">
        <f>'Vehicle Share Diversion Support'!N77*'Vehicle Share Diversion Support'!N117</f>
        <v>0</v>
      </c>
      <c r="O169" s="90">
        <f>'Vehicle Share Diversion Support'!O77*'Vehicle Share Diversion Support'!O117</f>
        <v>0</v>
      </c>
      <c r="P169" s="56">
        <f>'Vehicle Share Diversion Support'!P77*'Vehicle Share Diversion Support'!P117</f>
        <v>0</v>
      </c>
      <c r="Q169" s="56">
        <f>'Vehicle Share Diversion Support'!Q77*'Vehicle Share Diversion Support'!Q117</f>
        <v>0</v>
      </c>
      <c r="R169" s="57">
        <f>'Vehicle Share Diversion Support'!R77*'Vehicle Share Diversion Support'!R117</f>
        <v>0</v>
      </c>
    </row>
    <row r="170" spans="3:18" ht="16" x14ac:dyDescent="0.2">
      <c r="C170" s="24" t="s">
        <v>12</v>
      </c>
      <c r="D170" s="89">
        <v>0</v>
      </c>
      <c r="E170" s="90">
        <v>0</v>
      </c>
      <c r="F170" s="90">
        <v>0</v>
      </c>
      <c r="G170" s="90">
        <v>0</v>
      </c>
      <c r="H170" s="90">
        <v>0</v>
      </c>
      <c r="I170" s="90">
        <v>0</v>
      </c>
      <c r="J170" s="90">
        <f>'Vehicle Share Diversion Support'!J78*'Vehicle Share Diversion Support'!J118</f>
        <v>0</v>
      </c>
      <c r="K170" s="90">
        <f>'Vehicle Share Diversion Support'!K78*'Vehicle Share Diversion Support'!K118</f>
        <v>0</v>
      </c>
      <c r="L170" s="90">
        <f>'Vehicle Share Diversion Support'!L78*'Vehicle Share Diversion Support'!L118</f>
        <v>0</v>
      </c>
      <c r="M170" s="90">
        <f>'Vehicle Share Diversion Support'!M78*'Vehicle Share Diversion Support'!M118</f>
        <v>0</v>
      </c>
      <c r="N170" s="90">
        <f>'Vehicle Share Diversion Support'!N78*'Vehicle Share Diversion Support'!N118</f>
        <v>0</v>
      </c>
      <c r="O170" s="90">
        <f>'Vehicle Share Diversion Support'!O78*'Vehicle Share Diversion Support'!O118</f>
        <v>0</v>
      </c>
      <c r="P170" s="56">
        <f>'Vehicle Share Diversion Support'!P78*'Vehicle Share Diversion Support'!P118</f>
        <v>0</v>
      </c>
      <c r="Q170" s="56">
        <f>'Vehicle Share Diversion Support'!Q78*'Vehicle Share Diversion Support'!Q118</f>
        <v>0</v>
      </c>
      <c r="R170" s="57">
        <f>'Vehicle Share Diversion Support'!R78*'Vehicle Share Diversion Support'!R118</f>
        <v>0</v>
      </c>
    </row>
    <row r="171" spans="3:18" ht="17" thickBot="1" x14ac:dyDescent="0.25">
      <c r="C171" s="25" t="s">
        <v>13</v>
      </c>
      <c r="D171" s="91">
        <v>0</v>
      </c>
      <c r="E171" s="92">
        <v>0</v>
      </c>
      <c r="F171" s="92">
        <v>0</v>
      </c>
      <c r="G171" s="92">
        <v>0</v>
      </c>
      <c r="H171" s="92">
        <v>0</v>
      </c>
      <c r="I171" s="92">
        <v>0</v>
      </c>
      <c r="J171" s="92">
        <f>'Vehicle Share Diversion Support'!J79*'Vehicle Share Diversion Support'!J119</f>
        <v>0</v>
      </c>
      <c r="K171" s="92">
        <f>'Vehicle Share Diversion Support'!K79*'Vehicle Share Diversion Support'!K119</f>
        <v>0</v>
      </c>
      <c r="L171" s="92">
        <f>'Vehicle Share Diversion Support'!L79*'Vehicle Share Diversion Support'!L119</f>
        <v>0</v>
      </c>
      <c r="M171" s="92">
        <f>'Vehicle Share Diversion Support'!M79*'Vehicle Share Diversion Support'!M119</f>
        <v>0</v>
      </c>
      <c r="N171" s="92">
        <f>'Vehicle Share Diversion Support'!N79*'Vehicle Share Diversion Support'!N119</f>
        <v>0</v>
      </c>
      <c r="O171" s="92">
        <f>'Vehicle Share Diversion Support'!O79*'Vehicle Share Diversion Support'!O119</f>
        <v>0</v>
      </c>
      <c r="P171" s="59">
        <f>'Vehicle Share Diversion Support'!P79*'Vehicle Share Diversion Support'!P119</f>
        <v>0</v>
      </c>
      <c r="Q171" s="59">
        <f>'Vehicle Share Diversion Support'!Q79*'Vehicle Share Diversion Support'!Q119</f>
        <v>0</v>
      </c>
      <c r="R171" s="60">
        <f>'Vehicle Share Diversion Support'!R79*'Vehicle Share Diversion Support'!R119</f>
        <v>0</v>
      </c>
    </row>
    <row r="172" spans="3:18" ht="19" thickTop="1" thickBot="1" x14ac:dyDescent="0.25">
      <c r="C172" s="31" t="s">
        <v>24</v>
      </c>
      <c r="D172" s="93">
        <f>SUM(D158:D171)</f>
        <v>0</v>
      </c>
      <c r="E172" s="94">
        <f t="shared" ref="E172:O172" si="73">SUM(E158:E171)</f>
        <v>0</v>
      </c>
      <c r="F172" s="94">
        <f t="shared" si="73"/>
        <v>0</v>
      </c>
      <c r="G172" s="94">
        <f t="shared" si="73"/>
        <v>0</v>
      </c>
      <c r="H172" s="94">
        <f t="shared" si="73"/>
        <v>0</v>
      </c>
      <c r="I172" s="94">
        <f t="shared" si="73"/>
        <v>0</v>
      </c>
      <c r="J172" s="94">
        <f t="shared" ref="J172" si="74">SUM(J158:J171)</f>
        <v>0</v>
      </c>
      <c r="K172" s="94">
        <f t="shared" si="73"/>
        <v>0</v>
      </c>
      <c r="L172" s="94">
        <f t="shared" si="73"/>
        <v>0</v>
      </c>
      <c r="M172" s="94">
        <f t="shared" si="73"/>
        <v>0</v>
      </c>
      <c r="N172" s="94">
        <f t="shared" si="73"/>
        <v>0</v>
      </c>
      <c r="O172" s="94">
        <f t="shared" si="73"/>
        <v>0</v>
      </c>
      <c r="P172" s="94">
        <f t="shared" ref="P172:R172" si="75">SUM(P158:P171)</f>
        <v>0</v>
      </c>
      <c r="Q172" s="94">
        <f t="shared" si="75"/>
        <v>0</v>
      </c>
      <c r="R172" s="95">
        <f t="shared" si="75"/>
        <v>0</v>
      </c>
    </row>
    <row r="173" spans="3:18" ht="17" thickTop="1" x14ac:dyDescent="0.2">
      <c r="C173" s="154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</row>
    <row r="174" spans="3:18" ht="16" x14ac:dyDescent="0.2">
      <c r="C174" s="128"/>
      <c r="D174" s="167"/>
    </row>
    <row r="175" spans="3:18" ht="17" thickBot="1" x14ac:dyDescent="0.25">
      <c r="C175" s="170"/>
      <c r="D175" s="171"/>
    </row>
    <row r="176" spans="3:18" ht="17" thickTop="1" x14ac:dyDescent="0.2">
      <c r="C176" s="32" t="s">
        <v>152</v>
      </c>
      <c r="D176" s="33"/>
      <c r="E176" s="33"/>
      <c r="F176" s="33"/>
      <c r="G176" s="33"/>
      <c r="H176" s="33"/>
      <c r="I176" s="33"/>
      <c r="J176" s="33"/>
      <c r="K176" s="34"/>
      <c r="L176" s="34"/>
      <c r="M176" s="34"/>
      <c r="N176" s="34"/>
      <c r="O176" s="34"/>
      <c r="P176" s="34"/>
      <c r="Q176" s="34"/>
      <c r="R176" s="35"/>
    </row>
    <row r="177" spans="3:18" ht="14" thickBot="1" x14ac:dyDescent="0.2">
      <c r="C177" s="36"/>
      <c r="D177" s="37" t="s">
        <v>25</v>
      </c>
      <c r="E177" s="37" t="s">
        <v>37</v>
      </c>
      <c r="F177" s="37" t="s">
        <v>38</v>
      </c>
      <c r="G177" s="37" t="s">
        <v>177</v>
      </c>
      <c r="H177" s="37" t="s">
        <v>178</v>
      </c>
      <c r="I177" s="37" t="s">
        <v>26</v>
      </c>
      <c r="J177" s="37"/>
      <c r="K177" s="37" t="s">
        <v>27</v>
      </c>
      <c r="L177" s="37" t="s">
        <v>28</v>
      </c>
      <c r="M177" s="37" t="s">
        <v>29</v>
      </c>
      <c r="N177" s="37" t="s">
        <v>30</v>
      </c>
      <c r="O177" s="37" t="s">
        <v>31</v>
      </c>
      <c r="P177" s="37" t="s">
        <v>174</v>
      </c>
      <c r="Q177" s="37" t="s">
        <v>175</v>
      </c>
      <c r="R177" s="38" t="s">
        <v>176</v>
      </c>
    </row>
    <row r="178" spans="3:18" ht="15" thickTop="1" thickBot="1" x14ac:dyDescent="0.2">
      <c r="C178" s="18"/>
      <c r="D178" s="65" t="s">
        <v>39</v>
      </c>
      <c r="E178" s="65" t="s">
        <v>39</v>
      </c>
      <c r="F178" s="65" t="s">
        <v>39</v>
      </c>
      <c r="G178" s="65" t="s">
        <v>39</v>
      </c>
      <c r="H178" s="65" t="s">
        <v>39</v>
      </c>
      <c r="I178" s="65" t="s">
        <v>39</v>
      </c>
      <c r="J178" s="65"/>
      <c r="K178" s="65" t="s">
        <v>32</v>
      </c>
      <c r="L178" s="65" t="s">
        <v>32</v>
      </c>
      <c r="M178" s="65" t="s">
        <v>32</v>
      </c>
      <c r="N178" s="65" t="s">
        <v>32</v>
      </c>
      <c r="O178" s="65" t="s">
        <v>32</v>
      </c>
      <c r="P178" s="65" t="s">
        <v>32</v>
      </c>
      <c r="Q178" s="65" t="s">
        <v>32</v>
      </c>
      <c r="R178" s="66" t="s">
        <v>32</v>
      </c>
    </row>
    <row r="179" spans="3:18" ht="17" thickTop="1" x14ac:dyDescent="0.2">
      <c r="C179" s="27" t="s">
        <v>0</v>
      </c>
      <c r="D179" s="86">
        <v>0</v>
      </c>
      <c r="E179" s="87">
        <v>0</v>
      </c>
      <c r="F179" s="87">
        <v>0</v>
      </c>
      <c r="G179" s="87">
        <v>0</v>
      </c>
      <c r="H179" s="87">
        <v>0</v>
      </c>
      <c r="I179" s="87">
        <v>0</v>
      </c>
      <c r="J179" s="87">
        <f>'Vehicle Share Diversion Support'!J86*'Vehicle Share Diversion Support'!J106</f>
        <v>0</v>
      </c>
      <c r="K179" s="87">
        <f>'Vehicle Share Diversion Support'!K86*'Vehicle Share Diversion Support'!K106</f>
        <v>0</v>
      </c>
      <c r="L179" s="87">
        <f>'Vehicle Share Diversion Support'!L86*'Vehicle Share Diversion Support'!L106</f>
        <v>0</v>
      </c>
      <c r="M179" s="87">
        <f>'Vehicle Share Diversion Support'!M86*'Vehicle Share Diversion Support'!M106</f>
        <v>0</v>
      </c>
      <c r="N179" s="87">
        <f>'Vehicle Share Diversion Support'!N86*'Vehicle Share Diversion Support'!N106</f>
        <v>0</v>
      </c>
      <c r="O179" s="87">
        <f>'Vehicle Share Diversion Support'!O86*'Vehicle Share Diversion Support'!O106</f>
        <v>0</v>
      </c>
      <c r="P179" s="87">
        <f>'Vehicle Share Diversion Support'!P86*'Vehicle Share Diversion Support'!P106</f>
        <v>0</v>
      </c>
      <c r="Q179" s="87">
        <f>'Vehicle Share Diversion Support'!Q86*'Vehicle Share Diversion Support'!Q106</f>
        <v>0</v>
      </c>
      <c r="R179" s="88">
        <f>'Vehicle Share Diversion Support'!R86*'Vehicle Share Diversion Support'!R106</f>
        <v>0</v>
      </c>
    </row>
    <row r="180" spans="3:18" ht="16" x14ac:dyDescent="0.2">
      <c r="C180" s="24" t="s">
        <v>1</v>
      </c>
      <c r="D180" s="89">
        <v>0</v>
      </c>
      <c r="E180" s="90">
        <v>0</v>
      </c>
      <c r="F180" s="90">
        <v>0</v>
      </c>
      <c r="G180" s="90">
        <v>0</v>
      </c>
      <c r="H180" s="90">
        <v>0</v>
      </c>
      <c r="I180" s="90">
        <v>0</v>
      </c>
      <c r="J180" s="90">
        <f>'Vehicle Share Diversion Support'!J87*'Vehicle Share Diversion Support'!J107</f>
        <v>0</v>
      </c>
      <c r="K180" s="90">
        <f>'Vehicle Share Diversion Support'!K87*'Vehicle Share Diversion Support'!K107</f>
        <v>0</v>
      </c>
      <c r="L180" s="90">
        <f>'Vehicle Share Diversion Support'!L87*'Vehicle Share Diversion Support'!L107</f>
        <v>0</v>
      </c>
      <c r="M180" s="90">
        <f>'Vehicle Share Diversion Support'!M87*'Vehicle Share Diversion Support'!M107</f>
        <v>0</v>
      </c>
      <c r="N180" s="90">
        <f>'Vehicle Share Diversion Support'!N87*'Vehicle Share Diversion Support'!N107</f>
        <v>0</v>
      </c>
      <c r="O180" s="90">
        <f>'Vehicle Share Diversion Support'!O87*'Vehicle Share Diversion Support'!O107</f>
        <v>0</v>
      </c>
      <c r="P180" s="56">
        <f>'Vehicle Share Diversion Support'!P87*'Vehicle Share Diversion Support'!P107</f>
        <v>0</v>
      </c>
      <c r="Q180" s="56">
        <f>'Vehicle Share Diversion Support'!Q87*'Vehicle Share Diversion Support'!Q107</f>
        <v>0</v>
      </c>
      <c r="R180" s="57">
        <f>'Vehicle Share Diversion Support'!R87*'Vehicle Share Diversion Support'!R107</f>
        <v>0</v>
      </c>
    </row>
    <row r="181" spans="3:18" ht="16" x14ac:dyDescent="0.2">
      <c r="C181" s="24" t="s">
        <v>2</v>
      </c>
      <c r="D181" s="89">
        <v>0</v>
      </c>
      <c r="E181" s="90">
        <v>0</v>
      </c>
      <c r="F181" s="90">
        <v>0</v>
      </c>
      <c r="G181" s="90">
        <v>0</v>
      </c>
      <c r="H181" s="90">
        <v>0</v>
      </c>
      <c r="I181" s="90">
        <v>0</v>
      </c>
      <c r="J181" s="90">
        <f>'Vehicle Share Diversion Support'!J88*'Vehicle Share Diversion Support'!J108</f>
        <v>0</v>
      </c>
      <c r="K181" s="90">
        <f>'Vehicle Share Diversion Support'!K88*'Vehicle Share Diversion Support'!K108</f>
        <v>0</v>
      </c>
      <c r="L181" s="90">
        <f>'Vehicle Share Diversion Support'!L88*'Vehicle Share Diversion Support'!L108</f>
        <v>0</v>
      </c>
      <c r="M181" s="90">
        <f>'Vehicle Share Diversion Support'!M88*'Vehicle Share Diversion Support'!M108</f>
        <v>0</v>
      </c>
      <c r="N181" s="90">
        <f>'Vehicle Share Diversion Support'!N88*'Vehicle Share Diversion Support'!N108</f>
        <v>0</v>
      </c>
      <c r="O181" s="90">
        <f>'Vehicle Share Diversion Support'!O88*'Vehicle Share Diversion Support'!O108</f>
        <v>0</v>
      </c>
      <c r="P181" s="56">
        <f>'Vehicle Share Diversion Support'!P88*'Vehicle Share Diversion Support'!P108</f>
        <v>0</v>
      </c>
      <c r="Q181" s="56">
        <f>'Vehicle Share Diversion Support'!Q88*'Vehicle Share Diversion Support'!Q108</f>
        <v>0</v>
      </c>
      <c r="R181" s="57">
        <f>'Vehicle Share Diversion Support'!R88*'Vehicle Share Diversion Support'!R108</f>
        <v>0</v>
      </c>
    </row>
    <row r="182" spans="3:18" ht="16" x14ac:dyDescent="0.2">
      <c r="C182" s="24" t="s">
        <v>3</v>
      </c>
      <c r="D182" s="89">
        <v>0</v>
      </c>
      <c r="E182" s="90">
        <v>0</v>
      </c>
      <c r="F182" s="90">
        <v>0</v>
      </c>
      <c r="G182" s="90">
        <v>0</v>
      </c>
      <c r="H182" s="90">
        <v>0</v>
      </c>
      <c r="I182" s="90">
        <v>0</v>
      </c>
      <c r="J182" s="90">
        <f>'Vehicle Share Diversion Support'!J89*'Vehicle Share Diversion Support'!J109</f>
        <v>0</v>
      </c>
      <c r="K182" s="90">
        <f>'Vehicle Share Diversion Support'!K89*'Vehicle Share Diversion Support'!K109</f>
        <v>0</v>
      </c>
      <c r="L182" s="90">
        <f>'Vehicle Share Diversion Support'!L89*'Vehicle Share Diversion Support'!L109</f>
        <v>0</v>
      </c>
      <c r="M182" s="90">
        <f>'Vehicle Share Diversion Support'!M89*'Vehicle Share Diversion Support'!M109</f>
        <v>0</v>
      </c>
      <c r="N182" s="90">
        <f>'Vehicle Share Diversion Support'!N89*'Vehicle Share Diversion Support'!N109</f>
        <v>0</v>
      </c>
      <c r="O182" s="90">
        <f>'Vehicle Share Diversion Support'!O89*'Vehicle Share Diversion Support'!O109</f>
        <v>0</v>
      </c>
      <c r="P182" s="56">
        <f>'Vehicle Share Diversion Support'!P89*'Vehicle Share Diversion Support'!P109</f>
        <v>0</v>
      </c>
      <c r="Q182" s="56">
        <f>'Vehicle Share Diversion Support'!Q89*'Vehicle Share Diversion Support'!Q109</f>
        <v>0</v>
      </c>
      <c r="R182" s="57">
        <f>'Vehicle Share Diversion Support'!R89*'Vehicle Share Diversion Support'!R109</f>
        <v>0</v>
      </c>
    </row>
    <row r="183" spans="3:18" ht="16" x14ac:dyDescent="0.2">
      <c r="C183" s="24" t="s">
        <v>4</v>
      </c>
      <c r="D183" s="89">
        <v>0</v>
      </c>
      <c r="E183" s="90">
        <v>0</v>
      </c>
      <c r="F183" s="90">
        <v>0</v>
      </c>
      <c r="G183" s="90">
        <v>0</v>
      </c>
      <c r="H183" s="90">
        <v>0</v>
      </c>
      <c r="I183" s="90">
        <v>0</v>
      </c>
      <c r="J183" s="90">
        <f>'Vehicle Share Diversion Support'!J90*'Vehicle Share Diversion Support'!J110</f>
        <v>0</v>
      </c>
      <c r="K183" s="90">
        <f>'Vehicle Share Diversion Support'!K90*'Vehicle Share Diversion Support'!K110</f>
        <v>0</v>
      </c>
      <c r="L183" s="90">
        <f>'Vehicle Share Diversion Support'!L90*'Vehicle Share Diversion Support'!L110</f>
        <v>0</v>
      </c>
      <c r="M183" s="90">
        <f>'Vehicle Share Diversion Support'!M90*'Vehicle Share Diversion Support'!M110</f>
        <v>0</v>
      </c>
      <c r="N183" s="90">
        <f>'Vehicle Share Diversion Support'!N90*'Vehicle Share Diversion Support'!N110</f>
        <v>0</v>
      </c>
      <c r="O183" s="90">
        <f>'Vehicle Share Diversion Support'!O90*'Vehicle Share Diversion Support'!O110</f>
        <v>0</v>
      </c>
      <c r="P183" s="56">
        <f>'Vehicle Share Diversion Support'!P90*'Vehicle Share Diversion Support'!P110</f>
        <v>0</v>
      </c>
      <c r="Q183" s="56">
        <f>'Vehicle Share Diversion Support'!Q90*'Vehicle Share Diversion Support'!Q110</f>
        <v>0</v>
      </c>
      <c r="R183" s="57">
        <f>'Vehicle Share Diversion Support'!R90*'Vehicle Share Diversion Support'!R110</f>
        <v>0</v>
      </c>
    </row>
    <row r="184" spans="3:18" ht="16" x14ac:dyDescent="0.2">
      <c r="C184" s="24" t="s">
        <v>5</v>
      </c>
      <c r="D184" s="89">
        <v>0</v>
      </c>
      <c r="E184" s="90">
        <v>0</v>
      </c>
      <c r="F184" s="90">
        <v>0</v>
      </c>
      <c r="G184" s="90">
        <v>0</v>
      </c>
      <c r="H184" s="90">
        <v>0</v>
      </c>
      <c r="I184" s="90">
        <v>0</v>
      </c>
      <c r="J184" s="90">
        <f>'Vehicle Share Diversion Support'!J91*'Vehicle Share Diversion Support'!J111</f>
        <v>0</v>
      </c>
      <c r="K184" s="90">
        <f>'Vehicle Share Diversion Support'!K91*'Vehicle Share Diversion Support'!K111</f>
        <v>0</v>
      </c>
      <c r="L184" s="90">
        <f>'Vehicle Share Diversion Support'!L91*'Vehicle Share Diversion Support'!L111</f>
        <v>0</v>
      </c>
      <c r="M184" s="90">
        <f>'Vehicle Share Diversion Support'!M91*'Vehicle Share Diversion Support'!M111</f>
        <v>0</v>
      </c>
      <c r="N184" s="90">
        <f>'Vehicle Share Diversion Support'!N91*'Vehicle Share Diversion Support'!N111</f>
        <v>0</v>
      </c>
      <c r="O184" s="90">
        <f>'Vehicle Share Diversion Support'!O91*'Vehicle Share Diversion Support'!O111</f>
        <v>0</v>
      </c>
      <c r="P184" s="56">
        <f>'Vehicle Share Diversion Support'!P91*'Vehicle Share Diversion Support'!P111</f>
        <v>0</v>
      </c>
      <c r="Q184" s="56">
        <f>'Vehicle Share Diversion Support'!Q91*'Vehicle Share Diversion Support'!Q111</f>
        <v>0</v>
      </c>
      <c r="R184" s="57">
        <f>'Vehicle Share Diversion Support'!R91*'Vehicle Share Diversion Support'!R111</f>
        <v>0</v>
      </c>
    </row>
    <row r="185" spans="3:18" ht="16" x14ac:dyDescent="0.2">
      <c r="C185" s="24" t="s">
        <v>6</v>
      </c>
      <c r="D185" s="89">
        <v>0</v>
      </c>
      <c r="E185" s="90">
        <v>0</v>
      </c>
      <c r="F185" s="90">
        <v>0</v>
      </c>
      <c r="G185" s="90">
        <v>0</v>
      </c>
      <c r="H185" s="90">
        <v>0</v>
      </c>
      <c r="I185" s="90">
        <v>0</v>
      </c>
      <c r="J185" s="90">
        <f>'Vehicle Share Diversion Support'!J92*'Vehicle Share Diversion Support'!J112</f>
        <v>0</v>
      </c>
      <c r="K185" s="90">
        <f>'Vehicle Share Diversion Support'!K92*'Vehicle Share Diversion Support'!K112</f>
        <v>0</v>
      </c>
      <c r="L185" s="90">
        <f>'Vehicle Share Diversion Support'!L92*'Vehicle Share Diversion Support'!L112</f>
        <v>0</v>
      </c>
      <c r="M185" s="90">
        <f>'Vehicle Share Diversion Support'!M92*'Vehicle Share Diversion Support'!M112</f>
        <v>0</v>
      </c>
      <c r="N185" s="90">
        <f>'Vehicle Share Diversion Support'!N92*'Vehicle Share Diversion Support'!N112</f>
        <v>0</v>
      </c>
      <c r="O185" s="90">
        <f>'Vehicle Share Diversion Support'!O92*'Vehicle Share Diversion Support'!O112</f>
        <v>0</v>
      </c>
      <c r="P185" s="56">
        <f>'Vehicle Share Diversion Support'!P92*'Vehicle Share Diversion Support'!P112</f>
        <v>0</v>
      </c>
      <c r="Q185" s="56">
        <f>'Vehicle Share Diversion Support'!Q92*'Vehicle Share Diversion Support'!Q112</f>
        <v>0</v>
      </c>
      <c r="R185" s="57">
        <f>'Vehicle Share Diversion Support'!R92*'Vehicle Share Diversion Support'!R112</f>
        <v>0</v>
      </c>
    </row>
    <row r="186" spans="3:18" ht="16" x14ac:dyDescent="0.2">
      <c r="C186" s="24" t="s">
        <v>7</v>
      </c>
      <c r="D186" s="89">
        <v>0</v>
      </c>
      <c r="E186" s="90">
        <v>0</v>
      </c>
      <c r="F186" s="90">
        <v>0</v>
      </c>
      <c r="G186" s="90">
        <v>0</v>
      </c>
      <c r="H186" s="90">
        <v>0</v>
      </c>
      <c r="I186" s="90">
        <v>0</v>
      </c>
      <c r="J186" s="90">
        <f>'Vehicle Share Diversion Support'!J93*'Vehicle Share Diversion Support'!J113</f>
        <v>0</v>
      </c>
      <c r="K186" s="90">
        <f>'Vehicle Share Diversion Support'!K93*'Vehicle Share Diversion Support'!K113</f>
        <v>0</v>
      </c>
      <c r="L186" s="90">
        <f>'Vehicle Share Diversion Support'!L93*'Vehicle Share Diversion Support'!L113</f>
        <v>0</v>
      </c>
      <c r="M186" s="90">
        <f>'Vehicle Share Diversion Support'!M93*'Vehicle Share Diversion Support'!M113</f>
        <v>0</v>
      </c>
      <c r="N186" s="90">
        <f>'Vehicle Share Diversion Support'!N93*'Vehicle Share Diversion Support'!N113</f>
        <v>0</v>
      </c>
      <c r="O186" s="90">
        <f>'Vehicle Share Diversion Support'!O93*'Vehicle Share Diversion Support'!O113</f>
        <v>0</v>
      </c>
      <c r="P186" s="56">
        <f>'Vehicle Share Diversion Support'!P93*'Vehicle Share Diversion Support'!P113</f>
        <v>0</v>
      </c>
      <c r="Q186" s="56">
        <f>'Vehicle Share Diversion Support'!Q93*'Vehicle Share Diversion Support'!Q113</f>
        <v>0</v>
      </c>
      <c r="R186" s="57">
        <f>'Vehicle Share Diversion Support'!R93*'Vehicle Share Diversion Support'!R113</f>
        <v>0</v>
      </c>
    </row>
    <row r="187" spans="3:18" ht="16" x14ac:dyDescent="0.2">
      <c r="C187" s="24" t="s">
        <v>8</v>
      </c>
      <c r="D187" s="89">
        <v>0</v>
      </c>
      <c r="E187" s="90">
        <v>0</v>
      </c>
      <c r="F187" s="90">
        <v>0</v>
      </c>
      <c r="G187" s="90">
        <v>0</v>
      </c>
      <c r="H187" s="90">
        <v>0</v>
      </c>
      <c r="I187" s="90">
        <v>0</v>
      </c>
      <c r="J187" s="90">
        <f>'Vehicle Share Diversion Support'!J94*'Vehicle Share Diversion Support'!J114</f>
        <v>0</v>
      </c>
      <c r="K187" s="90">
        <f>'Vehicle Share Diversion Support'!K94*'Vehicle Share Diversion Support'!K114</f>
        <v>0</v>
      </c>
      <c r="L187" s="90">
        <f>'Vehicle Share Diversion Support'!L94*'Vehicle Share Diversion Support'!L114</f>
        <v>0</v>
      </c>
      <c r="M187" s="90">
        <f>'Vehicle Share Diversion Support'!M94*'Vehicle Share Diversion Support'!M114</f>
        <v>0</v>
      </c>
      <c r="N187" s="90">
        <f>'Vehicle Share Diversion Support'!N94*'Vehicle Share Diversion Support'!N114</f>
        <v>0</v>
      </c>
      <c r="O187" s="90">
        <f>'Vehicle Share Diversion Support'!O94*'Vehicle Share Diversion Support'!O114</f>
        <v>0</v>
      </c>
      <c r="P187" s="56">
        <f>'Vehicle Share Diversion Support'!P94*'Vehicle Share Diversion Support'!P114</f>
        <v>0</v>
      </c>
      <c r="Q187" s="56">
        <f>'Vehicle Share Diversion Support'!Q94*'Vehicle Share Diversion Support'!Q114</f>
        <v>0</v>
      </c>
      <c r="R187" s="57">
        <f>'Vehicle Share Diversion Support'!R94*'Vehicle Share Diversion Support'!R114</f>
        <v>0</v>
      </c>
    </row>
    <row r="188" spans="3:18" ht="16" x14ac:dyDescent="0.2">
      <c r="C188" s="24" t="s">
        <v>9</v>
      </c>
      <c r="D188" s="89">
        <v>0</v>
      </c>
      <c r="E188" s="90">
        <v>0</v>
      </c>
      <c r="F188" s="90">
        <v>0</v>
      </c>
      <c r="G188" s="90">
        <v>0</v>
      </c>
      <c r="H188" s="90">
        <v>0</v>
      </c>
      <c r="I188" s="90">
        <v>0</v>
      </c>
      <c r="J188" s="90">
        <f>'Vehicle Share Diversion Support'!J95*'Vehicle Share Diversion Support'!J115</f>
        <v>0</v>
      </c>
      <c r="K188" s="90">
        <f>'Vehicle Share Diversion Support'!K95*'Vehicle Share Diversion Support'!K115</f>
        <v>0</v>
      </c>
      <c r="L188" s="90">
        <f>'Vehicle Share Diversion Support'!L95*'Vehicle Share Diversion Support'!L115</f>
        <v>0</v>
      </c>
      <c r="M188" s="90">
        <f>'Vehicle Share Diversion Support'!M95*'Vehicle Share Diversion Support'!M115</f>
        <v>0</v>
      </c>
      <c r="N188" s="90">
        <f>'Vehicle Share Diversion Support'!N95*'Vehicle Share Diversion Support'!N115</f>
        <v>0</v>
      </c>
      <c r="O188" s="90">
        <f>'Vehicle Share Diversion Support'!O95*'Vehicle Share Diversion Support'!O115</f>
        <v>0</v>
      </c>
      <c r="P188" s="56">
        <f>'Vehicle Share Diversion Support'!P95*'Vehicle Share Diversion Support'!P115</f>
        <v>0</v>
      </c>
      <c r="Q188" s="56">
        <f>'Vehicle Share Diversion Support'!Q95*'Vehicle Share Diversion Support'!Q115</f>
        <v>0</v>
      </c>
      <c r="R188" s="57">
        <f>'Vehicle Share Diversion Support'!R95*'Vehicle Share Diversion Support'!R115</f>
        <v>0</v>
      </c>
    </row>
    <row r="189" spans="3:18" ht="16" x14ac:dyDescent="0.2">
      <c r="C189" s="24" t="s">
        <v>10</v>
      </c>
      <c r="D189" s="89">
        <v>0</v>
      </c>
      <c r="E189" s="90">
        <v>0</v>
      </c>
      <c r="F189" s="90">
        <v>0</v>
      </c>
      <c r="G189" s="90">
        <v>0</v>
      </c>
      <c r="H189" s="90">
        <v>0</v>
      </c>
      <c r="I189" s="90">
        <v>0</v>
      </c>
      <c r="J189" s="90">
        <f>'Vehicle Share Diversion Support'!J96*'Vehicle Share Diversion Support'!J116</f>
        <v>0</v>
      </c>
      <c r="K189" s="90">
        <f>'Vehicle Share Diversion Support'!K96*'Vehicle Share Diversion Support'!K116</f>
        <v>0</v>
      </c>
      <c r="L189" s="90">
        <f>'Vehicle Share Diversion Support'!L96*'Vehicle Share Diversion Support'!L116</f>
        <v>0</v>
      </c>
      <c r="M189" s="90">
        <f>'Vehicle Share Diversion Support'!M96*'Vehicle Share Diversion Support'!M116</f>
        <v>0</v>
      </c>
      <c r="N189" s="90">
        <f>'Vehicle Share Diversion Support'!N96*'Vehicle Share Diversion Support'!N116</f>
        <v>0</v>
      </c>
      <c r="O189" s="90">
        <f>'Vehicle Share Diversion Support'!O96*'Vehicle Share Diversion Support'!O116</f>
        <v>0</v>
      </c>
      <c r="P189" s="56">
        <f>'Vehicle Share Diversion Support'!P96*'Vehicle Share Diversion Support'!P116</f>
        <v>0</v>
      </c>
      <c r="Q189" s="56">
        <f>'Vehicle Share Diversion Support'!Q96*'Vehicle Share Diversion Support'!Q116</f>
        <v>0</v>
      </c>
      <c r="R189" s="57">
        <f>'Vehicle Share Diversion Support'!R96*'Vehicle Share Diversion Support'!R116</f>
        <v>0</v>
      </c>
    </row>
    <row r="190" spans="3:18" ht="16" x14ac:dyDescent="0.2">
      <c r="C190" s="24" t="s">
        <v>11</v>
      </c>
      <c r="D190" s="89">
        <v>0</v>
      </c>
      <c r="E190" s="90">
        <v>0</v>
      </c>
      <c r="F190" s="90">
        <v>0</v>
      </c>
      <c r="G190" s="90">
        <v>0</v>
      </c>
      <c r="H190" s="90">
        <v>0</v>
      </c>
      <c r="I190" s="90">
        <v>0</v>
      </c>
      <c r="J190" s="90">
        <f>'Vehicle Share Diversion Support'!J97*'Vehicle Share Diversion Support'!J117</f>
        <v>0</v>
      </c>
      <c r="K190" s="90">
        <f>'Vehicle Share Diversion Support'!K97*'Vehicle Share Diversion Support'!K117</f>
        <v>0</v>
      </c>
      <c r="L190" s="90">
        <f>'Vehicle Share Diversion Support'!L97*'Vehicle Share Diversion Support'!L117</f>
        <v>0</v>
      </c>
      <c r="M190" s="90">
        <f>'Vehicle Share Diversion Support'!M97*'Vehicle Share Diversion Support'!M117</f>
        <v>0</v>
      </c>
      <c r="N190" s="90">
        <f>'Vehicle Share Diversion Support'!N97*'Vehicle Share Diversion Support'!N117</f>
        <v>0</v>
      </c>
      <c r="O190" s="90">
        <f>'Vehicle Share Diversion Support'!O97*'Vehicle Share Diversion Support'!O117</f>
        <v>0</v>
      </c>
      <c r="P190" s="56">
        <f>'Vehicle Share Diversion Support'!P97*'Vehicle Share Diversion Support'!P117</f>
        <v>0</v>
      </c>
      <c r="Q190" s="56">
        <f>'Vehicle Share Diversion Support'!Q97*'Vehicle Share Diversion Support'!Q117</f>
        <v>0</v>
      </c>
      <c r="R190" s="57">
        <f>'Vehicle Share Diversion Support'!R97*'Vehicle Share Diversion Support'!R117</f>
        <v>0</v>
      </c>
    </row>
    <row r="191" spans="3:18" ht="16" x14ac:dyDescent="0.2">
      <c r="C191" s="24" t="s">
        <v>12</v>
      </c>
      <c r="D191" s="89">
        <v>0</v>
      </c>
      <c r="E191" s="90">
        <v>0</v>
      </c>
      <c r="F191" s="90">
        <v>0</v>
      </c>
      <c r="G191" s="90">
        <v>0</v>
      </c>
      <c r="H191" s="90">
        <v>0</v>
      </c>
      <c r="I191" s="90">
        <v>0</v>
      </c>
      <c r="J191" s="90">
        <f>'Vehicle Share Diversion Support'!J98*'Vehicle Share Diversion Support'!J118</f>
        <v>0</v>
      </c>
      <c r="K191" s="90">
        <f>'Vehicle Share Diversion Support'!K98*'Vehicle Share Diversion Support'!K118</f>
        <v>0</v>
      </c>
      <c r="L191" s="90">
        <f>'Vehicle Share Diversion Support'!L98*'Vehicle Share Diversion Support'!L118</f>
        <v>0</v>
      </c>
      <c r="M191" s="90">
        <f>'Vehicle Share Diversion Support'!M98*'Vehicle Share Diversion Support'!M118</f>
        <v>0</v>
      </c>
      <c r="N191" s="90">
        <f>'Vehicle Share Diversion Support'!N98*'Vehicle Share Diversion Support'!N118</f>
        <v>0</v>
      </c>
      <c r="O191" s="90">
        <f>'Vehicle Share Diversion Support'!O98*'Vehicle Share Diversion Support'!O118</f>
        <v>0</v>
      </c>
      <c r="P191" s="56">
        <f>'Vehicle Share Diversion Support'!P98*'Vehicle Share Diversion Support'!P118</f>
        <v>0</v>
      </c>
      <c r="Q191" s="56">
        <f>'Vehicle Share Diversion Support'!Q98*'Vehicle Share Diversion Support'!Q118</f>
        <v>0</v>
      </c>
      <c r="R191" s="57">
        <f>'Vehicle Share Diversion Support'!R98*'Vehicle Share Diversion Support'!R118</f>
        <v>0</v>
      </c>
    </row>
    <row r="192" spans="3:18" ht="17" thickBot="1" x14ac:dyDescent="0.25">
      <c r="C192" s="25" t="s">
        <v>13</v>
      </c>
      <c r="D192" s="91">
        <v>0</v>
      </c>
      <c r="E192" s="92">
        <v>0</v>
      </c>
      <c r="F192" s="92">
        <v>0</v>
      </c>
      <c r="G192" s="92">
        <v>0</v>
      </c>
      <c r="H192" s="92">
        <v>0</v>
      </c>
      <c r="I192" s="92">
        <v>0</v>
      </c>
      <c r="J192" s="92">
        <f>'Vehicle Share Diversion Support'!J99*'Vehicle Share Diversion Support'!J119</f>
        <v>0</v>
      </c>
      <c r="K192" s="92">
        <f>'Vehicle Share Diversion Support'!K99*'Vehicle Share Diversion Support'!K119</f>
        <v>0</v>
      </c>
      <c r="L192" s="92">
        <f>'Vehicle Share Diversion Support'!L99*'Vehicle Share Diversion Support'!L119</f>
        <v>0</v>
      </c>
      <c r="M192" s="92">
        <f>'Vehicle Share Diversion Support'!M99*'Vehicle Share Diversion Support'!M119</f>
        <v>0</v>
      </c>
      <c r="N192" s="92">
        <f>'Vehicle Share Diversion Support'!N99*'Vehicle Share Diversion Support'!N119</f>
        <v>0</v>
      </c>
      <c r="O192" s="92">
        <f>'Vehicle Share Diversion Support'!O99*'Vehicle Share Diversion Support'!O119</f>
        <v>0</v>
      </c>
      <c r="P192" s="59">
        <f>'Vehicle Share Diversion Support'!P99*'Vehicle Share Diversion Support'!P119</f>
        <v>0</v>
      </c>
      <c r="Q192" s="59">
        <f>'Vehicle Share Diversion Support'!Q99*'Vehicle Share Diversion Support'!Q119</f>
        <v>0</v>
      </c>
      <c r="R192" s="60">
        <f>'Vehicle Share Diversion Support'!R99*'Vehicle Share Diversion Support'!R119</f>
        <v>0</v>
      </c>
    </row>
    <row r="193" spans="3:18" ht="19" thickTop="1" thickBot="1" x14ac:dyDescent="0.25">
      <c r="C193" s="31" t="s">
        <v>24</v>
      </c>
      <c r="D193" s="93">
        <f>SUM(D179:D192)</f>
        <v>0</v>
      </c>
      <c r="E193" s="94">
        <f t="shared" ref="E193:O193" si="76">SUM(E179:E192)</f>
        <v>0</v>
      </c>
      <c r="F193" s="94">
        <f t="shared" si="76"/>
        <v>0</v>
      </c>
      <c r="G193" s="94">
        <f t="shared" si="76"/>
        <v>0</v>
      </c>
      <c r="H193" s="94">
        <f t="shared" si="76"/>
        <v>0</v>
      </c>
      <c r="I193" s="94">
        <f t="shared" si="76"/>
        <v>0</v>
      </c>
      <c r="J193" s="94">
        <f t="shared" ref="J193" si="77">SUM(J179:J192)</f>
        <v>0</v>
      </c>
      <c r="K193" s="94">
        <f t="shared" si="76"/>
        <v>0</v>
      </c>
      <c r="L193" s="94">
        <f t="shared" si="76"/>
        <v>0</v>
      </c>
      <c r="M193" s="94">
        <f t="shared" si="76"/>
        <v>0</v>
      </c>
      <c r="N193" s="94">
        <f t="shared" si="76"/>
        <v>0</v>
      </c>
      <c r="O193" s="94">
        <f t="shared" si="76"/>
        <v>0</v>
      </c>
      <c r="P193" s="94">
        <f t="shared" ref="P193:R193" si="78">SUM(P179:P192)</f>
        <v>0</v>
      </c>
      <c r="Q193" s="94">
        <f t="shared" si="78"/>
        <v>0</v>
      </c>
      <c r="R193" s="95">
        <f t="shared" si="78"/>
        <v>0</v>
      </c>
    </row>
    <row r="194" spans="3:18" ht="17" thickTop="1" x14ac:dyDescent="0.2">
      <c r="C194" s="154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  <c r="N194" s="129"/>
      <c r="O194" s="129"/>
    </row>
    <row r="195" spans="3:18" ht="16" x14ac:dyDescent="0.2">
      <c r="C195" s="128"/>
      <c r="D195" s="167"/>
    </row>
    <row r="196" spans="3:18" ht="17" thickBot="1" x14ac:dyDescent="0.25">
      <c r="C196" s="170"/>
      <c r="D196" s="171"/>
    </row>
    <row r="197" spans="3:18" ht="17" thickTop="1" x14ac:dyDescent="0.2">
      <c r="C197" s="32" t="s">
        <v>151</v>
      </c>
      <c r="D197" s="33"/>
      <c r="E197" s="33"/>
      <c r="F197" s="33"/>
      <c r="G197" s="33"/>
      <c r="H197" s="33"/>
      <c r="I197" s="33"/>
      <c r="J197" s="33"/>
      <c r="K197" s="34"/>
      <c r="L197" s="34"/>
      <c r="M197" s="34"/>
      <c r="N197" s="34"/>
      <c r="O197" s="34"/>
      <c r="P197" s="34"/>
      <c r="Q197" s="34"/>
      <c r="R197" s="35"/>
    </row>
    <row r="198" spans="3:18" ht="14" thickBot="1" x14ac:dyDescent="0.2">
      <c r="C198" s="36"/>
      <c r="D198" s="37" t="s">
        <v>25</v>
      </c>
      <c r="E198" s="37" t="s">
        <v>37</v>
      </c>
      <c r="F198" s="37" t="s">
        <v>38</v>
      </c>
      <c r="G198" s="37" t="s">
        <v>177</v>
      </c>
      <c r="H198" s="37" t="s">
        <v>178</v>
      </c>
      <c r="I198" s="37" t="s">
        <v>26</v>
      </c>
      <c r="J198" s="37"/>
      <c r="K198" s="37" t="s">
        <v>27</v>
      </c>
      <c r="L198" s="37" t="s">
        <v>28</v>
      </c>
      <c r="M198" s="37" t="s">
        <v>29</v>
      </c>
      <c r="N198" s="37" t="s">
        <v>30</v>
      </c>
      <c r="O198" s="37" t="s">
        <v>31</v>
      </c>
      <c r="P198" s="37" t="s">
        <v>174</v>
      </c>
      <c r="Q198" s="37" t="s">
        <v>175</v>
      </c>
      <c r="R198" s="38" t="s">
        <v>176</v>
      </c>
    </row>
    <row r="199" spans="3:18" ht="15" thickTop="1" thickBot="1" x14ac:dyDescent="0.2">
      <c r="C199" s="18"/>
      <c r="D199" s="65" t="s">
        <v>39</v>
      </c>
      <c r="E199" s="65" t="s">
        <v>39</v>
      </c>
      <c r="F199" s="71" t="s">
        <v>39</v>
      </c>
      <c r="G199" s="65" t="s">
        <v>39</v>
      </c>
      <c r="H199" s="65" t="s">
        <v>39</v>
      </c>
      <c r="I199" s="65" t="s">
        <v>39</v>
      </c>
      <c r="J199" s="65"/>
      <c r="K199" s="65" t="s">
        <v>32</v>
      </c>
      <c r="L199" s="65" t="s">
        <v>32</v>
      </c>
      <c r="M199" s="65" t="s">
        <v>32</v>
      </c>
      <c r="N199" s="65" t="s">
        <v>32</v>
      </c>
      <c r="O199" s="65" t="s">
        <v>32</v>
      </c>
      <c r="P199" s="65" t="s">
        <v>32</v>
      </c>
      <c r="Q199" s="65" t="s">
        <v>32</v>
      </c>
      <c r="R199" s="66" t="s">
        <v>32</v>
      </c>
    </row>
    <row r="200" spans="3:18" ht="17" thickTop="1" x14ac:dyDescent="0.2">
      <c r="C200" s="27" t="s">
        <v>0</v>
      </c>
      <c r="D200" s="86"/>
      <c r="E200" s="87"/>
      <c r="G200" s="87"/>
      <c r="H200" s="34"/>
      <c r="J200" s="87">
        <v>1</v>
      </c>
      <c r="K200" s="87">
        <f>$J200*('[12]Regional GDP'!K7/'[12]Regional GDP'!$I7)*('Household Vehicle Occupancy'!$I89/'Household Vehicle Occupancy'!K89)</f>
        <v>1.0917882396106258</v>
      </c>
      <c r="L200" s="87">
        <f>$J200*('[12]Regional GDP'!L7/'[12]Regional GDP'!$I7)*('Household Vehicle Occupancy'!$I89/'Household Vehicle Occupancy'!L89)</f>
        <v>1.2387955224700278</v>
      </c>
      <c r="M200" s="87">
        <f>$J200*('[12]Regional GDP'!M7/'[12]Regional GDP'!$I7)*('Household Vehicle Occupancy'!$I89/'Household Vehicle Occupancy'!M89)</f>
        <v>1.3530821544817249</v>
      </c>
      <c r="N200" s="87">
        <f>$J200*('[12]Regional GDP'!N7/'[12]Regional GDP'!$I7)*('Household Vehicle Occupancy'!$I89/'Household Vehicle Occupancy'!N89)</f>
        <v>1.4578066151357154</v>
      </c>
      <c r="O200" s="87">
        <f>$J200*('[12]Regional GDP'!O7/'[12]Regional GDP'!$I7)*('Household Vehicle Occupancy'!$I89/'Household Vehicle Occupancy'!O89)</f>
        <v>1.5687583868304416</v>
      </c>
      <c r="P200" s="87">
        <f>$J200*('[12]Regional GDP'!P7/'[12]Regional GDP'!$I7)*('Household Vehicle Occupancy'!$I89/'Household Vehicle Occupancy'!P89)</f>
        <v>1.6748127338492209</v>
      </c>
      <c r="Q200" s="87">
        <f>$J200*('[12]Regional GDP'!Q7/'[12]Regional GDP'!$I7)*('Household Vehicle Occupancy'!$I89/'Household Vehicle Occupancy'!Q89)</f>
        <v>1.7732340354782405</v>
      </c>
      <c r="R200" s="88">
        <f>$J200*('[12]Regional GDP'!R7/'[12]Regional GDP'!$I7)*('Household Vehicle Occupancy'!$I89/'Household Vehicle Occupancy'!R89)</f>
        <v>1.8585228189345178</v>
      </c>
    </row>
    <row r="201" spans="3:18" ht="16" x14ac:dyDescent="0.2">
      <c r="C201" s="24" t="s">
        <v>1</v>
      </c>
      <c r="D201" s="89"/>
      <c r="E201" s="90"/>
      <c r="G201" s="90"/>
      <c r="J201" s="90">
        <v>1</v>
      </c>
      <c r="K201" s="90">
        <f>$J201*('[12]Regional GDP'!K8/'[12]Regional GDP'!$I8)*('Household Vehicle Occupancy'!$I90/'Household Vehicle Occupancy'!K90)</f>
        <v>1.1503791492673907</v>
      </c>
      <c r="L201" s="90">
        <f>$J201*('[12]Regional GDP'!L8/'[12]Regional GDP'!$I8)*('Household Vehicle Occupancy'!$I90/'Household Vehicle Occupancy'!L90)</f>
        <v>1.361821925941505</v>
      </c>
      <c r="M201" s="90">
        <f>$J201*('[12]Regional GDP'!M8/'[12]Regional GDP'!$I8)*('Household Vehicle Occupancy'!$I90/'Household Vehicle Occupancy'!M90)</f>
        <v>1.5478263247917428</v>
      </c>
      <c r="N201" s="90">
        <f>$J201*('[12]Regional GDP'!N8/'[12]Regional GDP'!$I8)*('Household Vehicle Occupancy'!$I90/'Household Vehicle Occupancy'!N90)</f>
        <v>1.7333983607834957</v>
      </c>
      <c r="O201" s="90">
        <f>$J201*('[12]Regional GDP'!O8/'[12]Regional GDP'!$I8)*('Household Vehicle Occupancy'!$I90/'Household Vehicle Occupancy'!O90)</f>
        <v>1.9381861616667868</v>
      </c>
      <c r="P201" s="56">
        <f>$J201*('[12]Regional GDP'!P8/'[12]Regional GDP'!$I8)*('Household Vehicle Occupancy'!$I90/'Household Vehicle Occupancy'!P90)</f>
        <v>2.1507589414874873</v>
      </c>
      <c r="Q201" s="56">
        <f>$J201*('[12]Regional GDP'!Q8/'[12]Regional GDP'!$I8)*('Household Vehicle Occupancy'!$I90/'Household Vehicle Occupancy'!Q90)</f>
        <v>2.3670425239120818</v>
      </c>
      <c r="R201" s="57">
        <f>$J201*('[12]Regional GDP'!R8/'[12]Regional GDP'!$I8)*('Household Vehicle Occupancy'!$I90/'Household Vehicle Occupancy'!R90)</f>
        <v>2.5791926861228416</v>
      </c>
    </row>
    <row r="202" spans="3:18" ht="16" x14ac:dyDescent="0.2">
      <c r="C202" s="24" t="s">
        <v>2</v>
      </c>
      <c r="D202" s="89"/>
      <c r="E202" s="90"/>
      <c r="G202" s="90"/>
      <c r="J202" s="90">
        <v>1</v>
      </c>
      <c r="K202" s="90">
        <f>$J202*('[12]Regional GDP'!K9/'[12]Regional GDP'!$I9)*('Household Vehicle Occupancy'!$I91/'Household Vehicle Occupancy'!K91)</f>
        <v>1.1066199339940674</v>
      </c>
      <c r="L202" s="90">
        <f>$J202*('[12]Regional GDP'!L9/'[12]Regional GDP'!$I9)*('Household Vehicle Occupancy'!$I91/'Household Vehicle Occupancy'!L91)</f>
        <v>1.2716183788203832</v>
      </c>
      <c r="M202" s="90">
        <f>$J202*('[12]Regional GDP'!M9/'[12]Regional GDP'!$I9)*('Household Vehicle Occupancy'!$I91/'Household Vehicle Occupancy'!M91)</f>
        <v>1.408330379922951</v>
      </c>
      <c r="N202" s="90">
        <f>$J202*('[12]Regional GDP'!N9/'[12]Regional GDP'!$I9)*('Household Vehicle Occupancy'!$I91/'Household Vehicle Occupancy'!N91)</f>
        <v>1.539782184610063</v>
      </c>
      <c r="O202" s="90">
        <f>$J202*('[12]Regional GDP'!O9/'[12]Regional GDP'!$I9)*('Household Vehicle Occupancy'!$I91/'Household Vehicle Occupancy'!O91)</f>
        <v>1.6832179400176648</v>
      </c>
      <c r="P202" s="56">
        <f>$J202*('[12]Regional GDP'!P9/'[12]Regional GDP'!$I9)*('Household Vehicle Occupancy'!$I91/'Household Vehicle Occupancy'!P91)</f>
        <v>1.8266884351173345</v>
      </c>
      <c r="Q202" s="56">
        <f>$J202*('[12]Regional GDP'!Q9/'[12]Regional GDP'!$I9)*('Household Vehicle Occupancy'!$I91/'Household Vehicle Occupancy'!Q91)</f>
        <v>1.9659764221413274</v>
      </c>
      <c r="R202" s="57">
        <f>$J202*('[12]Regional GDP'!R9/'[12]Regional GDP'!$I9)*('Household Vehicle Occupancy'!$I91/'Household Vehicle Occupancy'!R91)</f>
        <v>2.0945669180137951</v>
      </c>
    </row>
    <row r="203" spans="3:18" ht="16" x14ac:dyDescent="0.2">
      <c r="C203" s="24" t="s">
        <v>3</v>
      </c>
      <c r="D203" s="89"/>
      <c r="E203" s="90"/>
      <c r="G203" s="90"/>
      <c r="J203" s="90">
        <v>1</v>
      </c>
      <c r="K203" s="90">
        <f>$J203*('[12]Regional GDP'!K10/'[12]Regional GDP'!$I10)*('Household Vehicle Occupancy'!$I92/'Household Vehicle Occupancy'!K92)</f>
        <v>1.1007921460815842</v>
      </c>
      <c r="L203" s="90">
        <f>$J203*('[12]Regional GDP'!L10/'[12]Regional GDP'!$I10)*('Household Vehicle Occupancy'!$I92/'Household Vehicle Occupancy'!L92)</f>
        <v>1.2576404851094816</v>
      </c>
      <c r="M203" s="90">
        <f>$J203*('[12]Regional GDP'!M10/'[12]Regional GDP'!$I10)*('Household Vehicle Occupancy'!$I92/'Household Vehicle Occupancy'!M92)</f>
        <v>1.3853404498616386</v>
      </c>
      <c r="N203" s="90">
        <f>$J203*('[12]Regional GDP'!N10/'[12]Regional GDP'!$I10)*('Household Vehicle Occupancy'!$I92/'Household Vehicle Occupancy'!N92)</f>
        <v>1.5054670869365656</v>
      </c>
      <c r="O203" s="90">
        <f>$J203*('[12]Regional GDP'!O10/'[12]Regional GDP'!$I10)*('Household Vehicle Occupancy'!$I92/'Household Vehicle Occupancy'!O92)</f>
        <v>1.6358865341473194</v>
      </c>
      <c r="P203" s="56">
        <f>$J203*('[12]Regional GDP'!P10/'[12]Regional GDP'!$I10)*('Household Vehicle Occupancy'!$I92/'Household Vehicle Occupancy'!P92)</f>
        <v>1.7632036578758825</v>
      </c>
      <c r="Q203" s="56">
        <f>$J203*('[12]Regional GDP'!Q10/'[12]Regional GDP'!$I10)*('Household Vehicle Occupancy'!$I92/'Household Vehicle Occupancy'!Q92)</f>
        <v>1.8846962389370665</v>
      </c>
      <c r="R203" s="57">
        <f>$J203*('[12]Regional GDP'!R10/'[12]Regional GDP'!$I10)*('Household Vehicle Occupancy'!$I92/'Household Vehicle Occupancy'!R92)</f>
        <v>1.9942622238569865</v>
      </c>
    </row>
    <row r="204" spans="3:18" ht="16" x14ac:dyDescent="0.2">
      <c r="C204" s="24" t="s">
        <v>4</v>
      </c>
      <c r="D204" s="89"/>
      <c r="E204" s="90"/>
      <c r="G204" s="90"/>
      <c r="J204" s="90">
        <v>1</v>
      </c>
      <c r="K204" s="90">
        <f>$J204*('[12]Regional GDP'!K11/'[12]Regional GDP'!$I11)*('Household Vehicle Occupancy'!$I93/'Household Vehicle Occupancy'!K93)</f>
        <v>1.0689311234460783</v>
      </c>
      <c r="L204" s="90">
        <f>$J204*('[12]Regional GDP'!L11/'[12]Regional GDP'!$I11)*('Household Vehicle Occupancy'!$I93/'Household Vehicle Occupancy'!L93)</f>
        <v>1.1934649716049592</v>
      </c>
      <c r="M204" s="90">
        <f>$J204*('[12]Regional GDP'!M11/'[12]Regional GDP'!$I11)*('Household Vehicle Occupancy'!$I93/'Household Vehicle Occupancy'!M93)</f>
        <v>1.2852728643062008</v>
      </c>
      <c r="N204" s="90">
        <f>$J204*('[12]Regional GDP'!N11/'[12]Regional GDP'!$I11)*('Household Vehicle Occupancy'!$I93/'Household Vehicle Occupancy'!N93)</f>
        <v>1.3639169452565192</v>
      </c>
      <c r="O204" s="90">
        <f>$J204*('[12]Regional GDP'!O11/'[12]Regional GDP'!$I11)*('Household Vehicle Occupancy'!$I93/'Household Vehicle Occupancy'!O93)</f>
        <v>1.4474742154998017</v>
      </c>
      <c r="P204" s="56">
        <f>$J204*('[12]Regional GDP'!P11/'[12]Regional GDP'!$I11)*('Household Vehicle Occupancy'!$I93/'Household Vehicle Occupancy'!P93)</f>
        <v>1.5235619955819852</v>
      </c>
      <c r="Q204" s="56">
        <f>$J204*('[12]Regional GDP'!Q11/'[12]Regional GDP'!$I11)*('Household Vehicle Occupancy'!$I93/'Household Vehicle Occupancy'!Q93)</f>
        <v>1.5903730169432533</v>
      </c>
      <c r="R204" s="57">
        <f>$J204*('[12]Regional GDP'!R11/'[12]Regional GDP'!$I11)*('Household Vehicle Occupancy'!$I93/'Household Vehicle Occupancy'!R93)</f>
        <v>1.6433870839402334</v>
      </c>
    </row>
    <row r="205" spans="3:18" ht="16" x14ac:dyDescent="0.2">
      <c r="C205" s="24" t="s">
        <v>5</v>
      </c>
      <c r="D205" s="89"/>
      <c r="E205" s="90"/>
      <c r="G205" s="90"/>
      <c r="J205" s="90">
        <v>1</v>
      </c>
      <c r="K205" s="90">
        <f>$J205*('[12]Regional GDP'!K12/'[12]Regional GDP'!$I12)*('Household Vehicle Occupancy'!$I94/'Household Vehicle Occupancy'!K94)</f>
        <v>1.0695141497098106</v>
      </c>
      <c r="L205" s="90">
        <f>$J205*('[12]Regional GDP'!L12/'[12]Regional GDP'!$I12)*('Household Vehicle Occupancy'!$I94/'Household Vehicle Occupancy'!L94)</f>
        <v>1.19671680845133</v>
      </c>
      <c r="M205" s="90">
        <f>$J205*('[12]Regional GDP'!M12/'[12]Regional GDP'!$I12)*('Household Vehicle Occupancy'!$I94/'Household Vehicle Occupancy'!M94)</f>
        <v>1.2900529844362332</v>
      </c>
      <c r="N205" s="90">
        <f>$J205*('[12]Regional GDP'!N12/'[12]Regional GDP'!$I12)*('Household Vehicle Occupancy'!$I94/'Household Vehicle Occupancy'!N94)</f>
        <v>1.3726889023917102</v>
      </c>
      <c r="O205" s="90">
        <f>$J205*('[12]Regional GDP'!O12/'[12]Regional GDP'!$I12)*('Household Vehicle Occupancy'!$I94/'Household Vehicle Occupancy'!O94)</f>
        <v>1.4596830891786918</v>
      </c>
      <c r="P205" s="56">
        <f>$J205*('[12]Regional GDP'!P12/'[12]Regional GDP'!$I12)*('Household Vehicle Occupancy'!$I94/'Household Vehicle Occupancy'!P94)</f>
        <v>1.5403087535483893</v>
      </c>
      <c r="Q205" s="56">
        <f>$J205*('[12]Regional GDP'!Q12/'[12]Regional GDP'!$I12)*('Household Vehicle Occupancy'!$I94/'Household Vehicle Occupancy'!Q94)</f>
        <v>1.6119316905073591</v>
      </c>
      <c r="R205" s="57">
        <f>$J205*('[12]Regional GDP'!R12/'[12]Regional GDP'!$I12)*('Household Vehicle Occupancy'!$I94/'Household Vehicle Occupancy'!R94)</f>
        <v>1.6698887776969027</v>
      </c>
    </row>
    <row r="206" spans="3:18" ht="16" x14ac:dyDescent="0.2">
      <c r="C206" s="24" t="s">
        <v>6</v>
      </c>
      <c r="D206" s="89"/>
      <c r="E206" s="90"/>
      <c r="G206" s="90"/>
      <c r="J206" s="90">
        <v>1</v>
      </c>
      <c r="K206" s="90">
        <f>$J206*('[12]Regional GDP'!K13/'[12]Regional GDP'!$I13)*('Household Vehicle Occupancy'!$I95/'Household Vehicle Occupancy'!K95)</f>
        <v>1.0792390677110764</v>
      </c>
      <c r="L206" s="90">
        <f>$J206*('[12]Regional GDP'!L13/'[12]Regional GDP'!$I13)*('Household Vehicle Occupancy'!$I95/'Household Vehicle Occupancy'!L95)</f>
        <v>1.2195518984110645</v>
      </c>
      <c r="M206" s="90">
        <f>$J206*('[12]Regional GDP'!M13/'[12]Regional GDP'!$I13)*('Household Vehicle Occupancy'!$I95/'Household Vehicle Occupancy'!M95)</f>
        <v>1.3293147055237282</v>
      </c>
      <c r="N206" s="90">
        <f>$J206*('[12]Regional GDP'!N13/'[12]Regional GDP'!$I13)*('Household Vehicle Occupancy'!$I95/'Household Vehicle Occupancy'!N95)</f>
        <v>1.4321553393097608</v>
      </c>
      <c r="O206" s="90">
        <f>$J206*('[12]Regional GDP'!O13/'[12]Regional GDP'!$I13)*('Household Vehicle Occupancy'!$I95/'Household Vehicle Occupancy'!O95)</f>
        <v>1.5442507053016941</v>
      </c>
      <c r="P206" s="56">
        <f>$J206*('[12]Regional GDP'!P13/'[12]Regional GDP'!$I13)*('Household Vehicle Occupancy'!$I95/'Household Vehicle Occupancy'!P95)</f>
        <v>1.6516254133927983</v>
      </c>
      <c r="Q206" s="56">
        <f>$J206*('[12]Regional GDP'!Q13/'[12]Regional GDP'!$I13)*('Household Vehicle Occupancy'!$I95/'Household Vehicle Occupancy'!Q95)</f>
        <v>1.7518418205718875</v>
      </c>
      <c r="R206" s="57">
        <f>$J206*('[12]Regional GDP'!R13/'[12]Regional GDP'!$I13)*('Household Vehicle Occupancy'!$I95/'Household Vehicle Occupancy'!R95)</f>
        <v>1.8394171679711888</v>
      </c>
    </row>
    <row r="207" spans="3:18" ht="16" x14ac:dyDescent="0.2">
      <c r="C207" s="24" t="s">
        <v>7</v>
      </c>
      <c r="D207" s="89"/>
      <c r="E207" s="90"/>
      <c r="G207" s="90"/>
      <c r="J207" s="90">
        <v>1</v>
      </c>
      <c r="K207" s="90">
        <f>$J207*('[12]Regional GDP'!K14/'[12]Regional GDP'!$I14)*('Household Vehicle Occupancy'!$I96/'Household Vehicle Occupancy'!K96)</f>
        <v>1.0651824830053342</v>
      </c>
      <c r="L207" s="90">
        <f>$J207*('[12]Regional GDP'!L14/'[12]Regional GDP'!$I14)*('Household Vehicle Occupancy'!$I96/'Household Vehicle Occupancy'!L96)</f>
        <v>1.1875208286572938</v>
      </c>
      <c r="M207" s="90">
        <f>$J207*('[12]Regional GDP'!M14/'[12]Regional GDP'!$I14)*('Household Vehicle Occupancy'!$I96/'Household Vehicle Occupancy'!M96)</f>
        <v>1.2767160751759341</v>
      </c>
      <c r="N207" s="90">
        <f>$J207*('[12]Regional GDP'!N14/'[12]Regional GDP'!$I14)*('Household Vehicle Occupancy'!$I96/'Household Vehicle Occupancy'!N96)</f>
        <v>1.3557004988660668</v>
      </c>
      <c r="O207" s="90">
        <f>$J207*('[12]Regional GDP'!O14/'[12]Regional GDP'!$I14)*('Household Vehicle Occupancy'!$I96/'Household Vehicle Occupancy'!O96)</f>
        <v>1.4389361038823982</v>
      </c>
      <c r="P207" s="56">
        <f>$J207*('[12]Regional GDP'!P14/'[12]Regional GDP'!$I14)*('Household Vehicle Occupancy'!$I96/'Household Vehicle Occupancy'!P96)</f>
        <v>1.5164741051009731</v>
      </c>
      <c r="Q207" s="56">
        <f>$J207*('[12]Regional GDP'!Q14/'[12]Regional GDP'!$I14)*('Household Vehicle Occupancy'!$I96/'Household Vehicle Occupancy'!Q96)</f>
        <v>1.5849596425186698</v>
      </c>
      <c r="R207" s="57">
        <f>$J207*('[12]Regional GDP'!R14/'[12]Regional GDP'!$I14)*('Household Vehicle Occupancy'!$I96/'Household Vehicle Occupancy'!R96)</f>
        <v>1.6398478169098518</v>
      </c>
    </row>
    <row r="208" spans="3:18" ht="16" x14ac:dyDescent="0.2">
      <c r="C208" s="24" t="s">
        <v>8</v>
      </c>
      <c r="D208" s="89"/>
      <c r="E208" s="90"/>
      <c r="G208" s="90"/>
      <c r="J208" s="90">
        <v>1</v>
      </c>
      <c r="K208" s="90">
        <f>$J208*('[12]Regional GDP'!K15/'[12]Regional GDP'!$I15)*('Household Vehicle Occupancy'!$I97/'Household Vehicle Occupancy'!K97)</f>
        <v>1.0843762846187746</v>
      </c>
      <c r="L208" s="90">
        <f>$J208*('[12]Regional GDP'!L15/'[12]Regional GDP'!$I15)*('Household Vehicle Occupancy'!$I97/'Household Vehicle Occupancy'!L97)</f>
        <v>1.2269529551495879</v>
      </c>
      <c r="M208" s="90">
        <f>$J208*('[12]Regional GDP'!M15/'[12]Regional GDP'!$I15)*('Household Vehicle Occupancy'!$I97/'Household Vehicle Occupancy'!M97)</f>
        <v>1.3399684740692825</v>
      </c>
      <c r="N208" s="90">
        <f>$J208*('[12]Regional GDP'!N15/'[12]Regional GDP'!$I15)*('Household Vehicle Occupancy'!$I97/'Household Vehicle Occupancy'!N97)</f>
        <v>1.4456789414029216</v>
      </c>
      <c r="O208" s="90">
        <f>$J208*('[12]Regional GDP'!O15/'[12]Regional GDP'!$I15)*('Household Vehicle Occupancy'!$I97/'Household Vehicle Occupancy'!O97)</f>
        <v>1.5589977929933705</v>
      </c>
      <c r="P208" s="56">
        <f>$J208*('[12]Regional GDP'!P15/'[12]Regional GDP'!$I15)*('Household Vehicle Occupancy'!$I97/'Household Vehicle Occupancy'!P97)</f>
        <v>1.6685208084953773</v>
      </c>
      <c r="Q208" s="56">
        <f>$J208*('[12]Regional GDP'!Q15/'[12]Regional GDP'!$I15)*('Household Vehicle Occupancy'!$I97/'Household Vehicle Occupancy'!Q97)</f>
        <v>1.7710902871227299</v>
      </c>
      <c r="R208" s="57">
        <f>$J208*('[12]Regional GDP'!R15/'[12]Regional GDP'!$I15)*('Household Vehicle Occupancy'!$I97/'Household Vehicle Occupancy'!R97)</f>
        <v>1.8611541792453252</v>
      </c>
    </row>
    <row r="209" spans="3:18" ht="16" x14ac:dyDescent="0.2">
      <c r="C209" s="24" t="s">
        <v>9</v>
      </c>
      <c r="D209" s="89"/>
      <c r="E209" s="90"/>
      <c r="G209" s="90"/>
      <c r="J209" s="90">
        <v>1</v>
      </c>
      <c r="K209" s="90">
        <f>$J209*('[12]Regional GDP'!K16/'[12]Regional GDP'!$I16)*('Household Vehicle Occupancy'!$I98/'Household Vehicle Occupancy'!K98)</f>
        <v>1.0792145235371209</v>
      </c>
      <c r="L209" s="90">
        <f>$J209*('[12]Regional GDP'!L16/'[12]Regional GDP'!$I16)*('Household Vehicle Occupancy'!$I98/'Household Vehicle Occupancy'!L98)</f>
        <v>1.2155705829285424</v>
      </c>
      <c r="M209" s="90">
        <f>$J209*('[12]Regional GDP'!M16/'[12]Regional GDP'!$I16)*('Household Vehicle Occupancy'!$I98/'Household Vehicle Occupancy'!M98)</f>
        <v>1.3196111472891123</v>
      </c>
      <c r="N209" s="90">
        <f>$J209*('[12]Regional GDP'!N16/'[12]Regional GDP'!$I16)*('Household Vehicle Occupancy'!$I98/'Household Vehicle Occupancy'!N98)</f>
        <v>1.4134144859574678</v>
      </c>
      <c r="O209" s="90">
        <f>$J209*('[12]Regional GDP'!O16/'[12]Regional GDP'!$I16)*('Household Vehicle Occupancy'!$I98/'Household Vehicle Occupancy'!O98)</f>
        <v>1.5104749584339072</v>
      </c>
      <c r="P209" s="56">
        <f>$J209*('[12]Regional GDP'!P16/'[12]Regional GDP'!$I16)*('Household Vehicle Occupancy'!$I98/'Household Vehicle Occupancy'!P98)</f>
        <v>1.6026256960737533</v>
      </c>
      <c r="Q209" s="56">
        <f>$J209*('[12]Regional GDP'!Q16/'[12]Regional GDP'!$I16)*('Household Vehicle Occupancy'!$I98/'Household Vehicle Occupancy'!Q98)</f>
        <v>1.6864011070316631</v>
      </c>
      <c r="R209" s="57">
        <f>$J209*('[12]Regional GDP'!R16/'[12]Regional GDP'!$I16)*('Household Vehicle Occupancy'!$I98/'Household Vehicle Occupancy'!R98)</f>
        <v>1.756759428614711</v>
      </c>
    </row>
    <row r="210" spans="3:18" ht="16" x14ac:dyDescent="0.2">
      <c r="C210" s="24" t="s">
        <v>10</v>
      </c>
      <c r="D210" s="89"/>
      <c r="E210" s="90"/>
      <c r="G210" s="90"/>
      <c r="J210" s="90">
        <v>1</v>
      </c>
      <c r="K210" s="90">
        <f>$J210*('[12]Regional GDP'!K17/'[12]Regional GDP'!$I17)*('Household Vehicle Occupancy'!$I99/'Household Vehicle Occupancy'!K99)</f>
        <v>1.0493330837426849</v>
      </c>
      <c r="L210" s="90">
        <f>$J210*('[12]Regional GDP'!L17/'[12]Regional GDP'!$I17)*('Household Vehicle Occupancy'!$I99/'Household Vehicle Occupancy'!L99)</f>
        <v>1.1503217005048747</v>
      </c>
      <c r="M210" s="90">
        <f>$J210*('[12]Regional GDP'!M17/'[12]Regional GDP'!$I17)*('Household Vehicle Occupancy'!$I99/'Household Vehicle Occupancy'!M99)</f>
        <v>1.2160772812504905</v>
      </c>
      <c r="N210" s="90">
        <f>$J210*('[12]Regional GDP'!N17/'[12]Regional GDP'!$I17)*('Household Vehicle Occupancy'!$I99/'Household Vehicle Occupancy'!N99)</f>
        <v>1.2686670062007801</v>
      </c>
      <c r="O210" s="90">
        <f>$J210*('[12]Regional GDP'!O17/'[12]Regional GDP'!$I17)*('Household Vehicle Occupancy'!$I99/'Household Vehicle Occupancy'!O99)</f>
        <v>1.3241118622993919</v>
      </c>
      <c r="P210" s="56">
        <f>$J210*('[12]Regional GDP'!P17/'[12]Regional GDP'!$I17)*('Household Vehicle Occupancy'!$I99/'Household Vehicle Occupancy'!P99)</f>
        <v>1.3707448018321209</v>
      </c>
      <c r="Q210" s="56">
        <f>$J210*('[12]Regional GDP'!Q17/'[12]Regional GDP'!$I17)*('Household Vehicle Occupancy'!$I99/'Household Vehicle Occupancy'!Q99)</f>
        <v>1.4072722386269749</v>
      </c>
      <c r="R210" s="57">
        <f>$J210*('[12]Regional GDP'!R17/'[12]Regional GDP'!$I17)*('Household Vehicle Occupancy'!$I99/'Household Vehicle Occupancy'!R99)</f>
        <v>1.430216035982125</v>
      </c>
    </row>
    <row r="211" spans="3:18" ht="16" x14ac:dyDescent="0.2">
      <c r="C211" s="24" t="s">
        <v>11</v>
      </c>
      <c r="D211" s="89"/>
      <c r="E211" s="90"/>
      <c r="G211" s="90"/>
      <c r="J211" s="90">
        <v>1</v>
      </c>
      <c r="K211" s="90">
        <f>$J211*('[12]Regional GDP'!K18/'[12]Regional GDP'!$I18)*('Household Vehicle Occupancy'!$I100/'Household Vehicle Occupancy'!K100)</f>
        <v>1.1166944981838545</v>
      </c>
      <c r="L211" s="90">
        <f>$J211*('[12]Regional GDP'!L18/'[12]Regional GDP'!$I18)*('Household Vehicle Occupancy'!$I100/'Household Vehicle Occupancy'!L100)</f>
        <v>1.2864324945329026</v>
      </c>
      <c r="M211" s="90">
        <f>$J211*('[12]Regional GDP'!M18/'[12]Regional GDP'!$I18)*('Household Vehicle Occupancy'!$I100/'Household Vehicle Occupancy'!M100)</f>
        <v>1.4299443219740546</v>
      </c>
      <c r="N211" s="90">
        <f>$J211*('[12]Regional GDP'!N18/'[12]Regional GDP'!$I18)*('Household Vehicle Occupancy'!$I100/'Household Vehicle Occupancy'!N100)</f>
        <v>1.5700479021519991</v>
      </c>
      <c r="O211" s="90">
        <f>$J211*('[12]Regional GDP'!O18/'[12]Regional GDP'!$I18)*('Household Vehicle Occupancy'!$I100/'Household Vehicle Occupancy'!O100)</f>
        <v>1.7231558727883465</v>
      </c>
      <c r="P211" s="56">
        <f>$J211*('[12]Regional GDP'!P18/'[12]Regional GDP'!$I18)*('Household Vehicle Occupancy'!$I100/'Household Vehicle Occupancy'!P100)</f>
        <v>1.8773805386249598</v>
      </c>
      <c r="Q211" s="56">
        <f>$J211*('[12]Regional GDP'!Q18/'[12]Regional GDP'!$I18)*('Household Vehicle Occupancy'!$I100/'Household Vehicle Occupancy'!Q100)</f>
        <v>2.028475413834574</v>
      </c>
      <c r="R211" s="57">
        <f>$J211*('[12]Regional GDP'!R18/'[12]Regional GDP'!$I18)*('Household Vehicle Occupancy'!$I100/'Household Vehicle Occupancy'!R100)</f>
        <v>2.1696480324210108</v>
      </c>
    </row>
    <row r="212" spans="3:18" ht="16" x14ac:dyDescent="0.2">
      <c r="C212" s="24" t="s">
        <v>12</v>
      </c>
      <c r="D212" s="89"/>
      <c r="E212" s="90"/>
      <c r="G212" s="90"/>
      <c r="J212" s="90">
        <v>1</v>
      </c>
      <c r="K212" s="90">
        <f>$J212*('[12]Regional GDP'!K19/'[12]Regional GDP'!$I19)*('Household Vehicle Occupancy'!$I101/'Household Vehicle Occupancy'!K101)</f>
        <v>1.0967648151244951</v>
      </c>
      <c r="L212" s="90">
        <f>$J212*('[12]Regional GDP'!L19/'[12]Regional GDP'!$I19)*('Household Vehicle Occupancy'!$I101/'Household Vehicle Occupancy'!L101)</f>
        <v>1.2441283302928563</v>
      </c>
      <c r="M212" s="90">
        <f>$J212*('[12]Regional GDP'!M19/'[12]Regional GDP'!$I19)*('Household Vehicle Occupancy'!$I101/'Household Vehicle Occupancy'!M101)</f>
        <v>1.3624916450680145</v>
      </c>
      <c r="N212" s="90">
        <f>$J212*('[12]Regional GDP'!N19/'[12]Regional GDP'!$I19)*('Household Vehicle Occupancy'!$I101/'Household Vehicle Occupancy'!N101)</f>
        <v>1.4743509092016649</v>
      </c>
      <c r="O212" s="90">
        <f>$J212*('[12]Regional GDP'!O19/'[12]Regional GDP'!$I19)*('Household Vehicle Occupancy'!$I101/'Household Vehicle Occupancy'!O101)</f>
        <v>1.5951859370582544</v>
      </c>
      <c r="P212" s="56">
        <f>$J212*('[12]Regional GDP'!P19/'[12]Regional GDP'!$I19)*('Household Vehicle Occupancy'!$I101/'Household Vehicle Occupancy'!P101)</f>
        <v>1.7118666460499148</v>
      </c>
      <c r="Q212" s="56">
        <f>$J212*('[12]Regional GDP'!Q19/'[12]Regional GDP'!$I19)*('Household Vehicle Occupancy'!$I101/'Household Vehicle Occupancy'!Q101)</f>
        <v>1.8218731172430371</v>
      </c>
      <c r="R212" s="57">
        <f>$J212*('[12]Regional GDP'!R19/'[12]Regional GDP'!$I19)*('Household Vehicle Occupancy'!$I101/'Household Vehicle Occupancy'!R101)</f>
        <v>1.9194125644129072</v>
      </c>
    </row>
    <row r="213" spans="3:18" ht="17" thickBot="1" x14ac:dyDescent="0.25">
      <c r="C213" s="25" t="s">
        <v>13</v>
      </c>
      <c r="D213" s="91"/>
      <c r="E213" s="92"/>
      <c r="G213" s="92"/>
      <c r="J213" s="92">
        <v>1</v>
      </c>
      <c r="K213" s="92">
        <f>$J213*('[12]Regional GDP'!K20/'[12]Regional GDP'!$I20)*('Household Vehicle Occupancy'!$I102/'Household Vehicle Occupancy'!K102)</f>
        <v>1.057673530467121</v>
      </c>
      <c r="L213" s="92">
        <f>$J213*('[12]Regional GDP'!L20/'[12]Regional GDP'!$I20)*('Household Vehicle Occupancy'!$I102/'Household Vehicle Occupancy'!L102)</f>
        <v>1.1717030466713054</v>
      </c>
      <c r="M213" s="92">
        <f>$J213*('[12]Regional GDP'!M20/'[12]Regional GDP'!$I20)*('Household Vehicle Occupancy'!$I102/'Household Vehicle Occupancy'!M102)</f>
        <v>1.2532859953722746</v>
      </c>
      <c r="N213" s="92">
        <f>$J213*('[12]Regional GDP'!N20/'[12]Regional GDP'!$I20)*('Household Vehicle Occupancy'!$I102/'Household Vehicle Occupancy'!N102)</f>
        <v>1.3239087009490473</v>
      </c>
      <c r="O213" s="92">
        <f>$J213*('[12]Regional GDP'!O20/'[12]Regional GDP'!$I20)*('Household Vehicle Occupancy'!$I102/'Household Vehicle Occupancy'!O102)</f>
        <v>1.3984485298340079</v>
      </c>
      <c r="P213" s="59">
        <f>$J213*('[12]Regional GDP'!P20/'[12]Regional GDP'!$I20)*('Household Vehicle Occupancy'!$I102/'Household Vehicle Occupancy'!P102)</f>
        <v>1.4660842929215854</v>
      </c>
      <c r="Q213" s="59">
        <f>$J213*('[12]Regional GDP'!Q20/'[12]Regional GDP'!$I20)*('Household Vehicle Occupancy'!$I102/'Household Vehicle Occupancy'!Q102)</f>
        <v>1.5242670329232122</v>
      </c>
      <c r="R213" s="60">
        <f>$J213*('[12]Regional GDP'!R20/'[12]Regional GDP'!$I20)*('Household Vehicle Occupancy'!$I102/'Household Vehicle Occupancy'!R102)</f>
        <v>1.568791583672615</v>
      </c>
    </row>
    <row r="214" spans="3:18" ht="17" thickTop="1" x14ac:dyDescent="0.2">
      <c r="C214" s="130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87"/>
      <c r="O214" s="87"/>
      <c r="P214" s="87"/>
    </row>
    <row r="215" spans="3:18" ht="16" x14ac:dyDescent="0.2">
      <c r="C215" s="128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</row>
    <row r="216" spans="3:18" ht="16" x14ac:dyDescent="0.2">
      <c r="C216" s="128"/>
      <c r="D216" s="167"/>
    </row>
    <row r="217" spans="3:18" ht="17" thickBot="1" x14ac:dyDescent="0.25">
      <c r="C217" s="170"/>
      <c r="D217" s="171"/>
    </row>
    <row r="218" spans="3:18" ht="53" thickTop="1" thickBot="1" x14ac:dyDescent="0.25">
      <c r="C218" s="31" t="s">
        <v>110</v>
      </c>
      <c r="D218" s="148">
        <v>0.5</v>
      </c>
    </row>
    <row r="219" spans="3:18" ht="53" thickTop="1" thickBot="1" x14ac:dyDescent="0.25">
      <c r="C219" s="31" t="s">
        <v>111</v>
      </c>
      <c r="D219" s="148">
        <v>0.3</v>
      </c>
    </row>
    <row r="220" spans="3:18" ht="53" thickTop="1" thickBot="1" x14ac:dyDescent="0.25">
      <c r="C220" s="31" t="s">
        <v>112</v>
      </c>
      <c r="D220" s="148">
        <v>0.2</v>
      </c>
    </row>
    <row r="221" spans="3:18" ht="36" thickTop="1" thickBot="1" x14ac:dyDescent="0.25">
      <c r="C221" s="31" t="s">
        <v>65</v>
      </c>
      <c r="D221" s="74">
        <f>SUM(D218:D220)</f>
        <v>1</v>
      </c>
    </row>
    <row r="222" spans="3:18" ht="14" thickTop="1" x14ac:dyDescent="0.15"/>
  </sheetData>
  <mergeCells count="1">
    <mergeCell ref="C8:F8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>
    <pageSetUpPr fitToPage="1"/>
  </sheetPr>
  <dimension ref="C3:R29"/>
  <sheetViews>
    <sheetView zoomScale="90" zoomScaleNormal="90" workbookViewId="0">
      <selection activeCell="I30" sqref="I30"/>
    </sheetView>
  </sheetViews>
  <sheetFormatPr baseColWidth="10" defaultColWidth="8.83203125" defaultRowHeight="13" x14ac:dyDescent="0.15"/>
  <cols>
    <col min="3" max="3" width="18.33203125" customWidth="1"/>
    <col min="4" max="18" width="17.6640625" customWidth="1"/>
  </cols>
  <sheetData>
    <row r="3" spans="3:18" ht="14" thickBot="1" x14ac:dyDescent="0.2"/>
    <row r="4" spans="3:18" ht="17" thickTop="1" x14ac:dyDescent="0.2">
      <c r="C4" s="32" t="s">
        <v>33</v>
      </c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34"/>
      <c r="Q4" s="34"/>
      <c r="R4" s="35"/>
    </row>
    <row r="5" spans="3:18" ht="14" thickBot="1" x14ac:dyDescent="0.2">
      <c r="C5" s="36"/>
      <c r="D5" s="37" t="s">
        <v>25</v>
      </c>
      <c r="E5" s="37" t="s">
        <v>37</v>
      </c>
      <c r="F5" s="37" t="s">
        <v>38</v>
      </c>
      <c r="G5" s="37" t="s">
        <v>177</v>
      </c>
      <c r="H5" s="37" t="s">
        <v>178</v>
      </c>
      <c r="I5" s="37" t="s">
        <v>26</v>
      </c>
      <c r="J5" s="37" t="s">
        <v>183</v>
      </c>
      <c r="K5" s="37" t="s">
        <v>27</v>
      </c>
      <c r="L5" s="37" t="s">
        <v>28</v>
      </c>
      <c r="M5" s="37" t="s">
        <v>29</v>
      </c>
      <c r="N5" s="37" t="s">
        <v>30</v>
      </c>
      <c r="O5" s="37" t="s">
        <v>31</v>
      </c>
      <c r="P5" s="37" t="s">
        <v>174</v>
      </c>
      <c r="Q5" s="37" t="s">
        <v>175</v>
      </c>
      <c r="R5" s="38" t="s">
        <v>176</v>
      </c>
    </row>
    <row r="6" spans="3:18" ht="15" thickTop="1" thickBot="1" x14ac:dyDescent="0.2">
      <c r="C6" s="36"/>
      <c r="D6" s="37" t="s">
        <v>39</v>
      </c>
      <c r="E6" s="65" t="s">
        <v>39</v>
      </c>
      <c r="F6" s="65" t="s">
        <v>39</v>
      </c>
      <c r="G6" s="65" t="s">
        <v>39</v>
      </c>
      <c r="H6" s="65" t="s">
        <v>39</v>
      </c>
      <c r="I6" s="71" t="s">
        <v>39</v>
      </c>
      <c r="J6" s="71" t="s">
        <v>39</v>
      </c>
      <c r="K6" s="37" t="s">
        <v>32</v>
      </c>
      <c r="L6" s="37" t="s">
        <v>32</v>
      </c>
      <c r="M6" s="37" t="s">
        <v>32</v>
      </c>
      <c r="N6" s="37" t="s">
        <v>32</v>
      </c>
      <c r="O6" s="37" t="s">
        <v>32</v>
      </c>
      <c r="P6" s="65" t="s">
        <v>32</v>
      </c>
      <c r="Q6" s="65" t="s">
        <v>32</v>
      </c>
      <c r="R6" s="66" t="s">
        <v>32</v>
      </c>
    </row>
    <row r="7" spans="3:18" ht="17" thickTop="1" x14ac:dyDescent="0.2">
      <c r="C7" s="27" t="s">
        <v>0</v>
      </c>
      <c r="D7" s="213">
        <f>[15]Results!$D7</f>
        <v>1.1145434259989837</v>
      </c>
      <c r="E7" s="214">
        <f t="shared" ref="E7:E20" si="0">(D7*9+K7)/10</f>
        <v>1.1184233562255637</v>
      </c>
      <c r="F7" s="214">
        <f t="shared" ref="F7:F20" si="1">(D7*8+K7*2)/10</f>
        <v>1.1223032864521438</v>
      </c>
      <c r="G7" s="214">
        <f>(D7*7+K7*3)/10</f>
        <v>1.1261832166787236</v>
      </c>
      <c r="H7" s="214">
        <f>(D7*6+K7*4)/10</f>
        <v>1.1300631469053037</v>
      </c>
      <c r="I7" s="80">
        <f>[15]Results!$D7</f>
        <v>1.1145434259989837</v>
      </c>
      <c r="J7" s="212">
        <f>I7*4/5 + K7/5</f>
        <v>1.1223032864521436</v>
      </c>
      <c r="K7" s="80">
        <f>[15]Results!$E7</f>
        <v>1.1533427282647837</v>
      </c>
      <c r="L7" s="80">
        <f>(K7+M7)/2</f>
        <v>1.1580818270409612</v>
      </c>
      <c r="M7" s="80">
        <f>[15]Results!$F7</f>
        <v>1.1628209258171385</v>
      </c>
      <c r="N7" s="80">
        <f>(M7+O7)/2</f>
        <v>1.1850428724485238</v>
      </c>
      <c r="O7" s="80">
        <f>[15]Results!$G7</f>
        <v>1.2072648190799093</v>
      </c>
      <c r="P7" s="156">
        <f>(O7+Q7)/2</f>
        <v>1.2854631594293755</v>
      </c>
      <c r="Q7" s="156">
        <f>[15]Results!$H7</f>
        <v>1.3636614997788414</v>
      </c>
      <c r="R7" s="157">
        <f t="shared" ref="R7:R20" si="2">Q7+(Q7-P7)</f>
        <v>1.4418598401283074</v>
      </c>
    </row>
    <row r="8" spans="3:18" ht="16" x14ac:dyDescent="0.2">
      <c r="C8" s="24" t="s">
        <v>1</v>
      </c>
      <c r="D8" s="215">
        <f>[15]Results!$D8</f>
        <v>2.8098197707991828</v>
      </c>
      <c r="E8" s="216">
        <f t="shared" si="0"/>
        <v>2.8380251010601412</v>
      </c>
      <c r="F8" s="216">
        <f t="shared" si="1"/>
        <v>2.8662304313210996</v>
      </c>
      <c r="G8" s="216">
        <f t="shared" ref="G8:G20" si="3">(D8*7+K8*3)/10</f>
        <v>2.8944357615820584</v>
      </c>
      <c r="H8" s="216">
        <f t="shared" ref="H8:H20" si="4">(D8*6+K8*4)/10</f>
        <v>2.9226410918430163</v>
      </c>
      <c r="I8" s="82">
        <f>[15]Results!$D8</f>
        <v>2.8098197707991828</v>
      </c>
      <c r="J8" s="82">
        <f t="shared" ref="J8:J20" si="5">I8*4/5 + K8/5</f>
        <v>2.8662304313210996</v>
      </c>
      <c r="K8" s="82">
        <f>[15]Results!$E8</f>
        <v>3.0918730734087676</v>
      </c>
      <c r="L8" s="82">
        <f t="shared" ref="L8:N20" si="6">(K8+M8)/2</f>
        <v>3.3795517244141529</v>
      </c>
      <c r="M8" s="82">
        <f>[15]Results!$F8</f>
        <v>3.6672303754195377</v>
      </c>
      <c r="N8" s="82">
        <f t="shared" si="6"/>
        <v>3.9031558793613454</v>
      </c>
      <c r="O8" s="82">
        <f>[15]Results!$G8</f>
        <v>4.1390813833031528</v>
      </c>
      <c r="P8" s="159">
        <f t="shared" ref="P8:P20" si="7">(O8+Q8)/2</f>
        <v>4.3833851990627402</v>
      </c>
      <c r="Q8" s="159">
        <f>[15]Results!$H8</f>
        <v>4.6276890148223266</v>
      </c>
      <c r="R8" s="160">
        <f t="shared" si="2"/>
        <v>4.8719928305819131</v>
      </c>
    </row>
    <row r="9" spans="3:18" ht="16" x14ac:dyDescent="0.2">
      <c r="C9" s="24" t="s">
        <v>2</v>
      </c>
      <c r="D9" s="215">
        <f>[15]Results!$D9</f>
        <v>5.7657376429711178</v>
      </c>
      <c r="E9" s="216">
        <f t="shared" si="0"/>
        <v>5.7947249941219718</v>
      </c>
      <c r="F9" s="216">
        <f t="shared" si="1"/>
        <v>5.8237123452728259</v>
      </c>
      <c r="G9" s="216">
        <f t="shared" si="3"/>
        <v>5.8526996964236799</v>
      </c>
      <c r="H9" s="216">
        <f t="shared" si="4"/>
        <v>5.8816870475745331</v>
      </c>
      <c r="I9" s="82">
        <f>[15]Results!$D9</f>
        <v>5.7657376429711178</v>
      </c>
      <c r="J9" s="82">
        <f t="shared" si="5"/>
        <v>5.8237123452728259</v>
      </c>
      <c r="K9" s="82">
        <f>[15]Results!$E9</f>
        <v>6.0556111544796574</v>
      </c>
      <c r="L9" s="82">
        <f t="shared" si="6"/>
        <v>6.4348761751143631</v>
      </c>
      <c r="M9" s="82">
        <f>[15]Results!$F9</f>
        <v>6.8141411957490678</v>
      </c>
      <c r="N9" s="82">
        <f t="shared" si="6"/>
        <v>7.0568241680130877</v>
      </c>
      <c r="O9" s="82">
        <f>[15]Results!$G9</f>
        <v>7.2995071402771075</v>
      </c>
      <c r="P9" s="159">
        <f t="shared" si="7"/>
        <v>7.5639123679771831</v>
      </c>
      <c r="Q9" s="159">
        <f>[15]Results!$H9</f>
        <v>7.8283175956772588</v>
      </c>
      <c r="R9" s="160">
        <f t="shared" si="2"/>
        <v>8.0927228233773345</v>
      </c>
    </row>
    <row r="10" spans="3:18" ht="16" x14ac:dyDescent="0.2">
      <c r="C10" s="24" t="s">
        <v>3</v>
      </c>
      <c r="D10" s="215">
        <f>[15]Results!$D10</f>
        <v>1.9585700257993011</v>
      </c>
      <c r="E10" s="216">
        <f t="shared" si="0"/>
        <v>1.9648090000968597</v>
      </c>
      <c r="F10" s="216">
        <f t="shared" si="1"/>
        <v>1.971047974394418</v>
      </c>
      <c r="G10" s="216">
        <f t="shared" si="3"/>
        <v>1.9772869486919766</v>
      </c>
      <c r="H10" s="216">
        <f t="shared" si="4"/>
        <v>1.983525922989535</v>
      </c>
      <c r="I10" s="82">
        <f>[15]Results!$D10</f>
        <v>1.9585700257993011</v>
      </c>
      <c r="J10" s="82">
        <f t="shared" si="5"/>
        <v>1.971047974394418</v>
      </c>
      <c r="K10" s="82">
        <f>[15]Results!$E10</f>
        <v>2.0209597687748864</v>
      </c>
      <c r="L10" s="82">
        <f t="shared" si="6"/>
        <v>2.1317880590836644</v>
      </c>
      <c r="M10" s="82">
        <f>[15]Results!$F10</f>
        <v>2.242616349392442</v>
      </c>
      <c r="N10" s="82">
        <f t="shared" si="6"/>
        <v>2.2818862261401645</v>
      </c>
      <c r="O10" s="82">
        <f>[15]Results!$G10</f>
        <v>2.3211561028878873</v>
      </c>
      <c r="P10" s="159">
        <f t="shared" si="7"/>
        <v>2.416624742057766</v>
      </c>
      <c r="Q10" s="159">
        <f>[15]Results!$H10</f>
        <v>2.5120933812276451</v>
      </c>
      <c r="R10" s="160">
        <f t="shared" si="2"/>
        <v>2.6075620203975243</v>
      </c>
    </row>
    <row r="11" spans="3:18" ht="16" x14ac:dyDescent="0.2">
      <c r="C11" s="24" t="s">
        <v>4</v>
      </c>
      <c r="D11" s="215">
        <f>[15]Results!$D11</f>
        <v>0.55176093683276595</v>
      </c>
      <c r="E11" s="216">
        <f t="shared" si="0"/>
        <v>0.55253679690613511</v>
      </c>
      <c r="F11" s="216">
        <f t="shared" si="1"/>
        <v>0.55331265697950438</v>
      </c>
      <c r="G11" s="216">
        <f t="shared" si="3"/>
        <v>0.55408851705287365</v>
      </c>
      <c r="H11" s="216">
        <f t="shared" si="4"/>
        <v>0.55486437712624281</v>
      </c>
      <c r="I11" s="82">
        <f>[15]Results!$D11</f>
        <v>0.55176093683276595</v>
      </c>
      <c r="J11" s="82">
        <f t="shared" si="5"/>
        <v>0.55331265697950438</v>
      </c>
      <c r="K11" s="82">
        <f>[15]Results!$E11</f>
        <v>0.55951953756645822</v>
      </c>
      <c r="L11" s="82">
        <f t="shared" si="6"/>
        <v>0.5713168362274772</v>
      </c>
      <c r="M11" s="82">
        <f>[15]Results!$F11</f>
        <v>0.58311413488849628</v>
      </c>
      <c r="N11" s="82">
        <f t="shared" si="6"/>
        <v>0.52098597742744146</v>
      </c>
      <c r="O11" s="82">
        <f>[15]Results!$G11</f>
        <v>0.45885781996638669</v>
      </c>
      <c r="P11" s="159">
        <f t="shared" si="7"/>
        <v>0.51248518947263333</v>
      </c>
      <c r="Q11" s="159">
        <f>[15]Results!$H11</f>
        <v>0.56611255897887991</v>
      </c>
      <c r="R11" s="160">
        <f t="shared" si="2"/>
        <v>0.61973992848512649</v>
      </c>
    </row>
    <row r="12" spans="3:18" ht="16" x14ac:dyDescent="0.2">
      <c r="C12" s="24" t="s">
        <v>5</v>
      </c>
      <c r="D12" s="215">
        <f>[15]Results!$D12</f>
        <v>0.76470698278682647</v>
      </c>
      <c r="E12" s="216">
        <f t="shared" si="0"/>
        <v>0.76675485307872193</v>
      </c>
      <c r="F12" s="216">
        <f t="shared" si="1"/>
        <v>0.76880272337061739</v>
      </c>
      <c r="G12" s="216">
        <f t="shared" si="3"/>
        <v>0.77085059366251296</v>
      </c>
      <c r="H12" s="216">
        <f t="shared" si="4"/>
        <v>0.77289846395440842</v>
      </c>
      <c r="I12" s="82">
        <f>[15]Results!$D12</f>
        <v>0.76470698278682647</v>
      </c>
      <c r="J12" s="82">
        <f t="shared" si="5"/>
        <v>0.7688027233706175</v>
      </c>
      <c r="K12" s="82">
        <f>[15]Results!$E12</f>
        <v>0.7851856857057814</v>
      </c>
      <c r="L12" s="82">
        <f t="shared" si="6"/>
        <v>0.82070727611300598</v>
      </c>
      <c r="M12" s="82">
        <f>[15]Results!$F12</f>
        <v>0.85622886652023056</v>
      </c>
      <c r="N12" s="82">
        <f t="shared" si="6"/>
        <v>0.85738458765805348</v>
      </c>
      <c r="O12" s="82">
        <f>[15]Results!$G12</f>
        <v>0.85854030879587639</v>
      </c>
      <c r="P12" s="159">
        <f t="shared" si="7"/>
        <v>0.88197889188669132</v>
      </c>
      <c r="Q12" s="159">
        <f>[15]Results!$H12</f>
        <v>0.90541747497750624</v>
      </c>
      <c r="R12" s="160">
        <f t="shared" si="2"/>
        <v>0.92885605806832117</v>
      </c>
    </row>
    <row r="13" spans="3:18" ht="16" x14ac:dyDescent="0.2">
      <c r="C13" s="24" t="s">
        <v>6</v>
      </c>
      <c r="D13" s="215">
        <f>[15]Results!$D13</f>
        <v>0.76938658783059777</v>
      </c>
      <c r="E13" s="216">
        <f t="shared" si="0"/>
        <v>0.77019825740635173</v>
      </c>
      <c r="F13" s="216">
        <f t="shared" si="1"/>
        <v>0.7710099269821058</v>
      </c>
      <c r="G13" s="216">
        <f t="shared" si="3"/>
        <v>0.77182159655785976</v>
      </c>
      <c r="H13" s="216">
        <f t="shared" si="4"/>
        <v>0.77263326613361372</v>
      </c>
      <c r="I13" s="82">
        <f>[15]Results!$D13</f>
        <v>0.76938658783059777</v>
      </c>
      <c r="J13" s="82">
        <f t="shared" si="5"/>
        <v>0.7710099269821058</v>
      </c>
      <c r="K13" s="82">
        <f>[15]Results!$E13</f>
        <v>0.77750328358813769</v>
      </c>
      <c r="L13" s="82">
        <f t="shared" si="6"/>
        <v>0.79541785934999054</v>
      </c>
      <c r="M13" s="82">
        <f>[15]Results!$F13</f>
        <v>0.81333243511184328</v>
      </c>
      <c r="N13" s="82">
        <f t="shared" si="6"/>
        <v>0.81400855559459817</v>
      </c>
      <c r="O13" s="82">
        <f>[15]Results!$G13</f>
        <v>0.81468467607735318</v>
      </c>
      <c r="P13" s="159">
        <f t="shared" si="7"/>
        <v>0.82961779878387754</v>
      </c>
      <c r="Q13" s="159">
        <f>[15]Results!$H13</f>
        <v>0.8445509214904019</v>
      </c>
      <c r="R13" s="160">
        <f t="shared" si="2"/>
        <v>0.85948404419692626</v>
      </c>
    </row>
    <row r="14" spans="3:18" ht="16" x14ac:dyDescent="0.2">
      <c r="C14" s="24" t="s">
        <v>7</v>
      </c>
      <c r="D14" s="215">
        <f>[15]Results!$D14</f>
        <v>2.1728510629573869</v>
      </c>
      <c r="E14" s="216">
        <f t="shared" si="0"/>
        <v>2.1806757145317723</v>
      </c>
      <c r="F14" s="216">
        <f t="shared" si="1"/>
        <v>2.1885003661061573</v>
      </c>
      <c r="G14" s="216">
        <f t="shared" si="3"/>
        <v>2.1963250176805422</v>
      </c>
      <c r="H14" s="216">
        <f t="shared" si="4"/>
        <v>2.2041496692549272</v>
      </c>
      <c r="I14" s="82">
        <f>[15]Results!$D14</f>
        <v>2.1728510629573869</v>
      </c>
      <c r="J14" s="82">
        <f t="shared" si="5"/>
        <v>2.1885003661061573</v>
      </c>
      <c r="K14" s="82">
        <f>[15]Results!$E14</f>
        <v>2.2510975787012382</v>
      </c>
      <c r="L14" s="82">
        <f t="shared" si="6"/>
        <v>2.3496488852138291</v>
      </c>
      <c r="M14" s="82">
        <f>[15]Results!$F14</f>
        <v>2.44820019172642</v>
      </c>
      <c r="N14" s="82">
        <f t="shared" si="6"/>
        <v>2.5024569213879193</v>
      </c>
      <c r="O14" s="82">
        <f>[15]Results!$G14</f>
        <v>2.5567136510494186</v>
      </c>
      <c r="P14" s="159">
        <f t="shared" si="7"/>
        <v>2.6378020360787846</v>
      </c>
      <c r="Q14" s="159">
        <f>[15]Results!$H14</f>
        <v>2.7188904211081506</v>
      </c>
      <c r="R14" s="160">
        <f t="shared" si="2"/>
        <v>2.7999788061375166</v>
      </c>
    </row>
    <row r="15" spans="3:18" ht="16" x14ac:dyDescent="0.2">
      <c r="C15" s="24" t="s">
        <v>8</v>
      </c>
      <c r="D15" s="215">
        <f>[15]Results!$D15</f>
        <v>0.93793049740581913</v>
      </c>
      <c r="E15" s="216">
        <f t="shared" si="0"/>
        <v>0.94174535158128214</v>
      </c>
      <c r="F15" s="216">
        <f t="shared" si="1"/>
        <v>0.94556020575674515</v>
      </c>
      <c r="G15" s="216">
        <f t="shared" si="3"/>
        <v>0.94937505993220817</v>
      </c>
      <c r="H15" s="216">
        <f t="shared" si="4"/>
        <v>0.95318991410767118</v>
      </c>
      <c r="I15" s="82">
        <f>[15]Results!$D15</f>
        <v>0.93793049740581913</v>
      </c>
      <c r="J15" s="82">
        <f t="shared" si="5"/>
        <v>0.94556020575674526</v>
      </c>
      <c r="K15" s="82">
        <f>[15]Results!$E15</f>
        <v>0.97607903916044958</v>
      </c>
      <c r="L15" s="82">
        <f t="shared" si="6"/>
        <v>1.0223747084669683</v>
      </c>
      <c r="M15" s="82">
        <f>[15]Results!$F15</f>
        <v>1.0686703777734872</v>
      </c>
      <c r="N15" s="82">
        <f t="shared" si="6"/>
        <v>1.0939591594403466</v>
      </c>
      <c r="O15" s="82">
        <f>[15]Results!$G15</f>
        <v>1.1192479411072063</v>
      </c>
      <c r="P15" s="159">
        <f t="shared" si="7"/>
        <v>1.1664348025075202</v>
      </c>
      <c r="Q15" s="159">
        <f>[15]Results!$H15</f>
        <v>1.2136216639078339</v>
      </c>
      <c r="R15" s="160">
        <f t="shared" si="2"/>
        <v>1.2608085253081476</v>
      </c>
    </row>
    <row r="16" spans="3:18" ht="16" x14ac:dyDescent="0.2">
      <c r="C16" s="24" t="s">
        <v>9</v>
      </c>
      <c r="D16" s="215">
        <f>[15]Results!$D16</f>
        <v>1.1304028305532119</v>
      </c>
      <c r="E16" s="216">
        <f t="shared" si="0"/>
        <v>1.1347609268183367</v>
      </c>
      <c r="F16" s="216">
        <f t="shared" si="1"/>
        <v>1.1391190230834614</v>
      </c>
      <c r="G16" s="216">
        <f t="shared" si="3"/>
        <v>1.1434771193485862</v>
      </c>
      <c r="H16" s="216">
        <f t="shared" si="4"/>
        <v>1.147835215613711</v>
      </c>
      <c r="I16" s="82">
        <f>[15]Results!$D16</f>
        <v>1.1304028305532119</v>
      </c>
      <c r="J16" s="82">
        <f t="shared" si="5"/>
        <v>1.1391190230834614</v>
      </c>
      <c r="K16" s="82">
        <f>[15]Results!$E16</f>
        <v>1.1739837932044597</v>
      </c>
      <c r="L16" s="82">
        <f t="shared" si="6"/>
        <v>1.2375552834734631</v>
      </c>
      <c r="M16" s="82">
        <f>[15]Results!$F16</f>
        <v>1.3011267737424665</v>
      </c>
      <c r="N16" s="82">
        <f t="shared" si="6"/>
        <v>1.3141269489282057</v>
      </c>
      <c r="O16" s="82">
        <f>[15]Results!$G16</f>
        <v>1.3271271241139446</v>
      </c>
      <c r="P16" s="159">
        <f t="shared" si="7"/>
        <v>1.391718896615612</v>
      </c>
      <c r="Q16" s="159">
        <f>[15]Results!$H16</f>
        <v>1.4563106691172794</v>
      </c>
      <c r="R16" s="160">
        <f t="shared" si="2"/>
        <v>1.5209024416189467</v>
      </c>
    </row>
    <row r="17" spans="3:18" ht="16" x14ac:dyDescent="0.2">
      <c r="C17" s="24" t="s">
        <v>10</v>
      </c>
      <c r="D17" s="215">
        <f>[15]Results!$D17</f>
        <v>0.17441496538412951</v>
      </c>
      <c r="E17" s="216">
        <f t="shared" si="0"/>
        <v>0.17477793994127069</v>
      </c>
      <c r="F17" s="216">
        <f t="shared" si="1"/>
        <v>0.17514091449841185</v>
      </c>
      <c r="G17" s="216">
        <f t="shared" si="3"/>
        <v>0.175503889055553</v>
      </c>
      <c r="H17" s="216">
        <f t="shared" si="4"/>
        <v>0.17586686361269419</v>
      </c>
      <c r="I17" s="82">
        <f>[15]Results!$D17</f>
        <v>0.17441496538412951</v>
      </c>
      <c r="J17" s="82">
        <f t="shared" si="5"/>
        <v>0.17514091449841185</v>
      </c>
      <c r="K17" s="82">
        <f>[15]Results!$E17</f>
        <v>0.17804471095554117</v>
      </c>
      <c r="L17" s="82">
        <f t="shared" si="6"/>
        <v>0.18528373592707026</v>
      </c>
      <c r="M17" s="82">
        <f>[15]Results!$F17</f>
        <v>0.19252276089859938</v>
      </c>
      <c r="N17" s="82">
        <f t="shared" si="6"/>
        <v>0.19299578447434687</v>
      </c>
      <c r="O17" s="82">
        <f>[15]Results!$G17</f>
        <v>0.19346880805009437</v>
      </c>
      <c r="P17" s="159">
        <f t="shared" si="7"/>
        <v>0.1952721383053975</v>
      </c>
      <c r="Q17" s="159">
        <f>[15]Results!$H17</f>
        <v>0.19707546856070063</v>
      </c>
      <c r="R17" s="160">
        <f t="shared" si="2"/>
        <v>0.19887879881600376</v>
      </c>
    </row>
    <row r="18" spans="3:18" ht="16" x14ac:dyDescent="0.2">
      <c r="C18" s="24" t="s">
        <v>11</v>
      </c>
      <c r="D18" s="215">
        <f>[15]Results!$D18</f>
        <v>3.2941318692188895</v>
      </c>
      <c r="E18" s="216">
        <f t="shared" si="0"/>
        <v>3.2976940631134375</v>
      </c>
      <c r="F18" s="216">
        <f t="shared" si="1"/>
        <v>3.301256257007986</v>
      </c>
      <c r="G18" s="216">
        <f t="shared" si="3"/>
        <v>3.3048184509025331</v>
      </c>
      <c r="H18" s="216">
        <f t="shared" si="4"/>
        <v>3.308380644797082</v>
      </c>
      <c r="I18" s="82">
        <f>[15]Results!$D18</f>
        <v>3.2941318692188895</v>
      </c>
      <c r="J18" s="82">
        <f t="shared" si="5"/>
        <v>3.3012562570079855</v>
      </c>
      <c r="K18" s="82">
        <f>[15]Results!$E18</f>
        <v>3.3297538081643707</v>
      </c>
      <c r="L18" s="82">
        <f t="shared" si="6"/>
        <v>3.5206674736182073</v>
      </c>
      <c r="M18" s="82">
        <f>[15]Results!$F18</f>
        <v>3.7115811390720435</v>
      </c>
      <c r="N18" s="82">
        <f t="shared" si="6"/>
        <v>3.8495591326526108</v>
      </c>
      <c r="O18" s="82">
        <f>[15]Results!$G18</f>
        <v>3.9875371262331782</v>
      </c>
      <c r="P18" s="159">
        <f t="shared" si="7"/>
        <v>4.1144593617099812</v>
      </c>
      <c r="Q18" s="159">
        <f>[15]Results!$H18</f>
        <v>4.2413815971867841</v>
      </c>
      <c r="R18" s="160">
        <f t="shared" si="2"/>
        <v>4.368303832663587</v>
      </c>
    </row>
    <row r="19" spans="3:18" ht="16" x14ac:dyDescent="0.2">
      <c r="C19" s="24" t="s">
        <v>12</v>
      </c>
      <c r="D19" s="215">
        <f>[15]Results!$D19</f>
        <v>1.3226631558926774</v>
      </c>
      <c r="E19" s="216">
        <f t="shared" si="0"/>
        <v>1.3298759232871162</v>
      </c>
      <c r="F19" s="216">
        <f t="shared" si="1"/>
        <v>1.3370886906815551</v>
      </c>
      <c r="G19" s="216">
        <f t="shared" si="3"/>
        <v>1.3443014580759942</v>
      </c>
      <c r="H19" s="216">
        <f t="shared" si="4"/>
        <v>1.3515142254704329</v>
      </c>
      <c r="I19" s="82">
        <f>[15]Results!$D19</f>
        <v>1.3226631558926774</v>
      </c>
      <c r="J19" s="82">
        <f t="shared" si="5"/>
        <v>1.3370886906815551</v>
      </c>
      <c r="K19" s="82">
        <f>[15]Results!$E19</f>
        <v>1.3947908298370664</v>
      </c>
      <c r="L19" s="82">
        <f t="shared" si="6"/>
        <v>1.4680760653302261</v>
      </c>
      <c r="M19" s="82">
        <f>[15]Results!$F19</f>
        <v>1.541361300823386</v>
      </c>
      <c r="N19" s="82">
        <f t="shared" si="6"/>
        <v>1.5905411826943223</v>
      </c>
      <c r="O19" s="82">
        <f>[15]Results!$G19</f>
        <v>1.6397210645652587</v>
      </c>
      <c r="P19" s="159">
        <f t="shared" si="7"/>
        <v>1.6913070572527169</v>
      </c>
      <c r="Q19" s="159">
        <f>[15]Results!$H19</f>
        <v>1.7428930499401751</v>
      </c>
      <c r="R19" s="160">
        <f t="shared" si="2"/>
        <v>1.7944790426276334</v>
      </c>
    </row>
    <row r="20" spans="3:18" ht="17" thickBot="1" x14ac:dyDescent="0.25">
      <c r="C20" s="25" t="s">
        <v>13</v>
      </c>
      <c r="D20" s="217">
        <f>[15]Results!$D20</f>
        <v>0.65280650613920266</v>
      </c>
      <c r="E20" s="218">
        <f t="shared" si="0"/>
        <v>0.65504467105051933</v>
      </c>
      <c r="F20" s="218">
        <f t="shared" si="1"/>
        <v>0.6572828359618359</v>
      </c>
      <c r="G20" s="218">
        <f t="shared" si="3"/>
        <v>0.65952100087315269</v>
      </c>
      <c r="H20" s="218">
        <f t="shared" si="4"/>
        <v>0.66175916578446936</v>
      </c>
      <c r="I20" s="77">
        <f>[15]Results!$D20</f>
        <v>0.65280650613920266</v>
      </c>
      <c r="J20" s="77">
        <f t="shared" si="5"/>
        <v>0.65728283596183601</v>
      </c>
      <c r="K20" s="77">
        <f>[15]Results!$E20</f>
        <v>0.6751881552523693</v>
      </c>
      <c r="L20" s="77">
        <f t="shared" si="6"/>
        <v>0.68692443917883939</v>
      </c>
      <c r="M20" s="77">
        <f>[15]Results!$F20</f>
        <v>0.69866072310530947</v>
      </c>
      <c r="N20" s="77">
        <f t="shared" si="6"/>
        <v>0.70853782251438036</v>
      </c>
      <c r="O20" s="77">
        <f>[15]Results!$G20</f>
        <v>0.71841492192345124</v>
      </c>
      <c r="P20" s="162">
        <f t="shared" si="7"/>
        <v>0.73302503525128415</v>
      </c>
      <c r="Q20" s="162">
        <f>[15]Results!$H20</f>
        <v>0.74763514857911706</v>
      </c>
      <c r="R20" s="163">
        <f t="shared" si="2"/>
        <v>0.76224526190694997</v>
      </c>
    </row>
    <row r="21" spans="3:18" ht="36" thickTop="1" thickBot="1" x14ac:dyDescent="0.25">
      <c r="C21" s="20" t="s">
        <v>24</v>
      </c>
      <c r="D21" s="83">
        <f>SUM(D7:D20)</f>
        <v>23.419726260570094</v>
      </c>
      <c r="E21" s="84">
        <f t="shared" ref="E21:R21" si="8">SUM(E7:E20)</f>
        <v>23.520046949219481</v>
      </c>
      <c r="F21" s="84">
        <f t="shared" si="8"/>
        <v>23.620367637868863</v>
      </c>
      <c r="G21" s="84">
        <f t="shared" si="8"/>
        <v>23.72068832651825</v>
      </c>
      <c r="H21" s="84">
        <f t="shared" si="8"/>
        <v>23.821009015167643</v>
      </c>
      <c r="I21" s="84">
        <f t="shared" si="8"/>
        <v>23.419726260570094</v>
      </c>
      <c r="J21" s="84">
        <f t="shared" si="8"/>
        <v>23.620367637868863</v>
      </c>
      <c r="K21" s="84">
        <f t="shared" si="8"/>
        <v>24.422933147063965</v>
      </c>
      <c r="L21" s="84">
        <f t="shared" si="8"/>
        <v>25.762270348552217</v>
      </c>
      <c r="M21" s="84">
        <f t="shared" si="8"/>
        <v>27.10160755004047</v>
      </c>
      <c r="N21" s="84">
        <f t="shared" si="8"/>
        <v>27.871465218735349</v>
      </c>
      <c r="O21" s="84">
        <f t="shared" si="8"/>
        <v>28.641322887430221</v>
      </c>
      <c r="P21" s="84">
        <f t="shared" si="8"/>
        <v>29.803486676391572</v>
      </c>
      <c r="Q21" s="84">
        <f t="shared" si="8"/>
        <v>30.965650465352901</v>
      </c>
      <c r="R21" s="85">
        <f t="shared" si="8"/>
        <v>32.127814254314238</v>
      </c>
    </row>
    <row r="22" spans="3:18" ht="14" thickTop="1" x14ac:dyDescent="0.15">
      <c r="E22" s="43"/>
      <c r="F22" s="43"/>
      <c r="G22" s="43"/>
      <c r="H22" s="43"/>
    </row>
    <row r="24" spans="3:18" ht="14" thickBot="1" x14ac:dyDescent="0.2"/>
    <row r="25" spans="3:18" ht="17" thickTop="1" x14ac:dyDescent="0.2">
      <c r="C25" s="32" t="s">
        <v>107</v>
      </c>
      <c r="D25" s="34"/>
      <c r="E25" s="33"/>
      <c r="F25" s="33"/>
      <c r="G25" s="33"/>
      <c r="H25" s="33"/>
      <c r="I25" s="34"/>
      <c r="J25" s="34"/>
      <c r="K25" s="34"/>
      <c r="L25" s="34"/>
      <c r="M25" s="34"/>
      <c r="N25" s="34"/>
      <c r="O25" s="34"/>
      <c r="P25" s="34"/>
      <c r="Q25" s="34"/>
      <c r="R25" s="35"/>
    </row>
    <row r="26" spans="3:18" ht="14" thickBot="1" x14ac:dyDescent="0.2">
      <c r="C26" s="18"/>
      <c r="D26" s="65" t="s">
        <v>25</v>
      </c>
      <c r="E26" s="37" t="s">
        <v>37</v>
      </c>
      <c r="F26" s="37" t="s">
        <v>38</v>
      </c>
      <c r="G26" s="37" t="s">
        <v>177</v>
      </c>
      <c r="H26" s="37" t="s">
        <v>178</v>
      </c>
      <c r="I26" s="65" t="s">
        <v>26</v>
      </c>
      <c r="J26" s="65"/>
      <c r="K26" s="65" t="s">
        <v>27</v>
      </c>
      <c r="L26" s="65" t="s">
        <v>28</v>
      </c>
      <c r="M26" s="65" t="s">
        <v>29</v>
      </c>
      <c r="N26" s="65" t="s">
        <v>30</v>
      </c>
      <c r="O26" s="65" t="s">
        <v>31</v>
      </c>
      <c r="P26" s="37" t="s">
        <v>174</v>
      </c>
      <c r="Q26" s="37" t="s">
        <v>175</v>
      </c>
      <c r="R26" s="38" t="s">
        <v>176</v>
      </c>
    </row>
    <row r="27" spans="3:18" ht="15" thickTop="1" thickBot="1" x14ac:dyDescent="0.2">
      <c r="C27" s="70"/>
      <c r="D27" s="71" t="s">
        <v>39</v>
      </c>
      <c r="E27" s="65" t="s">
        <v>39</v>
      </c>
      <c r="F27" s="65" t="s">
        <v>39</v>
      </c>
      <c r="G27" s="65" t="s">
        <v>39</v>
      </c>
      <c r="H27" s="65" t="s">
        <v>39</v>
      </c>
      <c r="I27" s="71" t="s">
        <v>32</v>
      </c>
      <c r="J27" s="71"/>
      <c r="K27" s="71" t="s">
        <v>32</v>
      </c>
      <c r="L27" s="71" t="s">
        <v>32</v>
      </c>
      <c r="M27" s="71" t="s">
        <v>32</v>
      </c>
      <c r="N27" s="71" t="s">
        <v>32</v>
      </c>
      <c r="O27" s="71" t="s">
        <v>32</v>
      </c>
      <c r="P27" s="65" t="s">
        <v>32</v>
      </c>
      <c r="Q27" s="65" t="s">
        <v>32</v>
      </c>
      <c r="R27" s="66" t="s">
        <v>32</v>
      </c>
    </row>
    <row r="28" spans="3:18" ht="36" thickTop="1" thickBot="1" x14ac:dyDescent="0.25">
      <c r="C28" s="20" t="s">
        <v>24</v>
      </c>
      <c r="D28" s="48" t="s">
        <v>108</v>
      </c>
      <c r="E28" s="48" t="s">
        <v>108</v>
      </c>
      <c r="F28" s="125">
        <v>1</v>
      </c>
      <c r="G28" s="125">
        <f>(1.005)^1</f>
        <v>1.0049999999999999</v>
      </c>
      <c r="H28" s="125">
        <f>(1.005)^2</f>
        <v>1.0100249999999997</v>
      </c>
      <c r="I28" s="146">
        <f>(1.005)^3</f>
        <v>1.0150751249999996</v>
      </c>
      <c r="J28" s="146">
        <f>I28*4/5 + K28/5</f>
        <v>1.0202015087850871</v>
      </c>
      <c r="K28" s="146">
        <f>I28*(1.005)^5</f>
        <v>1.0407070439254369</v>
      </c>
      <c r="L28" s="146">
        <f>K28*(1.005)^5</f>
        <v>1.06698620092382</v>
      </c>
      <c r="M28" s="146">
        <f>L28*(1.005)^5</f>
        <v>1.0939289395675629</v>
      </c>
      <c r="N28" s="146">
        <f>M28*(1.005)^5</f>
        <v>1.1215520161247639</v>
      </c>
      <c r="O28" s="146">
        <f>N28*(1.005)^5</f>
        <v>1.1498726099802883</v>
      </c>
      <c r="P28" s="146">
        <f t="shared" ref="P28:R28" si="9">O28*(1.005)^5</f>
        <v>1.1789083343199973</v>
      </c>
      <c r="Q28" s="146">
        <f t="shared" si="9"/>
        <v>1.2086772470847669</v>
      </c>
      <c r="R28" s="147">
        <f t="shared" si="9"/>
        <v>1.2391978622011086</v>
      </c>
    </row>
    <row r="29" spans="3:18" ht="14" thickTop="1" x14ac:dyDescent="0.15">
      <c r="C29" t="s">
        <v>167</v>
      </c>
    </row>
  </sheetData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3"/>
  <dimension ref="B3:R66"/>
  <sheetViews>
    <sheetView topLeftCell="A31" zoomScale="90" zoomScaleNormal="90" workbookViewId="0">
      <selection activeCell="I61" sqref="I61"/>
    </sheetView>
  </sheetViews>
  <sheetFormatPr baseColWidth="10" defaultColWidth="8.83203125" defaultRowHeight="13" x14ac:dyDescent="0.15"/>
  <cols>
    <col min="3" max="3" width="27.6640625" customWidth="1"/>
    <col min="4" max="17" width="17.6640625" customWidth="1"/>
  </cols>
  <sheetData>
    <row r="3" spans="3:18" ht="14" thickBot="1" x14ac:dyDescent="0.2"/>
    <row r="4" spans="3:18" ht="17" thickTop="1" x14ac:dyDescent="0.2">
      <c r="C4" s="32" t="s">
        <v>34</v>
      </c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34"/>
      <c r="Q4" s="34"/>
      <c r="R4" s="35"/>
    </row>
    <row r="5" spans="3:18" ht="14" thickBot="1" x14ac:dyDescent="0.2">
      <c r="C5" s="36"/>
      <c r="D5" s="37" t="s">
        <v>25</v>
      </c>
      <c r="E5" s="37" t="s">
        <v>37</v>
      </c>
      <c r="F5" s="37" t="s">
        <v>38</v>
      </c>
      <c r="G5" s="37" t="s">
        <v>177</v>
      </c>
      <c r="H5" s="37" t="s">
        <v>178</v>
      </c>
      <c r="I5" s="37" t="s">
        <v>26</v>
      </c>
      <c r="J5" s="37" t="s">
        <v>183</v>
      </c>
      <c r="K5" s="37" t="s">
        <v>27</v>
      </c>
      <c r="L5" s="37" t="s">
        <v>28</v>
      </c>
      <c r="M5" s="37" t="s">
        <v>29</v>
      </c>
      <c r="N5" s="37" t="s">
        <v>30</v>
      </c>
      <c r="O5" s="37" t="s">
        <v>31</v>
      </c>
      <c r="P5" s="37" t="s">
        <v>174</v>
      </c>
      <c r="Q5" s="37" t="s">
        <v>175</v>
      </c>
      <c r="R5" s="38" t="s">
        <v>176</v>
      </c>
    </row>
    <row r="6" spans="3:18" ht="15" thickTop="1" thickBot="1" x14ac:dyDescent="0.2">
      <c r="C6" s="70"/>
      <c r="D6" s="71" t="s">
        <v>39</v>
      </c>
      <c r="E6" s="65" t="s">
        <v>39</v>
      </c>
      <c r="F6" s="65" t="s">
        <v>39</v>
      </c>
      <c r="G6" s="65" t="s">
        <v>39</v>
      </c>
      <c r="H6" s="65" t="s">
        <v>39</v>
      </c>
      <c r="I6" s="71" t="s">
        <v>39</v>
      </c>
      <c r="J6" s="71" t="s">
        <v>39</v>
      </c>
      <c r="K6" s="71" t="s">
        <v>32</v>
      </c>
      <c r="L6" s="71" t="s">
        <v>32</v>
      </c>
      <c r="M6" s="71" t="s">
        <v>32</v>
      </c>
      <c r="N6" s="71" t="s">
        <v>32</v>
      </c>
      <c r="O6" s="71" t="s">
        <v>32</v>
      </c>
      <c r="P6" s="65" t="s">
        <v>32</v>
      </c>
      <c r="Q6" s="65" t="s">
        <v>32</v>
      </c>
      <c r="R6" s="66" t="s">
        <v>32</v>
      </c>
    </row>
    <row r="7" spans="3:18" ht="17" thickTop="1" x14ac:dyDescent="0.2">
      <c r="C7" s="24" t="s">
        <v>0</v>
      </c>
      <c r="D7" s="52">
        <f>'[10]Total Distance Tables'!$B$12</f>
        <v>44.734594063999999</v>
      </c>
      <c r="E7" s="53">
        <f t="shared" ref="E7:E20" si="0">D7*4/5 + I7/5</f>
        <v>44.542808104082418</v>
      </c>
      <c r="F7" s="53">
        <f t="shared" ref="F7:F20" si="1">D7*3/5+I7*2/5</f>
        <v>44.35102214416483</v>
      </c>
      <c r="G7" s="53">
        <f t="shared" ref="G7:G20" si="2">D7*2/5+I7*3/5</f>
        <v>44.159236184247249</v>
      </c>
      <c r="H7" s="53">
        <f t="shared" ref="H7:H20" si="3">D7/5+I7*4/5</f>
        <v>43.967450224329667</v>
      </c>
      <c r="I7" s="53">
        <f>'[10]Total Distance Tables'!C12</f>
        <v>43.775664264412086</v>
      </c>
      <c r="J7" s="212">
        <f>I7*4/5 + K7/5</f>
        <v>43.629365690155609</v>
      </c>
      <c r="K7" s="53">
        <f>'[10]Total Distance Tables'!D12</f>
        <v>43.044171393129709</v>
      </c>
      <c r="L7" s="53">
        <f>'[10]Total Distance Tables'!E12</f>
        <v>42.40417785850746</v>
      </c>
      <c r="M7" s="53">
        <f>'[10]Total Distance Tables'!F12</f>
        <v>41.052458203573821</v>
      </c>
      <c r="N7" s="53">
        <f>'[10]Total Distance Tables'!G12</f>
        <v>40.159852245824261</v>
      </c>
      <c r="O7" s="53">
        <f>'[10]Total Distance Tables'!H12</f>
        <v>39.071100623678952</v>
      </c>
      <c r="P7" s="53">
        <f>'[10]Total Distance Tables'!I12</f>
        <v>39.333320806577142</v>
      </c>
      <c r="Q7" s="53">
        <f>'[10]Total Distance Tables'!J12</f>
        <v>39.471200729643499</v>
      </c>
      <c r="R7" s="54">
        <f>'[10]Total Distance Tables'!K12</f>
        <v>39.524371990916123</v>
      </c>
    </row>
    <row r="8" spans="3:18" ht="16" x14ac:dyDescent="0.2">
      <c r="C8" s="24" t="s">
        <v>1</v>
      </c>
      <c r="D8" s="55">
        <f>'[10]Total Distance Tables'!$B$23</f>
        <v>438.79018300000001</v>
      </c>
      <c r="E8" s="56">
        <f t="shared" si="0"/>
        <v>448.32105166190183</v>
      </c>
      <c r="F8" s="56">
        <f t="shared" si="1"/>
        <v>457.85192032380365</v>
      </c>
      <c r="G8" s="56">
        <f t="shared" si="2"/>
        <v>467.38278898570547</v>
      </c>
      <c r="H8" s="56">
        <f t="shared" si="3"/>
        <v>476.91365764760724</v>
      </c>
      <c r="I8" s="56">
        <f>'[10]Total Distance Tables'!C23</f>
        <v>486.44452630950911</v>
      </c>
      <c r="J8" s="212">
        <f t="shared" ref="J8:J22" si="4">I8*4/5 + K8/5</f>
        <v>520.98452261901821</v>
      </c>
      <c r="K8" s="56">
        <f>'[10]Total Distance Tables'!D23</f>
        <v>659.14450785705458</v>
      </c>
      <c r="L8" s="56">
        <f>'[10]Total Distance Tables'!E23</f>
        <v>831.84448940459993</v>
      </c>
      <c r="M8" s="56">
        <f>'[10]Total Distance Tables'!F23</f>
        <v>937.96868805772499</v>
      </c>
      <c r="N8" s="56">
        <f>'[10]Total Distance Tables'!G23</f>
        <v>1044.0928867108501</v>
      </c>
      <c r="O8" s="56">
        <f>'[10]Total Distance Tables'!H23</f>
        <v>1150.217085363975</v>
      </c>
      <c r="P8" s="56">
        <f>'[10]Total Distance Tables'!I23</f>
        <v>1256.3412840171</v>
      </c>
      <c r="Q8" s="56">
        <f>'[10]Total Distance Tables'!J23</f>
        <v>1368.0635351474684</v>
      </c>
      <c r="R8" s="57">
        <f>'[10]Total Distance Tables'!K23</f>
        <v>1489.7208744234135</v>
      </c>
    </row>
    <row r="9" spans="3:18" ht="16" x14ac:dyDescent="0.2">
      <c r="C9" s="24" t="s">
        <v>2</v>
      </c>
      <c r="D9" s="55">
        <f>'[10]Total Distance Tables'!$B$34</f>
        <v>54.303948532</v>
      </c>
      <c r="E9" s="56">
        <f t="shared" si="0"/>
        <v>54.380398679548911</v>
      </c>
      <c r="F9" s="56">
        <f t="shared" si="1"/>
        <v>54.456848827097815</v>
      </c>
      <c r="G9" s="56">
        <f t="shared" si="2"/>
        <v>54.533298974646726</v>
      </c>
      <c r="H9" s="56">
        <f t="shared" si="3"/>
        <v>54.60974912219563</v>
      </c>
      <c r="I9" s="56">
        <f>'[10]Total Distance Tables'!C34</f>
        <v>54.686199269744542</v>
      </c>
      <c r="J9" s="212">
        <f t="shared" si="4"/>
        <v>54.662622870783885</v>
      </c>
      <c r="K9" s="56">
        <f>'[10]Total Distance Tables'!D34</f>
        <v>54.568317274941258</v>
      </c>
      <c r="L9" s="56">
        <f>'[10]Total Distance Tables'!E34</f>
        <v>54.480145464987459</v>
      </c>
      <c r="M9" s="56">
        <f>'[10]Total Distance Tables'!F34</f>
        <v>53.522594838227334</v>
      </c>
      <c r="N9" s="56">
        <f>'[10]Total Distance Tables'!G34</f>
        <v>53.163429193695293</v>
      </c>
      <c r="O9" s="56">
        <f>'[10]Total Distance Tables'!H34</f>
        <v>52.573439214473844</v>
      </c>
      <c r="P9" s="56">
        <f>'[10]Total Distance Tables'!I34</f>
        <v>53.797391718814715</v>
      </c>
      <c r="Q9" s="56">
        <f>'[10]Total Distance Tables'!J34</f>
        <v>54.874529134792979</v>
      </c>
      <c r="R9" s="57">
        <f>'[10]Total Distance Tables'!K34</f>
        <v>55.852846256031242</v>
      </c>
    </row>
    <row r="10" spans="3:18" ht="16" x14ac:dyDescent="0.2">
      <c r="C10" s="27" t="s">
        <v>3</v>
      </c>
      <c r="D10" s="55">
        <f>'[10]Total Distance Tables'!$B$45</f>
        <v>52.669440211999998</v>
      </c>
      <c r="E10" s="56">
        <f t="shared" si="0"/>
        <v>52.596677725929879</v>
      </c>
      <c r="F10" s="56">
        <f t="shared" si="1"/>
        <v>52.523915239859775</v>
      </c>
      <c r="G10" s="56">
        <f t="shared" si="2"/>
        <v>52.451152753789657</v>
      </c>
      <c r="H10" s="56">
        <f t="shared" si="3"/>
        <v>52.378390267719546</v>
      </c>
      <c r="I10" s="56">
        <f>'[10]Total Distance Tables'!C45</f>
        <v>52.305627781649427</v>
      </c>
      <c r="J10" s="212">
        <f t="shared" si="4"/>
        <v>52.211936155261625</v>
      </c>
      <c r="K10" s="56">
        <f>'[10]Total Distance Tables'!D45</f>
        <v>51.837169649710418</v>
      </c>
      <c r="L10" s="56">
        <f>'[10]Total Distance Tables'!E45</f>
        <v>51.408383135741104</v>
      </c>
      <c r="M10" s="56">
        <f>'[10]Total Distance Tables'!F45</f>
        <v>50.18068741430065</v>
      </c>
      <c r="N10" s="56">
        <f>'[10]Total Distance Tables'!G45</f>
        <v>49.50573027794357</v>
      </c>
      <c r="O10" s="56">
        <f>'[10]Total Distance Tables'!H45</f>
        <v>48.625640799459923</v>
      </c>
      <c r="P10" s="56">
        <f>'[10]Total Distance Tables'!I45</f>
        <v>49.42158092028631</v>
      </c>
      <c r="Q10" s="56">
        <f>'[10]Total Distance Tables'!J45</f>
        <v>50.07058720429486</v>
      </c>
      <c r="R10" s="57">
        <f>'[10]Total Distance Tables'!K45</f>
        <v>50.61901056795206</v>
      </c>
    </row>
    <row r="11" spans="3:18" ht="16" x14ac:dyDescent="0.2">
      <c r="C11" s="24" t="s">
        <v>4</v>
      </c>
      <c r="D11" s="55">
        <f>'[10]Total Distance Tables'!$B$56</f>
        <v>4.8778387282000004</v>
      </c>
      <c r="E11" s="56">
        <f t="shared" si="0"/>
        <v>4.823621324132656</v>
      </c>
      <c r="F11" s="56">
        <f t="shared" si="1"/>
        <v>4.7694039200653116</v>
      </c>
      <c r="G11" s="56">
        <f t="shared" si="2"/>
        <v>4.7151865159979662</v>
      </c>
      <c r="H11" s="56">
        <f t="shared" si="3"/>
        <v>4.6609691119306218</v>
      </c>
      <c r="I11" s="56">
        <f>'[10]Total Distance Tables'!C56</f>
        <v>4.6067517078632774</v>
      </c>
      <c r="J11" s="212">
        <f t="shared" si="4"/>
        <v>4.5719213087530264</v>
      </c>
      <c r="K11" s="56">
        <f>'[10]Total Distance Tables'!D56</f>
        <v>4.4325997123120198</v>
      </c>
      <c r="L11" s="56">
        <f>'[10]Total Distance Tables'!E56</f>
        <v>4.2955288609824418</v>
      </c>
      <c r="M11" s="56">
        <f>'[10]Total Distance Tables'!F56</f>
        <v>4.0987940470971456</v>
      </c>
      <c r="N11" s="56">
        <f>'[10]Total Distance Tables'!G56</f>
        <v>3.948373532762397</v>
      </c>
      <c r="O11" s="56">
        <f>'[10]Total Distance Tables'!H56</f>
        <v>3.7873157074021599</v>
      </c>
      <c r="P11" s="56">
        <f>'[10]Total Distance Tables'!I56</f>
        <v>3.7591202273158206</v>
      </c>
      <c r="Q11" s="56">
        <f>'[10]Total Distance Tables'!J56</f>
        <v>3.7192526197681022</v>
      </c>
      <c r="R11" s="57">
        <f>'[10]Total Distance Tables'!K56</f>
        <v>3.6718933244308287</v>
      </c>
    </row>
    <row r="12" spans="3:18" ht="16" x14ac:dyDescent="0.2">
      <c r="C12" s="24" t="s">
        <v>5</v>
      </c>
      <c r="D12" s="55">
        <f>'[10]Total Distance Tables'!$B$67</f>
        <v>39.591997026999998</v>
      </c>
      <c r="E12" s="56">
        <f t="shared" si="0"/>
        <v>39.200432440941057</v>
      </c>
      <c r="F12" s="56">
        <f t="shared" si="1"/>
        <v>38.808867854882116</v>
      </c>
      <c r="G12" s="56">
        <f t="shared" si="2"/>
        <v>38.417303268823176</v>
      </c>
      <c r="H12" s="56">
        <f t="shared" si="3"/>
        <v>38.025738682764235</v>
      </c>
      <c r="I12" s="56">
        <f>'[10]Total Distance Tables'!C67</f>
        <v>37.634174096705294</v>
      </c>
      <c r="J12" s="212">
        <f t="shared" si="4"/>
        <v>37.360674609662802</v>
      </c>
      <c r="K12" s="56">
        <f>'[10]Total Distance Tables'!D67</f>
        <v>36.266676661492831</v>
      </c>
      <c r="L12" s="56">
        <f>'[10]Total Distance Tables'!E67</f>
        <v>35.242017096199206</v>
      </c>
      <c r="M12" s="56">
        <f>'[10]Total Distance Tables'!F67</f>
        <v>33.683143361699791</v>
      </c>
      <c r="N12" s="56">
        <f>'[10]Total Distance Tables'!G67</f>
        <v>32.549631344464785</v>
      </c>
      <c r="O12" s="56">
        <f>'[10]Total Distance Tables'!H67</f>
        <v>31.299656504261826</v>
      </c>
      <c r="P12" s="56">
        <f>'[10]Total Distance Tables'!I67</f>
        <v>31.144007735886053</v>
      </c>
      <c r="Q12" s="56">
        <f>'[10]Total Distance Tables'!J67</f>
        <v>30.890446129216475</v>
      </c>
      <c r="R12" s="57">
        <f>'[10]Total Distance Tables'!K67</f>
        <v>30.573050866629668</v>
      </c>
    </row>
    <row r="13" spans="3:18" ht="16" x14ac:dyDescent="0.2">
      <c r="C13" s="24" t="s">
        <v>6</v>
      </c>
      <c r="D13" s="55">
        <f>'[10]Total Distance Tables'!$B$78</f>
        <v>14.084735078</v>
      </c>
      <c r="E13" s="56">
        <f t="shared" si="0"/>
        <v>13.970723024207249</v>
      </c>
      <c r="F13" s="56">
        <f t="shared" si="1"/>
        <v>13.856710970414497</v>
      </c>
      <c r="G13" s="56">
        <f t="shared" si="2"/>
        <v>13.742698916621748</v>
      </c>
      <c r="H13" s="56">
        <f t="shared" si="3"/>
        <v>13.628686862828998</v>
      </c>
      <c r="I13" s="56">
        <f>'[10]Total Distance Tables'!C78</f>
        <v>13.514674809036247</v>
      </c>
      <c r="J13" s="212">
        <f t="shared" si="4"/>
        <v>13.438004092556017</v>
      </c>
      <c r="K13" s="56">
        <f>'[10]Total Distance Tables'!D78</f>
        <v>13.1313212266351</v>
      </c>
      <c r="L13" s="56">
        <f>'[10]Total Distance Tables'!E78</f>
        <v>12.880452920306872</v>
      </c>
      <c r="M13" s="56">
        <f>'[10]Total Distance Tables'!F78</f>
        <v>12.441127397342347</v>
      </c>
      <c r="N13" s="56">
        <f>'[10]Total Distance Tables'!G78</f>
        <v>12.168164017416238</v>
      </c>
      <c r="O13" s="56">
        <f>'[10]Total Distance Tables'!H78</f>
        <v>11.859857726030752</v>
      </c>
      <c r="P13" s="56">
        <f>'[10]Total Distance Tables'!I78</f>
        <v>11.961215999932602</v>
      </c>
      <c r="Q13" s="56">
        <f>'[10]Total Distance Tables'!J78</f>
        <v>12.025023724508154</v>
      </c>
      <c r="R13" s="57">
        <f>'[10]Total Distance Tables'!K78</f>
        <v>12.063170523556442</v>
      </c>
    </row>
    <row r="14" spans="3:18" ht="16" x14ac:dyDescent="0.2">
      <c r="C14" s="24" t="s">
        <v>7</v>
      </c>
      <c r="D14" s="55">
        <f>'[10]Total Distance Tables'!$B$89</f>
        <v>39.768452936000003</v>
      </c>
      <c r="E14" s="56">
        <f t="shared" si="0"/>
        <v>39.386916218591736</v>
      </c>
      <c r="F14" s="56">
        <f t="shared" si="1"/>
        <v>39.005379501183469</v>
      </c>
      <c r="G14" s="56">
        <f t="shared" si="2"/>
        <v>38.623842783775203</v>
      </c>
      <c r="H14" s="56">
        <f t="shared" si="3"/>
        <v>38.242306066366943</v>
      </c>
      <c r="I14" s="56">
        <f>'[10]Total Distance Tables'!C89</f>
        <v>37.860769348958677</v>
      </c>
      <c r="J14" s="212">
        <f t="shared" si="4"/>
        <v>37.563721061344843</v>
      </c>
      <c r="K14" s="56">
        <f>'[10]Total Distance Tables'!D89</f>
        <v>36.375527910889502</v>
      </c>
      <c r="L14" s="56">
        <f>'[10]Total Distance Tables'!E89</f>
        <v>35.240586482154747</v>
      </c>
      <c r="M14" s="56">
        <f>'[10]Total Distance Tables'!F89</f>
        <v>33.615091326607882</v>
      </c>
      <c r="N14" s="56">
        <f>'[10]Total Distance Tables'!G89</f>
        <v>32.43292950197624</v>
      </c>
      <c r="O14" s="56">
        <f>'[10]Total Distance Tables'!H89</f>
        <v>31.146043866694029</v>
      </c>
      <c r="P14" s="56">
        <f>'[10]Total Distance Tables'!I89</f>
        <v>30.950027100929834</v>
      </c>
      <c r="Q14" s="56">
        <f>'[10]Total Distance Tables'!J89</f>
        <v>30.657301938060794</v>
      </c>
      <c r="R14" s="57">
        <f>'[10]Total Distance Tables'!K89</f>
        <v>30.302031481617163</v>
      </c>
    </row>
    <row r="15" spans="3:18" ht="16" x14ac:dyDescent="0.2">
      <c r="C15" s="24" t="s">
        <v>8</v>
      </c>
      <c r="D15" s="55">
        <f>'[10]Total Distance Tables'!$B$100</f>
        <v>164.37</v>
      </c>
      <c r="E15" s="56">
        <f t="shared" si="0"/>
        <v>165.83600000000001</v>
      </c>
      <c r="F15" s="56">
        <f t="shared" si="1"/>
        <v>167.30199999999999</v>
      </c>
      <c r="G15" s="56">
        <f t="shared" si="2"/>
        <v>168.76799999999997</v>
      </c>
      <c r="H15" s="56">
        <f t="shared" si="3"/>
        <v>170.23399999999998</v>
      </c>
      <c r="I15" s="56">
        <f>'[10]Total Distance Tables'!C100</f>
        <v>171.7</v>
      </c>
      <c r="J15" s="212">
        <f t="shared" si="4"/>
        <v>175.89999999999998</v>
      </c>
      <c r="K15" s="56">
        <f>'[10]Total Distance Tables'!D100</f>
        <v>192.7</v>
      </c>
      <c r="L15" s="56">
        <f>'[10]Total Distance Tables'!E100</f>
        <v>207.58</v>
      </c>
      <c r="M15" s="56">
        <f>'[10]Total Distance Tables'!F100</f>
        <v>213.28000000000003</v>
      </c>
      <c r="N15" s="56">
        <f>'[10]Total Distance Tables'!G100</f>
        <v>218.98</v>
      </c>
      <c r="O15" s="56">
        <f>'[10]Total Distance Tables'!H100</f>
        <v>224.67999999999998</v>
      </c>
      <c r="P15" s="56">
        <f>'[10]Total Distance Tables'!I100</f>
        <v>230.39720711920958</v>
      </c>
      <c r="Q15" s="56">
        <f>'[10]Total Distance Tables'!J100</f>
        <v>236.24195214964192</v>
      </c>
      <c r="R15" s="57">
        <f>'[10]Total Distance Tables'!K100</f>
        <v>242.23496739957</v>
      </c>
    </row>
    <row r="16" spans="3:18" ht="16" x14ac:dyDescent="0.2">
      <c r="C16" s="24" t="s">
        <v>9</v>
      </c>
      <c r="D16" s="55">
        <f>'[10]Total Distance Tables'!$B$111</f>
        <v>19.807462209000001</v>
      </c>
      <c r="E16" s="56">
        <f t="shared" si="0"/>
        <v>19.647516783512451</v>
      </c>
      <c r="F16" s="56">
        <f t="shared" si="1"/>
        <v>19.487571358024901</v>
      </c>
      <c r="G16" s="56">
        <f t="shared" si="2"/>
        <v>19.327625932537352</v>
      </c>
      <c r="H16" s="56">
        <f t="shared" si="3"/>
        <v>19.167680507049802</v>
      </c>
      <c r="I16" s="56">
        <f>'[10]Total Distance Tables'!C111</f>
        <v>19.007735081562252</v>
      </c>
      <c r="J16" s="212">
        <f t="shared" si="4"/>
        <v>18.905768179632854</v>
      </c>
      <c r="K16" s="56">
        <f>'[10]Total Distance Tables'!D111</f>
        <v>18.497900571915267</v>
      </c>
      <c r="L16" s="56">
        <f>'[10]Total Distance Tables'!E111</f>
        <v>18.10280817389172</v>
      </c>
      <c r="M16" s="56">
        <f>'[10]Total Distance Tables'!F111</f>
        <v>17.43315890538188</v>
      </c>
      <c r="N16" s="56">
        <f>'[10]Total Distance Tables'!G111</f>
        <v>16.964069837130658</v>
      </c>
      <c r="O16" s="56">
        <f>'[10]Total Distance Tables'!H111</f>
        <v>16.400477755718519</v>
      </c>
      <c r="P16" s="56">
        <f>'[10]Total Distance Tables'!I111</f>
        <v>16.407592325698438</v>
      </c>
      <c r="Q16" s="56">
        <f>'[10]Total Distance Tables'!J111</f>
        <v>16.363208800566682</v>
      </c>
      <c r="R16" s="57">
        <f>'[10]Total Distance Tables'!K111</f>
        <v>16.284616284924816</v>
      </c>
    </row>
    <row r="17" spans="3:18" ht="16" x14ac:dyDescent="0.2">
      <c r="C17" s="24" t="s">
        <v>10</v>
      </c>
      <c r="D17" s="55">
        <f>'[10]Total Distance Tables'!$B$122</f>
        <v>6.0600083682000001</v>
      </c>
      <c r="E17" s="56">
        <f t="shared" si="0"/>
        <v>5.9404430079831254</v>
      </c>
      <c r="F17" s="56">
        <f t="shared" si="1"/>
        <v>5.8208776477662507</v>
      </c>
      <c r="G17" s="56">
        <f t="shared" si="2"/>
        <v>5.701312287549376</v>
      </c>
      <c r="H17" s="56">
        <f t="shared" si="3"/>
        <v>5.5817469273325013</v>
      </c>
      <c r="I17" s="56">
        <f>'[10]Total Distance Tables'!C122</f>
        <v>5.4621815671156266</v>
      </c>
      <c r="J17" s="212">
        <f t="shared" si="4"/>
        <v>5.4017332032086252</v>
      </c>
      <c r="K17" s="56">
        <f>'[10]Total Distance Tables'!D122</f>
        <v>5.1599397475806184</v>
      </c>
      <c r="L17" s="56">
        <f>'[10]Total Distance Tables'!E122</f>
        <v>4.9099702846351976</v>
      </c>
      <c r="M17" s="56">
        <f>'[10]Total Distance Tables'!F122</f>
        <v>4.5994775055431942</v>
      </c>
      <c r="N17" s="56">
        <f>'[10]Total Distance Tables'!G122</f>
        <v>4.3560068783579071</v>
      </c>
      <c r="O17" s="56">
        <f>'[10]Total Distance Tables'!H122</f>
        <v>4.1094347998140277</v>
      </c>
      <c r="P17" s="56">
        <f>'[10]Total Distance Tables'!I122</f>
        <v>4.0115948180816146</v>
      </c>
      <c r="Q17" s="56">
        <f>'[10]Total Distance Tables'!J122</f>
        <v>3.903613253031935</v>
      </c>
      <c r="R17" s="57">
        <f>'[10]Total Distance Tables'!K122</f>
        <v>3.7903683961876764</v>
      </c>
    </row>
    <row r="18" spans="3:18" ht="16" x14ac:dyDescent="0.2">
      <c r="C18" s="24" t="s">
        <v>11</v>
      </c>
      <c r="D18" s="55">
        <f>'[10]Total Distance Tables'!$B$133</f>
        <v>174.53993166999999</v>
      </c>
      <c r="E18" s="56">
        <f t="shared" si="0"/>
        <v>175.00653799</v>
      </c>
      <c r="F18" s="56">
        <f t="shared" si="1"/>
        <v>175.47314431000001</v>
      </c>
      <c r="G18" s="56">
        <f t="shared" si="2"/>
        <v>175.93975062999999</v>
      </c>
      <c r="H18" s="56">
        <f t="shared" si="3"/>
        <v>176.40635695000003</v>
      </c>
      <c r="I18" s="56">
        <f>'[10]Total Distance Tables'!C133</f>
        <v>176.87296327000001</v>
      </c>
      <c r="J18" s="212">
        <f t="shared" si="4"/>
        <v>176.342304754</v>
      </c>
      <c r="K18" s="56">
        <f>'[10]Total Distance Tables'!D133</f>
        <v>174.21967068999999</v>
      </c>
      <c r="L18" s="56">
        <f>'[10]Total Distance Tables'!E133</f>
        <v>176.58415210000001</v>
      </c>
      <c r="M18" s="56">
        <f>'[10]Total Distance Tables'!F133</f>
        <v>174.93159184000001</v>
      </c>
      <c r="N18" s="56">
        <f>'[10]Total Distance Tables'!G133</f>
        <v>173.02374889999999</v>
      </c>
      <c r="O18" s="56">
        <f>'[10]Total Distance Tables'!H133</f>
        <v>170.2658198</v>
      </c>
      <c r="P18" s="56">
        <f>'[10]Total Distance Tables'!I133</f>
        <v>170.2658198</v>
      </c>
      <c r="Q18" s="56">
        <f>'[10]Total Distance Tables'!J133</f>
        <v>170.2658198</v>
      </c>
      <c r="R18" s="57">
        <f>'[10]Total Distance Tables'!K133</f>
        <v>170.2658198</v>
      </c>
    </row>
    <row r="19" spans="3:18" ht="16" x14ac:dyDescent="0.2">
      <c r="C19" s="24" t="s">
        <v>12</v>
      </c>
      <c r="D19" s="55">
        <f>'[10]Total Distance Tables'!$B$144</f>
        <v>27.157477096000001</v>
      </c>
      <c r="E19" s="56">
        <f t="shared" si="0"/>
        <v>27.101698065516558</v>
      </c>
      <c r="F19" s="56">
        <f t="shared" si="1"/>
        <v>27.045919035033119</v>
      </c>
      <c r="G19" s="56">
        <f t="shared" si="2"/>
        <v>26.99014000454968</v>
      </c>
      <c r="H19" s="56">
        <f t="shared" si="3"/>
        <v>26.934360974066241</v>
      </c>
      <c r="I19" s="56">
        <f>'[10]Total Distance Tables'!C144</f>
        <v>26.878581943582802</v>
      </c>
      <c r="J19" s="212">
        <f t="shared" si="4"/>
        <v>26.810523315726467</v>
      </c>
      <c r="K19" s="56">
        <f>'[10]Total Distance Tables'!D144</f>
        <v>26.538288804301136</v>
      </c>
      <c r="L19" s="56">
        <f>'[10]Total Distance Tables'!E144</f>
        <v>26.130382158901256</v>
      </c>
      <c r="M19" s="56">
        <f>'[10]Total Distance Tables'!F144</f>
        <v>25.356784476800208</v>
      </c>
      <c r="N19" s="56">
        <f>'[10]Total Distance Tables'!G144</f>
        <v>24.908587745977144</v>
      </c>
      <c r="O19" s="56">
        <f>'[10]Total Distance Tables'!H144</f>
        <v>24.359585264764888</v>
      </c>
      <c r="P19" s="56">
        <f>'[10]Total Distance Tables'!I144</f>
        <v>24.650861682691598</v>
      </c>
      <c r="Q19" s="56">
        <f>'[10]Total Distance Tables'!J144</f>
        <v>24.86618008790423</v>
      </c>
      <c r="R19" s="57">
        <f>'[10]Total Distance Tables'!K144</f>
        <v>25.029430072564445</v>
      </c>
    </row>
    <row r="20" spans="3:18" ht="17" thickBot="1" x14ac:dyDescent="0.25">
      <c r="C20" s="25" t="s">
        <v>13</v>
      </c>
      <c r="D20" s="58">
        <f>'[10]Total Distance Tables'!$B$155</f>
        <v>30.182609224</v>
      </c>
      <c r="E20" s="59">
        <f t="shared" si="0"/>
        <v>29.854964602439448</v>
      </c>
      <c r="F20" s="59">
        <f t="shared" si="1"/>
        <v>29.527319980878893</v>
      </c>
      <c r="G20" s="59">
        <f t="shared" si="2"/>
        <v>29.199675359318341</v>
      </c>
      <c r="H20" s="59">
        <f t="shared" si="3"/>
        <v>28.872030737757793</v>
      </c>
      <c r="I20" s="59">
        <f>'[10]Total Distance Tables'!C155</f>
        <v>28.544386116197241</v>
      </c>
      <c r="J20" s="212">
        <f t="shared" si="4"/>
        <v>28.277422043798843</v>
      </c>
      <c r="K20" s="59">
        <f>'[10]Total Distance Tables'!D155</f>
        <v>27.209565754205244</v>
      </c>
      <c r="L20" s="59">
        <f>'[10]Total Distance Tables'!E155</f>
        <v>26.181865411486264</v>
      </c>
      <c r="M20" s="59">
        <f>'[10]Total Distance Tables'!F155</f>
        <v>24.833736045864828</v>
      </c>
      <c r="N20" s="59">
        <f>'[10]Total Distance Tables'!G155</f>
        <v>23.827061358023183</v>
      </c>
      <c r="O20" s="59">
        <f>'[10]Total Distance Tables'!H155</f>
        <v>22.762613605908872</v>
      </c>
      <c r="P20" s="59">
        <f>'[10]Total Distance Tables'!I155</f>
        <v>22.501693216349377</v>
      </c>
      <c r="Q20" s="59">
        <f>'[10]Total Distance Tables'!J155</f>
        <v>22.172926996927956</v>
      </c>
      <c r="R20" s="60">
        <f>'[10]Total Distance Tables'!K155</f>
        <v>21.801971684335395</v>
      </c>
    </row>
    <row r="21" spans="3:18" ht="19" thickTop="1" thickBot="1" x14ac:dyDescent="0.25">
      <c r="C21" s="31" t="s">
        <v>24</v>
      </c>
      <c r="D21" s="61">
        <f t="shared" ref="D21:O21" si="5">SUM(D7:D20)</f>
        <v>1110.9386781444002</v>
      </c>
      <c r="E21" s="62">
        <f t="shared" si="5"/>
        <v>1120.6097896287874</v>
      </c>
      <c r="F21" s="62">
        <f t="shared" si="5"/>
        <v>1130.2809011131747</v>
      </c>
      <c r="G21" s="62">
        <f t="shared" si="5"/>
        <v>1139.9520125975616</v>
      </c>
      <c r="H21" s="62">
        <f t="shared" si="5"/>
        <v>1149.6231240819491</v>
      </c>
      <c r="I21" s="62">
        <f t="shared" si="5"/>
        <v>1159.2942355663365</v>
      </c>
      <c r="J21" s="62">
        <f t="shared" si="5"/>
        <v>1196.060519903903</v>
      </c>
      <c r="K21" s="62">
        <f t="shared" si="5"/>
        <v>1343.1256572541677</v>
      </c>
      <c r="L21" s="62">
        <f t="shared" si="5"/>
        <v>1527.2849593523933</v>
      </c>
      <c r="M21" s="62">
        <f t="shared" si="5"/>
        <v>1626.9973334201638</v>
      </c>
      <c r="N21" s="62">
        <f t="shared" si="5"/>
        <v>1730.0804715444219</v>
      </c>
      <c r="O21" s="62">
        <f t="shared" si="5"/>
        <v>1831.1580710321828</v>
      </c>
      <c r="P21" s="62">
        <f t="shared" ref="P21:R21" si="6">SUM(P7:P20)</f>
        <v>1944.9427174888731</v>
      </c>
      <c r="Q21" s="62">
        <f t="shared" si="6"/>
        <v>2063.5855777158263</v>
      </c>
      <c r="R21" s="63">
        <f t="shared" si="6"/>
        <v>2191.7344230721296</v>
      </c>
    </row>
    <row r="22" spans="3:18" ht="18" thickTop="1" thickBot="1" x14ac:dyDescent="0.25">
      <c r="C22" s="8" t="s">
        <v>35</v>
      </c>
      <c r="D22" s="200">
        <f>'[10]Total Distance Tables'!$B$166</f>
        <v>1110.9386781444002</v>
      </c>
      <c r="E22" s="200">
        <f>D22*4/5 + I22/5</f>
        <v>1120.6097896287874</v>
      </c>
      <c r="F22" s="200">
        <f>D22*3/5+I22*2/5</f>
        <v>1130.2809011131749</v>
      </c>
      <c r="G22" s="200">
        <f>D22*2/5+I22*3/5</f>
        <v>1139.9520125975619</v>
      </c>
      <c r="H22" s="200">
        <f>D22/5+I22*4/5</f>
        <v>1149.6231240819493</v>
      </c>
      <c r="I22" s="200">
        <f>'[10]Total Distance Tables'!C$166</f>
        <v>1159.2942355663365</v>
      </c>
      <c r="J22" s="200">
        <f t="shared" si="4"/>
        <v>1196.0605199039028</v>
      </c>
      <c r="K22" s="200">
        <f>'[10]Total Distance Tables'!D$166</f>
        <v>1343.1256572541677</v>
      </c>
      <c r="L22" s="200">
        <f>'[10]Total Distance Tables'!E$166</f>
        <v>1527.2849593523933</v>
      </c>
      <c r="M22" s="200">
        <f>'[10]Total Distance Tables'!F$166</f>
        <v>1626.9973334201638</v>
      </c>
      <c r="N22" s="200">
        <f>'[10]Total Distance Tables'!G$166</f>
        <v>1730.0804715444219</v>
      </c>
      <c r="O22" s="200">
        <f>'[10]Total Distance Tables'!H$166</f>
        <v>1831.1580710321828</v>
      </c>
      <c r="P22" s="200">
        <f>'[10]Total Distance Tables'!I$166</f>
        <v>1944.9427174888731</v>
      </c>
      <c r="Q22" s="200">
        <f>'[10]Total Distance Tables'!J$166</f>
        <v>2063.5855777158263</v>
      </c>
      <c r="R22" s="201">
        <f>'[10]Total Distance Tables'!K$166</f>
        <v>2191.7344230721296</v>
      </c>
    </row>
    <row r="23" spans="3:18" ht="14" thickTop="1" x14ac:dyDescent="0.15"/>
    <row r="24" spans="3:18" ht="14" thickBot="1" x14ac:dyDescent="0.2"/>
    <row r="25" spans="3:18" ht="18" thickTop="1" thickBot="1" x14ac:dyDescent="0.25">
      <c r="C25" s="111" t="s">
        <v>66</v>
      </c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3"/>
    </row>
    <row r="26" spans="3:18" ht="15" thickTop="1" thickBot="1" x14ac:dyDescent="0.2">
      <c r="C26" s="70"/>
      <c r="D26" s="71" t="s">
        <v>25</v>
      </c>
      <c r="E26" s="71" t="s">
        <v>37</v>
      </c>
      <c r="F26" s="71" t="s">
        <v>38</v>
      </c>
      <c r="G26" s="37" t="s">
        <v>177</v>
      </c>
      <c r="H26" s="37" t="s">
        <v>178</v>
      </c>
      <c r="I26" s="71" t="s">
        <v>26</v>
      </c>
      <c r="J26" s="71"/>
      <c r="K26" s="71" t="s">
        <v>27</v>
      </c>
      <c r="L26" s="71" t="s">
        <v>28</v>
      </c>
      <c r="M26" s="71" t="s">
        <v>29</v>
      </c>
      <c r="N26" s="71" t="s">
        <v>30</v>
      </c>
      <c r="O26" s="71" t="s">
        <v>31</v>
      </c>
      <c r="P26" s="37" t="s">
        <v>174</v>
      </c>
      <c r="Q26" s="37" t="s">
        <v>175</v>
      </c>
      <c r="R26" s="38" t="s">
        <v>176</v>
      </c>
    </row>
    <row r="27" spans="3:18" ht="36" thickTop="1" thickBot="1" x14ac:dyDescent="0.25">
      <c r="C27" s="64" t="s">
        <v>36</v>
      </c>
      <c r="D27" s="67"/>
      <c r="E27" s="34"/>
      <c r="F27" s="34"/>
      <c r="G27" s="34"/>
      <c r="H27" s="34"/>
      <c r="I27" s="68"/>
      <c r="J27" s="68"/>
      <c r="K27" s="68"/>
      <c r="L27" s="68"/>
      <c r="M27" s="68"/>
      <c r="N27" s="68"/>
      <c r="O27" s="68"/>
      <c r="P27" s="68"/>
      <c r="Q27" s="68"/>
      <c r="R27" s="69"/>
    </row>
    <row r="28" spans="3:18" ht="19" thickTop="1" thickBot="1" x14ac:dyDescent="0.25">
      <c r="C28" s="64" t="s">
        <v>24</v>
      </c>
      <c r="D28" s="76">
        <f>[12]Tourism!B$33/[12]Tourism!$B$33</f>
        <v>1</v>
      </c>
      <c r="E28" s="77">
        <f>[12]Tourism!C$33/[12]Tourism!$B$33</f>
        <v>1.0754480581167112</v>
      </c>
      <c r="F28" s="77">
        <f>[12]Tourism!D$33/[12]Tourism!$B$33</f>
        <v>1.1642440606181792</v>
      </c>
      <c r="G28" s="77">
        <f>[12]Tourism!E$33/[12]Tourism!$B$33</f>
        <v>1.2647536898745191</v>
      </c>
      <c r="H28" s="77">
        <f>[12]Tourism!F$33/[12]Tourism!$B$33</f>
        <v>1.3415586269476873</v>
      </c>
      <c r="I28" s="77">
        <f>[12]Tourism!G$33/[12]Tourism!$B$33</f>
        <v>1.3810568600527269</v>
      </c>
      <c r="J28" s="77">
        <f t="shared" ref="J28" si="7">I28*4/5 + K28/5</f>
        <v>1.4411350233622233</v>
      </c>
      <c r="K28" s="77">
        <f>[12]Tourism!I$33/[12]Tourism!$B$33</f>
        <v>1.6814476766002096</v>
      </c>
      <c r="L28" s="77">
        <f>[12]Tourism!J$33/[12]Tourism!$B$33</f>
        <v>2.0199993469409137</v>
      </c>
      <c r="M28" s="77">
        <f>[12]Tourism!K$33/[12]Tourism!$B$33</f>
        <v>2.3417328730115332</v>
      </c>
      <c r="N28" s="77">
        <f>[12]Tourism!L$33/[12]Tourism!$B$33</f>
        <v>2.7147102086183246</v>
      </c>
      <c r="O28" s="77">
        <f>[12]Tourism!M$33/[12]Tourism!$B$33</f>
        <v>3.1470931640887683</v>
      </c>
      <c r="P28" s="77">
        <f>[12]Tourism!N$33/[12]Tourism!$B$33</f>
        <v>3.6483435145348651</v>
      </c>
      <c r="Q28" s="77">
        <f>[12]Tourism!O$33/[12]Tourism!$B$33</f>
        <v>4.2294300505408149</v>
      </c>
      <c r="R28" s="78">
        <f>[12]Tourism!P$33/[12]Tourism!$B$33</f>
        <v>4.9030686066573059</v>
      </c>
    </row>
    <row r="29" spans="3:18" ht="14" thickTop="1" x14ac:dyDescent="0.15"/>
    <row r="32" spans="3:18" ht="14" thickBot="1" x14ac:dyDescent="0.2"/>
    <row r="33" spans="3:10" s="110" customFormat="1" ht="18" thickTop="1" thickBot="1" x14ac:dyDescent="0.25">
      <c r="C33" s="111" t="s">
        <v>91</v>
      </c>
      <c r="D33" s="114"/>
      <c r="E33" s="114"/>
      <c r="F33" s="114"/>
      <c r="G33" s="114"/>
      <c r="H33" s="114"/>
      <c r="I33" s="114"/>
      <c r="J33" s="115"/>
    </row>
    <row r="34" spans="3:10" ht="86" thickTop="1" thickBot="1" x14ac:dyDescent="0.2">
      <c r="C34" s="70"/>
      <c r="D34" s="108" t="s">
        <v>78</v>
      </c>
      <c r="E34" s="108" t="s">
        <v>81</v>
      </c>
      <c r="F34" s="108" t="s">
        <v>82</v>
      </c>
      <c r="G34" s="108" t="s">
        <v>85</v>
      </c>
      <c r="H34" s="108" t="s">
        <v>87</v>
      </c>
      <c r="I34" s="108" t="s">
        <v>90</v>
      </c>
      <c r="J34" s="109" t="s">
        <v>92</v>
      </c>
    </row>
    <row r="35" spans="3:10" ht="17" thickTop="1" x14ac:dyDescent="0.2">
      <c r="C35" s="24" t="s">
        <v>0</v>
      </c>
      <c r="D35" s="43">
        <v>391751</v>
      </c>
      <c r="E35" s="43">
        <f>'Scaled 2014-15 Data'!F6*1000000</f>
        <v>11633802.891815146</v>
      </c>
      <c r="F35" s="116">
        <f t="shared" ref="F35:F49" si="8">D35/E35</f>
        <v>3.3673511889703134E-2</v>
      </c>
      <c r="G35" s="56">
        <v>0.31</v>
      </c>
      <c r="H35" s="56">
        <f>'[10]Total Trip Tables'!$B$12</f>
        <v>3.6339219343</v>
      </c>
      <c r="I35" s="117">
        <f t="shared" ref="I35:I49" si="9">F35*H35/G35</f>
        <v>0.39473197890614214</v>
      </c>
      <c r="J35" s="119">
        <f>IF(I35&gt;0.5,0.5,I35)</f>
        <v>0.39473197890614214</v>
      </c>
    </row>
    <row r="36" spans="3:10" ht="16" x14ac:dyDescent="0.2">
      <c r="C36" s="24" t="s">
        <v>1</v>
      </c>
      <c r="D36" s="43">
        <v>48631594</v>
      </c>
      <c r="E36" s="43">
        <f>'Scaled 2014-15 Data'!F7*1000000</f>
        <v>89958725.264677346</v>
      </c>
      <c r="F36" s="116">
        <f t="shared" si="8"/>
        <v>0.54059896754779146</v>
      </c>
      <c r="G36" s="56">
        <v>53.53</v>
      </c>
      <c r="H36" s="56">
        <f>'[10]Total Trip Tables'!$B$23</f>
        <v>53.530078000000003</v>
      </c>
      <c r="I36" s="116">
        <f t="shared" si="9"/>
        <v>0.54059975526905935</v>
      </c>
      <c r="J36" s="120">
        <f t="shared" ref="J36:J49" si="10">IF(I36&gt;0.5,0.5,I36)</f>
        <v>0.5</v>
      </c>
    </row>
    <row r="37" spans="3:10" ht="16" x14ac:dyDescent="0.2">
      <c r="C37" s="24" t="s">
        <v>2</v>
      </c>
      <c r="D37" s="43">
        <v>5718423</v>
      </c>
      <c r="E37" s="43">
        <f>'Scaled 2014-15 Data'!F8*1000000</f>
        <v>20835262.851845872</v>
      </c>
      <c r="F37" s="116">
        <f t="shared" si="8"/>
        <v>0.27445888447207106</v>
      </c>
      <c r="G37" s="56">
        <v>5.04</v>
      </c>
      <c r="H37" s="56">
        <f>'[10]Total Trip Tables'!$B$34</f>
        <v>5.7199103379</v>
      </c>
      <c r="I37" s="116">
        <f t="shared" si="9"/>
        <v>0.31148416877386925</v>
      </c>
      <c r="J37" s="120">
        <f t="shared" si="10"/>
        <v>0.31148416877386925</v>
      </c>
    </row>
    <row r="38" spans="3:10" ht="16" x14ac:dyDescent="0.2">
      <c r="C38" s="27" t="s">
        <v>3</v>
      </c>
      <c r="D38" s="42">
        <v>5504912</v>
      </c>
      <c r="E38" s="43">
        <f>'Scaled 2014-15 Data'!F9*1000000</f>
        <v>14472403.850445561</v>
      </c>
      <c r="F38" s="116">
        <f t="shared" si="8"/>
        <v>0.38037302281545443</v>
      </c>
      <c r="G38" s="56">
        <v>2.85</v>
      </c>
      <c r="H38" s="56">
        <f>'[10]Total Trip Tables'!$B$45</f>
        <v>7.4672006229000001</v>
      </c>
      <c r="I38" s="116">
        <f t="shared" si="9"/>
        <v>0.99660409575505859</v>
      </c>
      <c r="J38" s="120">
        <f t="shared" si="10"/>
        <v>0.5</v>
      </c>
    </row>
    <row r="39" spans="3:10" ht="16" x14ac:dyDescent="0.2">
      <c r="C39" s="24" t="s">
        <v>4</v>
      </c>
      <c r="D39" s="43">
        <v>103512</v>
      </c>
      <c r="E39" s="43">
        <f>'Scaled 2014-15 Data'!F10*1000000</f>
        <v>2005171.3428473193</v>
      </c>
      <c r="F39" s="116">
        <f t="shared" si="8"/>
        <v>5.1622521122316758E-2</v>
      </c>
      <c r="G39" s="56">
        <v>0.16</v>
      </c>
      <c r="H39" s="56">
        <f>'[10]Total Trip Tables'!$B$56</f>
        <v>0.39415976190000002</v>
      </c>
      <c r="I39" s="116">
        <f t="shared" si="9"/>
        <v>0.12717200396406309</v>
      </c>
      <c r="J39" s="120">
        <f t="shared" si="10"/>
        <v>0.12717200396406309</v>
      </c>
    </row>
    <row r="40" spans="3:10" ht="16" x14ac:dyDescent="0.2">
      <c r="C40" s="24" t="s">
        <v>5</v>
      </c>
      <c r="D40" s="43">
        <v>932537</v>
      </c>
      <c r="E40" s="43">
        <f>'Scaled 2014-15 Data'!F11*1000000</f>
        <v>5469638.1884381389</v>
      </c>
      <c r="F40" s="116">
        <f t="shared" si="8"/>
        <v>0.17049336132894868</v>
      </c>
      <c r="G40" s="56">
        <v>0.76</v>
      </c>
      <c r="H40" s="56">
        <f>'[10]Total Trip Tables'!$B$67</f>
        <v>4.5218645043999999</v>
      </c>
      <c r="I40" s="116">
        <f t="shared" si="9"/>
        <v>1.0144051037226536</v>
      </c>
      <c r="J40" s="120">
        <f t="shared" si="10"/>
        <v>0.5</v>
      </c>
    </row>
    <row r="41" spans="3:10" ht="16" x14ac:dyDescent="0.2">
      <c r="C41" s="24" t="s">
        <v>6</v>
      </c>
      <c r="D41" s="43">
        <v>627854</v>
      </c>
      <c r="E41" s="43">
        <f>'Scaled 2014-15 Data'!F12*1000000</f>
        <v>3811705.9405101812</v>
      </c>
      <c r="F41" s="116">
        <f t="shared" si="8"/>
        <v>0.16471732337147821</v>
      </c>
      <c r="G41" s="56">
        <v>0.56000000000000005</v>
      </c>
      <c r="H41" s="56">
        <f>'[10]Total Trip Tables'!$B$78</f>
        <v>1.2787514622</v>
      </c>
      <c r="I41" s="116">
        <f t="shared" si="9"/>
        <v>0.37612949662669282</v>
      </c>
      <c r="J41" s="120">
        <f t="shared" si="10"/>
        <v>0.37612949662669282</v>
      </c>
    </row>
    <row r="42" spans="3:10" ht="16" x14ac:dyDescent="0.2">
      <c r="C42" s="24" t="s">
        <v>7</v>
      </c>
      <c r="D42" s="43">
        <v>1394002</v>
      </c>
      <c r="E42" s="43">
        <f>'Scaled 2014-15 Data'!F13*1000000</f>
        <v>8825299.9028763361</v>
      </c>
      <c r="F42" s="116">
        <f t="shared" si="8"/>
        <v>0.15795519872878969</v>
      </c>
      <c r="G42" s="56">
        <v>1.62</v>
      </c>
      <c r="H42" s="56">
        <f>'[10]Total Trip Tables'!$B$89</f>
        <v>5.2110099151</v>
      </c>
      <c r="I42" s="116">
        <f t="shared" si="9"/>
        <v>0.50809018933167527</v>
      </c>
      <c r="J42" s="120">
        <f t="shared" si="10"/>
        <v>0.5</v>
      </c>
    </row>
    <row r="43" spans="3:10" ht="16" x14ac:dyDescent="0.2">
      <c r="C43" s="24" t="s">
        <v>8</v>
      </c>
      <c r="D43" s="43">
        <v>16754976</v>
      </c>
      <c r="E43" s="43">
        <f>'Scaled 2014-15 Data'!F14*1000000</f>
        <v>22689049.401236158</v>
      </c>
      <c r="F43" s="116">
        <f t="shared" si="8"/>
        <v>0.73846090700860945</v>
      </c>
      <c r="G43" s="56">
        <v>23.61</v>
      </c>
      <c r="H43" s="56">
        <f>'[10]Total Trip Tables'!$B$100</f>
        <v>23.4</v>
      </c>
      <c r="I43" s="116">
        <f t="shared" si="9"/>
        <v>0.73189263972899032</v>
      </c>
      <c r="J43" s="120">
        <f>I43</f>
        <v>0.73189263972899032</v>
      </c>
    </row>
    <row r="44" spans="3:10" ht="16" x14ac:dyDescent="0.2">
      <c r="C44" s="24" t="s">
        <v>9</v>
      </c>
      <c r="D44" s="43">
        <f>43590+424876</f>
        <v>468466</v>
      </c>
      <c r="E44" s="43">
        <f>'Scaled 2014-15 Data'!F15*1000000</f>
        <v>6473415.744153453</v>
      </c>
      <c r="F44" s="116">
        <f t="shared" si="8"/>
        <v>7.2367667783905423E-2</v>
      </c>
      <c r="G44" s="56">
        <v>0.38</v>
      </c>
      <c r="H44" s="56">
        <f>'[10]Total Trip Tables'!$B$111</f>
        <v>2.0764681202999999</v>
      </c>
      <c r="I44" s="116">
        <f t="shared" si="9"/>
        <v>0.39544514498352878</v>
      </c>
      <c r="J44" s="120">
        <f t="shared" si="10"/>
        <v>0.39544514498352878</v>
      </c>
    </row>
    <row r="45" spans="3:10" ht="16" x14ac:dyDescent="0.2">
      <c r="C45" s="24" t="s">
        <v>10</v>
      </c>
      <c r="D45" s="43">
        <v>69700</v>
      </c>
      <c r="E45" s="43">
        <f>'Scaled 2014-15 Data'!F16*1000000</f>
        <v>3823787.5581235588</v>
      </c>
      <c r="F45" s="116">
        <f t="shared" si="8"/>
        <v>1.822800010213009E-2</v>
      </c>
      <c r="G45" s="56">
        <v>0.04</v>
      </c>
      <c r="H45" s="56">
        <f>'[10]Total Trip Tables'!$B$122</f>
        <v>0.50805546800000001</v>
      </c>
      <c r="I45" s="116">
        <f t="shared" si="9"/>
        <v>0.23152087806479377</v>
      </c>
      <c r="J45" s="120">
        <f t="shared" si="10"/>
        <v>0.23152087806479377</v>
      </c>
    </row>
    <row r="46" spans="3:10" ht="16" x14ac:dyDescent="0.2">
      <c r="C46" s="24" t="s">
        <v>11</v>
      </c>
      <c r="D46" s="43">
        <v>17264677</v>
      </c>
      <c r="E46" s="43">
        <f>'Scaled 2014-15 Data'!F17*1000000</f>
        <v>46029365.3129538</v>
      </c>
      <c r="F46" s="116">
        <f t="shared" si="8"/>
        <v>0.37507962324958005</v>
      </c>
      <c r="G46" s="56">
        <v>13.42</v>
      </c>
      <c r="H46" s="56">
        <f>'[10]Total Trip Tables'!$B$133</f>
        <v>20.502079716000001</v>
      </c>
      <c r="I46" s="116">
        <f t="shared" si="9"/>
        <v>0.57301880295902663</v>
      </c>
      <c r="J46" s="120">
        <f t="shared" si="10"/>
        <v>0.5</v>
      </c>
    </row>
    <row r="47" spans="3:10" ht="16" x14ac:dyDescent="0.2">
      <c r="C47" s="24" t="s">
        <v>12</v>
      </c>
      <c r="D47" s="43">
        <v>3825319</v>
      </c>
      <c r="E47" s="43">
        <f>'Scaled 2014-15 Data'!F18*1000000</f>
        <v>20014483.270765375</v>
      </c>
      <c r="F47" s="116">
        <f t="shared" si="8"/>
        <v>0.1911275424026331</v>
      </c>
      <c r="G47" s="56">
        <v>2.93</v>
      </c>
      <c r="H47" s="56">
        <f>'[10]Total Trip Tables'!$B$144</f>
        <v>4.2627057848999996</v>
      </c>
      <c r="I47" s="116">
        <f t="shared" si="9"/>
        <v>0.2780615974926362</v>
      </c>
      <c r="J47" s="120">
        <f t="shared" si="10"/>
        <v>0.2780615974926362</v>
      </c>
    </row>
    <row r="48" spans="3:10" ht="17" thickBot="1" x14ac:dyDescent="0.25">
      <c r="C48" s="25" t="s">
        <v>13</v>
      </c>
      <c r="D48" s="43">
        <v>306692</v>
      </c>
      <c r="E48" s="43">
        <f>'Scaled 2014-15 Data'!F19*1000000</f>
        <v>7479147.8762437496</v>
      </c>
      <c r="F48" s="116">
        <f t="shared" si="8"/>
        <v>4.100627572482627E-2</v>
      </c>
      <c r="G48" s="56">
        <v>0.31</v>
      </c>
      <c r="H48" s="56">
        <f>'[10]Total Trip Tables'!$B$155</f>
        <v>2.6369167839999998</v>
      </c>
      <c r="I48" s="116">
        <f t="shared" si="9"/>
        <v>0.3488068926068586</v>
      </c>
      <c r="J48" s="120">
        <f t="shared" si="10"/>
        <v>0.3488068926068586</v>
      </c>
    </row>
    <row r="49" spans="2:10" ht="19" thickTop="1" thickBot="1" x14ac:dyDescent="0.25">
      <c r="C49" s="31" t="s">
        <v>24</v>
      </c>
      <c r="D49" s="43">
        <f>SUM(D35:D48)</f>
        <v>101994415</v>
      </c>
      <c r="E49" s="43">
        <f>SUM(E35:E48)</f>
        <v>263521259.39693198</v>
      </c>
      <c r="F49" s="116">
        <f t="shared" si="8"/>
        <v>0.38704435169069118</v>
      </c>
      <c r="G49" s="56">
        <f>SUM(G35:G48)</f>
        <v>105.52000000000001</v>
      </c>
      <c r="H49" s="56">
        <f>SUM(H35:H48)</f>
        <v>135.14312241190001</v>
      </c>
      <c r="I49" s="116">
        <f t="shared" si="9"/>
        <v>0.49570112016081835</v>
      </c>
      <c r="J49" s="120">
        <f t="shared" si="10"/>
        <v>0.49570112016081835</v>
      </c>
    </row>
    <row r="50" spans="2:10" ht="18" thickTop="1" thickBot="1" x14ac:dyDescent="0.25">
      <c r="C50" s="8" t="s">
        <v>35</v>
      </c>
      <c r="D50" s="46">
        <v>101994415</v>
      </c>
      <c r="E50" s="46">
        <f>'Scaled 2014-15 Data'!F21*1000000</f>
        <v>263521259.39693201</v>
      </c>
      <c r="F50" s="107"/>
      <c r="G50" s="59">
        <v>105.5</v>
      </c>
      <c r="H50" s="59">
        <f>'[10]Total Trip Tables'!$B$166</f>
        <v>135.14312241190001</v>
      </c>
      <c r="I50" s="77"/>
      <c r="J50" s="118"/>
    </row>
    <row r="51" spans="2:10" ht="14" thickTop="1" x14ac:dyDescent="0.15"/>
    <row r="53" spans="2:10" x14ac:dyDescent="0.15">
      <c r="B53" s="105" t="s">
        <v>79</v>
      </c>
      <c r="C53" t="s">
        <v>80</v>
      </c>
    </row>
    <row r="54" spans="2:10" x14ac:dyDescent="0.15">
      <c r="B54" s="105" t="s">
        <v>84</v>
      </c>
      <c r="C54" s="106" t="s">
        <v>83</v>
      </c>
      <c r="F54" t="s">
        <v>86</v>
      </c>
    </row>
    <row r="55" spans="2:10" x14ac:dyDescent="0.15">
      <c r="B55" s="105" t="s">
        <v>88</v>
      </c>
      <c r="C55" t="s">
        <v>89</v>
      </c>
    </row>
    <row r="57" spans="2:10" ht="14" thickBot="1" x14ac:dyDescent="0.2"/>
    <row r="58" spans="2:10" ht="18" thickTop="1" thickBot="1" x14ac:dyDescent="0.25">
      <c r="C58" s="32" t="s">
        <v>102</v>
      </c>
      <c r="D58" s="34"/>
      <c r="E58" s="34"/>
      <c r="F58" s="34"/>
      <c r="G58" s="34"/>
      <c r="H58" s="34"/>
      <c r="I58" s="35"/>
      <c r="J58" s="35"/>
    </row>
    <row r="59" spans="2:10" ht="15" thickTop="1" thickBot="1" x14ac:dyDescent="0.2">
      <c r="C59" s="122"/>
      <c r="D59" s="71" t="s">
        <v>25</v>
      </c>
      <c r="E59" s="71" t="s">
        <v>37</v>
      </c>
      <c r="F59" s="195" t="s">
        <v>38</v>
      </c>
      <c r="G59" s="71" t="s">
        <v>177</v>
      </c>
      <c r="H59" s="33" t="s">
        <v>178</v>
      </c>
      <c r="I59" s="97" t="s">
        <v>26</v>
      </c>
      <c r="J59" s="97" t="s">
        <v>183</v>
      </c>
    </row>
    <row r="60" spans="2:10" ht="15" thickTop="1" thickBot="1" x14ac:dyDescent="0.2">
      <c r="C60" s="70"/>
      <c r="D60" s="71" t="s">
        <v>39</v>
      </c>
      <c r="E60" s="71" t="s">
        <v>39</v>
      </c>
      <c r="F60" s="71" t="s">
        <v>39</v>
      </c>
      <c r="G60" s="71" t="s">
        <v>39</v>
      </c>
      <c r="H60" s="71" t="s">
        <v>39</v>
      </c>
      <c r="I60" s="72" t="s">
        <v>39</v>
      </c>
      <c r="J60" s="72" t="s">
        <v>39</v>
      </c>
    </row>
    <row r="61" spans="2:10" ht="18" thickTop="1" x14ac:dyDescent="0.2">
      <c r="C61" s="123" t="s">
        <v>23</v>
      </c>
      <c r="D61" s="98">
        <f>SUM('[1]12_13 fleet'!$D$9:$D$22)+SUM('[1]12_13 fleet'!$D$24:$D$37)</f>
        <v>8813</v>
      </c>
      <c r="E61" s="98">
        <f>SUM('[2]13_14 fleet'!$D$10:$D$23)+SUM('[2]13_14 fleet'!$D$25:$D$38)</f>
        <v>9095</v>
      </c>
      <c r="F61" s="98">
        <f>SUM('[3]14_15 fleet'!$D$10:$D$23)+SUM('[3]14_15 fleet'!$D$25:$D$38)</f>
        <v>9283</v>
      </c>
      <c r="G61" s="98">
        <f>SUM('[4]15_16 fleet'!$D$10:$D$23)+SUM('[4]15_16 fleet'!$D$25:$D$38)</f>
        <v>9636</v>
      </c>
      <c r="H61" s="210">
        <f>SUM('[5]16_17 fleet_v2'!$D$10:$D$23)+SUM('[5]16_17 fleet_v2'!$D$25:$D$38)</f>
        <v>10187</v>
      </c>
      <c r="I61" s="196">
        <f>SUM('[6]17_18 fleet_v3'!$D$35:$D$48)+SUM('[6]17_18 fleet_v3'!$D$50:$D$63)</f>
        <v>10637</v>
      </c>
      <c r="J61" s="196">
        <f>SUM('[7]18_19 fleet_v3'!$D$35:$D$48)+SUM('[7]18_19 fleet_v3'!$D$50:$D$63)</f>
        <v>11232</v>
      </c>
    </row>
    <row r="62" spans="2:10" ht="17" thickBot="1" x14ac:dyDescent="0.25">
      <c r="C62" s="25" t="s">
        <v>97</v>
      </c>
      <c r="D62" s="98">
        <f>'[1]12_13 fleet'!$D$8+'[1]12_13 fleet'!$D$23</f>
        <v>161</v>
      </c>
      <c r="E62" s="98">
        <f>'[2]13_14 fleet'!$D$9+'[2]13_14 fleet'!$D$24</f>
        <v>158</v>
      </c>
      <c r="F62" s="98">
        <f>'[3]14_15 fleet'!$D$9+'[3]14_15 fleet'!$D$24</f>
        <v>157</v>
      </c>
      <c r="G62" s="98">
        <f>'[4]15_16 fleet'!$D$9+'[4]15_16 fleet'!$D$24</f>
        <v>155</v>
      </c>
      <c r="H62" s="98">
        <f>'[5]16_17 fleet_v2'!$D$9+'[5]16_17 fleet_v2'!$D$24</f>
        <v>152</v>
      </c>
      <c r="I62" s="99">
        <f>'[6]17_18 fleet_v3'!$D$34+'[6]17_18 fleet_v3'!$D$49</f>
        <v>149</v>
      </c>
      <c r="J62" s="99">
        <f>'[7]18_19 fleet_v3'!$D$34+'[7]18_19 fleet_v3'!$D$49</f>
        <v>148</v>
      </c>
    </row>
    <row r="63" spans="2:10" ht="18" thickTop="1" thickBot="1" x14ac:dyDescent="0.25">
      <c r="C63" s="8" t="s">
        <v>98</v>
      </c>
      <c r="D63" s="104">
        <f>D61+D62</f>
        <v>8974</v>
      </c>
      <c r="E63" s="102">
        <f>E61+E62</f>
        <v>9253</v>
      </c>
      <c r="F63" s="102">
        <f>F61+F62</f>
        <v>9440</v>
      </c>
      <c r="G63" s="102">
        <f t="shared" ref="G63:H63" si="11">G61+G62</f>
        <v>9791</v>
      </c>
      <c r="H63" s="102">
        <f t="shared" si="11"/>
        <v>10339</v>
      </c>
      <c r="I63" s="103">
        <f t="shared" ref="I63" si="12">I61+I62</f>
        <v>10786</v>
      </c>
      <c r="J63" s="103">
        <f t="shared" ref="J63" si="13">J61+J62</f>
        <v>11380</v>
      </c>
    </row>
    <row r="64" spans="2:10" ht="36" thickTop="1" thickBot="1" x14ac:dyDescent="0.25">
      <c r="C64" s="31" t="s">
        <v>99</v>
      </c>
      <c r="D64" s="100">
        <f>SUM('[1]12_13 fleet'!$D$8:$D$22)+SUM('[1]12_13 fleet'!$D$23:$D$37)</f>
        <v>8974</v>
      </c>
      <c r="E64" s="100">
        <f>SUM('[2]13_14 fleet'!$D$9:$D$23)+SUM('[2]13_14 fleet'!$D$24:$D$38)</f>
        <v>9253</v>
      </c>
      <c r="F64" s="100">
        <f>SUM('[3]14_15 fleet'!$D$9:$D$23)+SUM('[3]14_15 fleet'!$D$24:$D$38)</f>
        <v>9440</v>
      </c>
      <c r="G64" s="100">
        <f>SUM('[4]15_16 fleet'!$D$9:$D$23)+SUM('[4]15_16 fleet'!$D$24:$D$38)</f>
        <v>9791</v>
      </c>
      <c r="H64" s="100">
        <f>SUM('[5]16_17 fleet_v2'!$D$9:$D$23)+SUM('[5]16_17 fleet_v2'!$D$24:$D$38)</f>
        <v>10339</v>
      </c>
      <c r="I64" s="101">
        <f>SUM('[6]17_18 fleet_v3'!$D$34:$D$63)</f>
        <v>10786</v>
      </c>
      <c r="J64" s="101">
        <f>SUM('[7]18_19 fleet_v3'!$D$34:$D$63)</f>
        <v>11380</v>
      </c>
    </row>
    <row r="65" spans="3:10" ht="19" thickTop="1" thickBot="1" x14ac:dyDescent="0.25">
      <c r="C65" s="31" t="s">
        <v>101</v>
      </c>
      <c r="D65" s="124">
        <f>D63/D61</f>
        <v>1.0182684670373312</v>
      </c>
      <c r="E65" s="125">
        <f>E63/E61</f>
        <v>1.017372182517867</v>
      </c>
      <c r="F65" s="125">
        <f>F63/F61</f>
        <v>1.0169126360012928</v>
      </c>
      <c r="G65" s="125">
        <f t="shared" ref="G65:H65" si="14">G63/G61</f>
        <v>1.0160855126608552</v>
      </c>
      <c r="H65" s="125">
        <f t="shared" si="14"/>
        <v>1.0149209777166976</v>
      </c>
      <c r="I65" s="126">
        <f t="shared" ref="I65" si="15">I63/I61</f>
        <v>1.0140077089404906</v>
      </c>
      <c r="J65" s="126">
        <f t="shared" ref="J65" si="16">J63/J61</f>
        <v>1.0131766381766383</v>
      </c>
    </row>
    <row r="66" spans="3:10" ht="14" thickTop="1" x14ac:dyDescent="0.15"/>
  </sheetData>
  <hyperlinks>
    <hyperlink ref="C54" r:id="rId1" xr:uid="{00000000-0004-0000-1F00-000000000000}"/>
  </hyperlinks>
  <pageMargins left="0.7" right="0.7" top="0.75" bottom="0.75" header="0.3" footer="0.3"/>
  <pageSetup paperSize="9"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C3:R33"/>
  <sheetViews>
    <sheetView zoomScale="90" zoomScaleNormal="90" workbookViewId="0">
      <selection activeCell="M31" sqref="M31"/>
    </sheetView>
  </sheetViews>
  <sheetFormatPr baseColWidth="10" defaultColWidth="8.83203125" defaultRowHeight="13" x14ac:dyDescent="0.15"/>
  <cols>
    <col min="3" max="3" width="27.6640625" customWidth="1"/>
    <col min="4" max="18" width="17.6640625" customWidth="1"/>
  </cols>
  <sheetData>
    <row r="3" spans="3:18" ht="14" thickBot="1" x14ac:dyDescent="0.2"/>
    <row r="4" spans="3:18" ht="17" thickTop="1" x14ac:dyDescent="0.2">
      <c r="C4" s="32" t="s">
        <v>63</v>
      </c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34"/>
      <c r="Q4" s="34"/>
      <c r="R4" s="35"/>
    </row>
    <row r="5" spans="3:18" ht="14" thickBot="1" x14ac:dyDescent="0.2">
      <c r="C5" s="36"/>
      <c r="D5" s="37" t="s">
        <v>25</v>
      </c>
      <c r="E5" s="37" t="s">
        <v>37</v>
      </c>
      <c r="F5" s="37" t="s">
        <v>38</v>
      </c>
      <c r="G5" s="37" t="s">
        <v>177</v>
      </c>
      <c r="H5" s="37" t="s">
        <v>178</v>
      </c>
      <c r="I5" s="37" t="s">
        <v>26</v>
      </c>
      <c r="J5" s="37" t="s">
        <v>183</v>
      </c>
      <c r="K5" s="37" t="s">
        <v>27</v>
      </c>
      <c r="L5" s="37" t="s">
        <v>28</v>
      </c>
      <c r="M5" s="37" t="s">
        <v>29</v>
      </c>
      <c r="N5" s="37" t="s">
        <v>30</v>
      </c>
      <c r="O5" s="37" t="s">
        <v>31</v>
      </c>
      <c r="P5" s="37" t="s">
        <v>174</v>
      </c>
      <c r="Q5" s="37" t="s">
        <v>175</v>
      </c>
      <c r="R5" s="38" t="s">
        <v>176</v>
      </c>
    </row>
    <row r="6" spans="3:18" ht="15" thickTop="1" thickBot="1" x14ac:dyDescent="0.2">
      <c r="C6" s="70"/>
      <c r="D6" s="71" t="s">
        <v>39</v>
      </c>
      <c r="E6" s="65" t="s">
        <v>39</v>
      </c>
      <c r="F6" s="65" t="s">
        <v>39</v>
      </c>
      <c r="G6" s="65" t="s">
        <v>39</v>
      </c>
      <c r="H6" s="65" t="s">
        <v>39</v>
      </c>
      <c r="I6" s="71" t="s">
        <v>32</v>
      </c>
      <c r="J6" s="71"/>
      <c r="K6" s="71" t="s">
        <v>32</v>
      </c>
      <c r="L6" s="71" t="s">
        <v>32</v>
      </c>
      <c r="M6" s="71" t="s">
        <v>32</v>
      </c>
      <c r="N6" s="71" t="s">
        <v>32</v>
      </c>
      <c r="O6" s="71" t="s">
        <v>32</v>
      </c>
      <c r="P6" s="65" t="s">
        <v>32</v>
      </c>
      <c r="Q6" s="65" t="s">
        <v>32</v>
      </c>
      <c r="R6" s="66" t="s">
        <v>32</v>
      </c>
    </row>
    <row r="7" spans="3:18" ht="17" thickTop="1" x14ac:dyDescent="0.2">
      <c r="C7" s="24" t="s">
        <v>0</v>
      </c>
      <c r="D7" s="52">
        <f>'[10]Total Distance Tables'!$B$10</f>
        <v>9.2423909657000003</v>
      </c>
      <c r="E7" s="53">
        <f>D7*4/5 + I7/5</f>
        <v>9.4277026078752435</v>
      </c>
      <c r="F7" s="53">
        <f>D7*3/5+I7*2/5</f>
        <v>9.6130142500504885</v>
      </c>
      <c r="G7" s="53">
        <f>D7*2/5+I7*3/5</f>
        <v>9.7983258922257335</v>
      </c>
      <c r="H7" s="53">
        <f>D7/5+I7*4/5</f>
        <v>9.9836375344009767</v>
      </c>
      <c r="I7" s="53">
        <f>'[10]Total Distance Tables'!C10</f>
        <v>10.168949176576222</v>
      </c>
      <c r="J7" s="53">
        <f>I7*4/5 + K7/5</f>
        <v>10.278148754544876</v>
      </c>
      <c r="K7" s="53">
        <f>'[10]Total Distance Tables'!D10</f>
        <v>10.714947066419496</v>
      </c>
      <c r="L7" s="53">
        <f>'[10]Total Distance Tables'!E10</f>
        <v>10.849328511214793</v>
      </c>
      <c r="M7" s="53">
        <f>'[10]Total Distance Tables'!F10</f>
        <v>10.856805044446965</v>
      </c>
      <c r="N7" s="53">
        <f>'[10]Total Distance Tables'!G10</f>
        <v>10.667298862322809</v>
      </c>
      <c r="O7" s="53">
        <f>'[10]Total Distance Tables'!H10</f>
        <v>10.419139628645247</v>
      </c>
      <c r="P7" s="53">
        <f>'[10]Total Distance Tables'!I10</f>
        <v>10.54115380082138</v>
      </c>
      <c r="Q7" s="53">
        <f>'[10]Total Distance Tables'!J10</f>
        <v>10.631058567204535</v>
      </c>
      <c r="R7" s="54">
        <f>'[10]Total Distance Tables'!K10</f>
        <v>10.699067031195289</v>
      </c>
    </row>
    <row r="8" spans="3:18" ht="16" x14ac:dyDescent="0.2">
      <c r="C8" s="24" t="s">
        <v>1</v>
      </c>
      <c r="D8" s="55">
        <f>'[10]Total Distance Tables'!$B$21</f>
        <v>43.570185572</v>
      </c>
      <c r="E8" s="56">
        <f t="shared" ref="E8:E20" si="0">D8*4/5 + I8/5</f>
        <v>45.064386346531137</v>
      </c>
      <c r="F8" s="56">
        <f t="shared" ref="F8:F20" si="1">D8*3/5+I8*2/5</f>
        <v>46.55858712106226</v>
      </c>
      <c r="G8" s="56">
        <f t="shared" ref="G8:G20" si="2">D8*2/5+I8*3/5</f>
        <v>48.052787895593397</v>
      </c>
      <c r="H8" s="56">
        <f t="shared" ref="H8:H20" si="3">D8/5+I8*4/5</f>
        <v>49.546988670124534</v>
      </c>
      <c r="I8" s="56">
        <f>'[10]Total Distance Tables'!C21</f>
        <v>51.041189444655664</v>
      </c>
      <c r="J8" s="56">
        <f t="shared" ref="J8:J22" si="4">I8*4/5 + K8/5</f>
        <v>52.135795245396622</v>
      </c>
      <c r="K8" s="56">
        <f>'[10]Total Distance Tables'!D21</f>
        <v>56.514218448360459</v>
      </c>
      <c r="L8" s="56">
        <f>'[10]Total Distance Tables'!E21</f>
        <v>59.527379236476094</v>
      </c>
      <c r="M8" s="56">
        <f>'[10]Total Distance Tables'!F21</f>
        <v>61.936393196576304</v>
      </c>
      <c r="N8" s="56">
        <f>'[10]Total Distance Tables'!G21</f>
        <v>63.191510203753779</v>
      </c>
      <c r="O8" s="56">
        <f>'[10]Total Distance Tables'!H21</f>
        <v>64.070076325220157</v>
      </c>
      <c r="P8" s="56">
        <f>'[10]Total Distance Tables'!I21</f>
        <v>67.286919263762243</v>
      </c>
      <c r="Q8" s="56">
        <f>'[10]Total Distance Tables'!J21</f>
        <v>70.443044348525518</v>
      </c>
      <c r="R8" s="57">
        <f>'[10]Total Distance Tables'!K21</f>
        <v>73.591325571454732</v>
      </c>
    </row>
    <row r="9" spans="3:18" ht="16" x14ac:dyDescent="0.2">
      <c r="C9" s="24" t="s">
        <v>2</v>
      </c>
      <c r="D9" s="55">
        <f>'[10]Total Distance Tables'!$B$32</f>
        <v>38.030338682999997</v>
      </c>
      <c r="E9" s="56">
        <f t="shared" si="0"/>
        <v>39.036370017580069</v>
      </c>
      <c r="F9" s="56">
        <f t="shared" si="1"/>
        <v>40.042401352160141</v>
      </c>
      <c r="G9" s="56">
        <f t="shared" si="2"/>
        <v>41.048432686740213</v>
      </c>
      <c r="H9" s="56">
        <f t="shared" si="3"/>
        <v>42.054464021320278</v>
      </c>
      <c r="I9" s="56">
        <f>'[10]Total Distance Tables'!C32</f>
        <v>43.06049535590035</v>
      </c>
      <c r="J9" s="56">
        <f t="shared" si="4"/>
        <v>43.657220527313392</v>
      </c>
      <c r="K9" s="56">
        <f>'[10]Total Distance Tables'!D32</f>
        <v>46.04412121296555</v>
      </c>
      <c r="L9" s="56">
        <f>'[10]Total Distance Tables'!E32</f>
        <v>47.248760469455824</v>
      </c>
      <c r="M9" s="56">
        <f>'[10]Total Distance Tables'!F32</f>
        <v>47.979750036311074</v>
      </c>
      <c r="N9" s="56">
        <f>'[10]Total Distance Tables'!G32</f>
        <v>47.866678425161403</v>
      </c>
      <c r="O9" s="56">
        <f>'[10]Total Distance Tables'!H32</f>
        <v>47.522639050839928</v>
      </c>
      <c r="P9" s="56">
        <f>'[10]Total Distance Tables'!I32</f>
        <v>48.870491270148733</v>
      </c>
      <c r="Q9" s="56">
        <f>'[10]Total Distance Tables'!J32</f>
        <v>50.098523712838649</v>
      </c>
      <c r="R9" s="57">
        <f>'[10]Total Distance Tables'!K32</f>
        <v>51.248857613723921</v>
      </c>
    </row>
    <row r="10" spans="3:18" ht="16" x14ac:dyDescent="0.2">
      <c r="C10" s="27" t="s">
        <v>3</v>
      </c>
      <c r="D10" s="55">
        <f>'[10]Total Distance Tables'!$B$43</f>
        <v>35.608960758999999</v>
      </c>
      <c r="E10" s="56">
        <f t="shared" si="0"/>
        <v>36.439262658442857</v>
      </c>
      <c r="F10" s="56">
        <f t="shared" si="1"/>
        <v>37.269564557885722</v>
      </c>
      <c r="G10" s="56">
        <f t="shared" si="2"/>
        <v>38.099866457328588</v>
      </c>
      <c r="H10" s="56">
        <f t="shared" si="3"/>
        <v>38.930168356771446</v>
      </c>
      <c r="I10" s="56">
        <f>'[10]Total Distance Tables'!C43</f>
        <v>39.760470256214312</v>
      </c>
      <c r="J10" s="56">
        <f t="shared" si="4"/>
        <v>40.253513524981862</v>
      </c>
      <c r="K10" s="56">
        <f>'[10]Total Distance Tables'!D43</f>
        <v>42.225686600052057</v>
      </c>
      <c r="L10" s="56">
        <f>'[10]Total Distance Tables'!E43</f>
        <v>43.041551574729141</v>
      </c>
      <c r="M10" s="56">
        <f>'[10]Total Distance Tables'!F43</f>
        <v>43.426941077357505</v>
      </c>
      <c r="N10" s="56">
        <f>'[10]Total Distance Tables'!G43</f>
        <v>43.030618577329342</v>
      </c>
      <c r="O10" s="56">
        <f>'[10]Total Distance Tables'!H43</f>
        <v>42.432763012149017</v>
      </c>
      <c r="P10" s="56">
        <f>'[10]Total Distance Tables'!I43</f>
        <v>43.341499316315762</v>
      </c>
      <c r="Q10" s="56">
        <f>'[10]Total Distance Tables'!J43</f>
        <v>44.130476703808405</v>
      </c>
      <c r="R10" s="57">
        <f>'[10]Total Distance Tables'!K43</f>
        <v>44.838837421749226</v>
      </c>
    </row>
    <row r="11" spans="3:18" ht="16" x14ac:dyDescent="0.2">
      <c r="C11" s="24" t="s">
        <v>4</v>
      </c>
      <c r="D11" s="55">
        <f>'[10]Total Distance Tables'!$B$54</f>
        <v>0.95186353219999997</v>
      </c>
      <c r="E11" s="56">
        <f t="shared" si="0"/>
        <v>0.96364119965633654</v>
      </c>
      <c r="F11" s="56">
        <f t="shared" si="1"/>
        <v>0.97541886711267323</v>
      </c>
      <c r="G11" s="56">
        <f t="shared" si="2"/>
        <v>0.9871965345690098</v>
      </c>
      <c r="H11" s="56">
        <f t="shared" si="3"/>
        <v>0.99897420202534648</v>
      </c>
      <c r="I11" s="56">
        <f>'[10]Total Distance Tables'!C54</f>
        <v>1.0107518694816831</v>
      </c>
      <c r="J11" s="56">
        <f t="shared" si="4"/>
        <v>1.0170364748278029</v>
      </c>
      <c r="K11" s="56">
        <f>'[10]Total Distance Tables'!D54</f>
        <v>1.0421748962122819</v>
      </c>
      <c r="L11" s="56">
        <f>'[10]Total Distance Tables'!E54</f>
        <v>1.0380476016591977</v>
      </c>
      <c r="M11" s="56">
        <f>'[10]Total Distance Tables'!F54</f>
        <v>1.023824185034113</v>
      </c>
      <c r="N11" s="56">
        <f>'[10]Total Distance Tables'!G54</f>
        <v>0.99057418172506617</v>
      </c>
      <c r="O11" s="56">
        <f>'[10]Total Distance Tables'!H54</f>
        <v>0.953924795672348</v>
      </c>
      <c r="P11" s="56">
        <f>'[10]Total Distance Tables'!I54</f>
        <v>0.95152492160407331</v>
      </c>
      <c r="Q11" s="56">
        <f>'[10]Total Distance Tables'!J54</f>
        <v>0.94614623645549989</v>
      </c>
      <c r="R11" s="57">
        <f>'[10]Total Distance Tables'!K54</f>
        <v>0.93880934049183107</v>
      </c>
    </row>
    <row r="12" spans="3:18" ht="16" x14ac:dyDescent="0.2">
      <c r="C12" s="24" t="s">
        <v>5</v>
      </c>
      <c r="D12" s="55">
        <f>'[10]Total Distance Tables'!$B$65</f>
        <v>3.0321841239</v>
      </c>
      <c r="E12" s="56">
        <f t="shared" si="0"/>
        <v>3.0738786710932997</v>
      </c>
      <c r="F12" s="56">
        <f t="shared" si="1"/>
        <v>3.1155732182865985</v>
      </c>
      <c r="G12" s="56">
        <f t="shared" si="2"/>
        <v>3.1572677654798982</v>
      </c>
      <c r="H12" s="56">
        <f t="shared" si="3"/>
        <v>3.1989623126731974</v>
      </c>
      <c r="I12" s="56">
        <f>'[10]Total Distance Tables'!C65</f>
        <v>3.2406568598664962</v>
      </c>
      <c r="J12" s="56">
        <f t="shared" si="4"/>
        <v>3.2618253879648602</v>
      </c>
      <c r="K12" s="56">
        <f>'[10]Total Distance Tables'!D65</f>
        <v>3.3464995003583162</v>
      </c>
      <c r="L12" s="56">
        <f>'[10]Total Distance Tables'!E65</f>
        <v>3.3424298097727942</v>
      </c>
      <c r="M12" s="56">
        <f>'[10]Total Distance Tables'!F65</f>
        <v>3.3020436632042034</v>
      </c>
      <c r="N12" s="56">
        <f>'[10]Total Distance Tables'!G65</f>
        <v>3.2049093996194458</v>
      </c>
      <c r="O12" s="56">
        <f>'[10]Total Distance Tables'!H65</f>
        <v>3.0940199556458654</v>
      </c>
      <c r="P12" s="56">
        <f>'[10]Total Distance Tables'!I65</f>
        <v>3.0939219993710809</v>
      </c>
      <c r="Q12" s="56">
        <f>'[10]Total Distance Tables'!J65</f>
        <v>3.0840945191609705</v>
      </c>
      <c r="R12" s="57">
        <f>'[10]Total Distance Tables'!K65</f>
        <v>3.0677999462922809</v>
      </c>
    </row>
    <row r="13" spans="3:18" ht="16" x14ac:dyDescent="0.2">
      <c r="C13" s="24" t="s">
        <v>6</v>
      </c>
      <c r="D13" s="55">
        <f>'[10]Total Distance Tables'!$B$76</f>
        <v>7.0100687938000004</v>
      </c>
      <c r="E13" s="56">
        <f t="shared" si="0"/>
        <v>7.1206118263664155</v>
      </c>
      <c r="F13" s="56">
        <f t="shared" si="1"/>
        <v>7.2311548589328298</v>
      </c>
      <c r="G13" s="56">
        <f t="shared" si="2"/>
        <v>7.3416978914992459</v>
      </c>
      <c r="H13" s="56">
        <f t="shared" si="3"/>
        <v>7.4522409240656602</v>
      </c>
      <c r="I13" s="56">
        <f>'[10]Total Distance Tables'!C76</f>
        <v>7.5627839566320754</v>
      </c>
      <c r="J13" s="56">
        <f t="shared" si="4"/>
        <v>7.6251049658935921</v>
      </c>
      <c r="K13" s="56">
        <f>'[10]Total Distance Tables'!D76</f>
        <v>7.874389002939659</v>
      </c>
      <c r="L13" s="56">
        <f>'[10]Total Distance Tables'!E76</f>
        <v>7.9388593713285784</v>
      </c>
      <c r="M13" s="56">
        <f>'[10]Total Distance Tables'!F76</f>
        <v>7.9260237837911109</v>
      </c>
      <c r="N13" s="56">
        <f>'[10]Total Distance Tables'!G76</f>
        <v>7.7861035225611985</v>
      </c>
      <c r="O13" s="56">
        <f>'[10]Total Distance Tables'!H76</f>
        <v>7.6188329985661944</v>
      </c>
      <c r="P13" s="56">
        <f>'[10]Total Distance Tables'!I76</f>
        <v>7.722103727645198</v>
      </c>
      <c r="Q13" s="56">
        <f>'[10]Total Distance Tables'!J76</f>
        <v>7.8021604421772777</v>
      </c>
      <c r="R13" s="57">
        <f>'[10]Total Distance Tables'!K76</f>
        <v>7.8663843039997632</v>
      </c>
    </row>
    <row r="14" spans="3:18" ht="16" x14ac:dyDescent="0.2">
      <c r="C14" s="24" t="s">
        <v>7</v>
      </c>
      <c r="D14" s="55">
        <f>'[10]Total Distance Tables'!$B$87</f>
        <v>3.8744282972000001</v>
      </c>
      <c r="E14" s="56">
        <f t="shared" si="0"/>
        <v>3.928993873947809</v>
      </c>
      <c r="F14" s="56">
        <f t="shared" si="1"/>
        <v>3.9835594506956182</v>
      </c>
      <c r="G14" s="56">
        <f t="shared" si="2"/>
        <v>4.0381250274434279</v>
      </c>
      <c r="H14" s="56">
        <f t="shared" si="3"/>
        <v>4.0926906041912368</v>
      </c>
      <c r="I14" s="56">
        <f>'[10]Total Distance Tables'!C87</f>
        <v>4.1472561809390456</v>
      </c>
      <c r="J14" s="56">
        <f t="shared" si="4"/>
        <v>4.1717758506109845</v>
      </c>
      <c r="K14" s="56">
        <f>'[10]Total Distance Tables'!D87</f>
        <v>4.2698545292987413</v>
      </c>
      <c r="L14" s="56">
        <f>'[10]Total Distance Tables'!E87</f>
        <v>4.2517276359418705</v>
      </c>
      <c r="M14" s="56">
        <f>'[10]Total Distance Tables'!F87</f>
        <v>4.1920385097516979</v>
      </c>
      <c r="N14" s="56">
        <f>'[10]Total Distance Tables'!G87</f>
        <v>4.0623433842835119</v>
      </c>
      <c r="O14" s="56">
        <f>'[10]Total Distance Tables'!H87</f>
        <v>3.9165817878555673</v>
      </c>
      <c r="P14" s="56">
        <f>'[10]Total Distance Tables'!I87</f>
        <v>3.9112598128779124</v>
      </c>
      <c r="Q14" s="56">
        <f>'[10]Total Distance Tables'!J87</f>
        <v>3.893661566178408</v>
      </c>
      <c r="R14" s="57">
        <f>'[10]Total Distance Tables'!K87</f>
        <v>3.8679492911639808</v>
      </c>
    </row>
    <row r="15" spans="3:18" ht="16" x14ac:dyDescent="0.2">
      <c r="C15" s="24" t="s">
        <v>8</v>
      </c>
      <c r="D15" s="55">
        <f>'[10]Total Distance Tables'!$B$98</f>
        <v>24.444631151999999</v>
      </c>
      <c r="E15" s="56">
        <f t="shared" si="0"/>
        <v>24.881126288705225</v>
      </c>
      <c r="F15" s="56">
        <f t="shared" si="1"/>
        <v>25.317621425410451</v>
      </c>
      <c r="G15" s="56">
        <f t="shared" si="2"/>
        <v>25.754116562115676</v>
      </c>
      <c r="H15" s="56">
        <f t="shared" si="3"/>
        <v>26.190611698820899</v>
      </c>
      <c r="I15" s="56">
        <f>'[10]Total Distance Tables'!C98</f>
        <v>26.627106835526124</v>
      </c>
      <c r="J15" s="56">
        <f t="shared" si="4"/>
        <v>26.873653016223219</v>
      </c>
      <c r="K15" s="56">
        <f>'[10]Total Distance Tables'!D98</f>
        <v>27.859837739011599</v>
      </c>
      <c r="L15" s="56">
        <f>'[10]Total Distance Tables'!E98</f>
        <v>28.121874942901538</v>
      </c>
      <c r="M15" s="56">
        <f>'[10]Total Distance Tables'!F98</f>
        <v>28.136474242848251</v>
      </c>
      <c r="N15" s="56">
        <f>'[10]Total Distance Tables'!G98</f>
        <v>27.678209980861634</v>
      </c>
      <c r="O15" s="56">
        <f>'[10]Total Distance Tables'!H98</f>
        <v>27.084643769029721</v>
      </c>
      <c r="P15" s="56">
        <f>'[10]Total Distance Tables'!I98</f>
        <v>27.452832006609832</v>
      </c>
      <c r="Q15" s="56">
        <f>'[10]Total Distance Tables'!J98</f>
        <v>27.738517482701695</v>
      </c>
      <c r="R15" s="57">
        <f>'[10]Total Distance Tables'!K98</f>
        <v>27.967933380140934</v>
      </c>
    </row>
    <row r="16" spans="3:18" ht="16" x14ac:dyDescent="0.2">
      <c r="C16" s="24" t="s">
        <v>9</v>
      </c>
      <c r="D16" s="55">
        <f>'[10]Total Distance Tables'!$B$109</f>
        <v>34.127286998000002</v>
      </c>
      <c r="E16" s="56">
        <f t="shared" si="0"/>
        <v>34.666202844910217</v>
      </c>
      <c r="F16" s="56">
        <f t="shared" si="1"/>
        <v>35.205118691820438</v>
      </c>
      <c r="G16" s="56">
        <f t="shared" si="2"/>
        <v>35.744034538730659</v>
      </c>
      <c r="H16" s="56">
        <f t="shared" si="3"/>
        <v>36.282950385640873</v>
      </c>
      <c r="I16" s="56">
        <f>'[10]Total Distance Tables'!C109</f>
        <v>36.821866232551095</v>
      </c>
      <c r="J16" s="56">
        <f t="shared" si="4"/>
        <v>37.137475089187021</v>
      </c>
      <c r="K16" s="56">
        <f>'[10]Total Distance Tables'!D109</f>
        <v>38.399910515730724</v>
      </c>
      <c r="L16" s="56">
        <f>'[10]Total Distance Tables'!E109</f>
        <v>38.625334658624389</v>
      </c>
      <c r="M16" s="56">
        <f>'[10]Total Distance Tables'!F109</f>
        <v>38.447761034205435</v>
      </c>
      <c r="N16" s="56">
        <f>'[10]Total Distance Tables'!G109</f>
        <v>37.577207401515913</v>
      </c>
      <c r="O16" s="56">
        <f>'[10]Total Distance Tables'!H109</f>
        <v>36.472438942978052</v>
      </c>
      <c r="P16" s="56">
        <f>'[10]Total Distance Tables'!I109</f>
        <v>36.669457598693704</v>
      </c>
      <c r="Q16" s="56">
        <f>'[10]Total Distance Tables'!J109</f>
        <v>36.753333768795997</v>
      </c>
      <c r="R16" s="57">
        <f>'[10]Total Distance Tables'!K109</f>
        <v>36.761273988754944</v>
      </c>
    </row>
    <row r="17" spans="3:18" ht="16" x14ac:dyDescent="0.2">
      <c r="C17" s="24" t="s">
        <v>10</v>
      </c>
      <c r="D17" s="55">
        <f>'[10]Total Distance Tables'!$B$120</f>
        <v>0.29466348679999999</v>
      </c>
      <c r="E17" s="56">
        <f t="shared" si="0"/>
        <v>0.29545517968846235</v>
      </c>
      <c r="F17" s="56">
        <f t="shared" si="1"/>
        <v>0.29624687257692472</v>
      </c>
      <c r="G17" s="56">
        <f t="shared" si="2"/>
        <v>0.29703856546538704</v>
      </c>
      <c r="H17" s="56">
        <f t="shared" si="3"/>
        <v>0.29783025835384941</v>
      </c>
      <c r="I17" s="56">
        <f>'[10]Total Distance Tables'!C120</f>
        <v>0.29862195124231178</v>
      </c>
      <c r="J17" s="56">
        <f t="shared" si="4"/>
        <v>0.29935678499494112</v>
      </c>
      <c r="K17" s="56">
        <f>'[10]Total Distance Tables'!D120</f>
        <v>0.30229612000545841</v>
      </c>
      <c r="L17" s="56">
        <f>'[10]Total Distance Tables'!E120</f>
        <v>0.2956550766468185</v>
      </c>
      <c r="M17" s="56">
        <f>'[10]Total Distance Tables'!F120</f>
        <v>0.28627513990462355</v>
      </c>
      <c r="N17" s="56">
        <f>'[10]Total Distance Tables'!G120</f>
        <v>0.27230974156491417</v>
      </c>
      <c r="O17" s="56">
        <f>'[10]Total Distance Tables'!H120</f>
        <v>0.2579114195201368</v>
      </c>
      <c r="P17" s="56">
        <f>'[10]Total Distance Tables'!I120</f>
        <v>0.25302117139355956</v>
      </c>
      <c r="Q17" s="56">
        <f>'[10]Total Distance Tables'!J120</f>
        <v>0.24744302779100011</v>
      </c>
      <c r="R17" s="57">
        <f>'[10]Total Distance Tables'!K120</f>
        <v>0.24147635812697249</v>
      </c>
    </row>
    <row r="18" spans="3:18" ht="16" x14ac:dyDescent="0.2">
      <c r="C18" s="24" t="s">
        <v>11</v>
      </c>
      <c r="D18" s="55">
        <f>'[10]Total Distance Tables'!$B$131</f>
        <v>12.048552727000001</v>
      </c>
      <c r="E18" s="56">
        <f t="shared" si="0"/>
        <v>12.384124787497779</v>
      </c>
      <c r="F18" s="56">
        <f t="shared" si="1"/>
        <v>12.719696847995557</v>
      </c>
      <c r="G18" s="56">
        <f t="shared" si="2"/>
        <v>13.055268908493337</v>
      </c>
      <c r="H18" s="56">
        <f t="shared" si="3"/>
        <v>13.390840968991114</v>
      </c>
      <c r="I18" s="56">
        <f>'[10]Total Distance Tables'!C131</f>
        <v>13.726413029488894</v>
      </c>
      <c r="J18" s="56">
        <f t="shared" si="4"/>
        <v>13.943023176501697</v>
      </c>
      <c r="K18" s="56">
        <f>'[10]Total Distance Tables'!D131</f>
        <v>14.809463764552916</v>
      </c>
      <c r="L18" s="56">
        <f>'[10]Total Distance Tables'!E131</f>
        <v>15.234255452025836</v>
      </c>
      <c r="M18" s="56">
        <f>'[10]Total Distance Tables'!F131</f>
        <v>15.525332425517563</v>
      </c>
      <c r="N18" s="56">
        <f>'[10]Total Distance Tables'!G131</f>
        <v>15.553655290672346</v>
      </c>
      <c r="O18" s="56">
        <f>'[10]Total Distance Tables'!H131</f>
        <v>15.502637559360171</v>
      </c>
      <c r="P18" s="56">
        <f>'[10]Total Distance Tables'!I131</f>
        <v>16.005071334799027</v>
      </c>
      <c r="Q18" s="56">
        <f>'[10]Total Distance Tables'!J131</f>
        <v>16.47182439110999</v>
      </c>
      <c r="R18" s="57">
        <f>'[10]Total Distance Tables'!K131</f>
        <v>16.91635653567775</v>
      </c>
    </row>
    <row r="19" spans="3:18" ht="16" x14ac:dyDescent="0.2">
      <c r="C19" s="24" t="s">
        <v>12</v>
      </c>
      <c r="D19" s="55">
        <f>'[10]Total Distance Tables'!$B$142</f>
        <v>18.503357486999999</v>
      </c>
      <c r="E19" s="56">
        <f t="shared" si="0"/>
        <v>18.920815140203693</v>
      </c>
      <c r="F19" s="56">
        <f t="shared" si="1"/>
        <v>19.338272793407384</v>
      </c>
      <c r="G19" s="56">
        <f t="shared" si="2"/>
        <v>19.755730446611079</v>
      </c>
      <c r="H19" s="56">
        <f t="shared" si="3"/>
        <v>20.173188099814769</v>
      </c>
      <c r="I19" s="56">
        <f>'[10]Total Distance Tables'!C142</f>
        <v>20.590645753018464</v>
      </c>
      <c r="J19" s="56">
        <f t="shared" si="4"/>
        <v>20.82963009180612</v>
      </c>
      <c r="K19" s="56">
        <f>'[10]Total Distance Tables'!D142</f>
        <v>21.785567446956744</v>
      </c>
      <c r="L19" s="56">
        <f>'[10]Total Distance Tables'!E142</f>
        <v>22.047545932302061</v>
      </c>
      <c r="M19" s="56">
        <f>'[10]Total Distance Tables'!F142</f>
        <v>22.114510639393984</v>
      </c>
      <c r="N19" s="56">
        <f>'[10]Total Distance Tables'!G142</f>
        <v>21.818844333276861</v>
      </c>
      <c r="O19" s="56">
        <f>'[10]Total Distance Tables'!H142</f>
        <v>21.422314220863498</v>
      </c>
      <c r="P19" s="56">
        <f>'[10]Total Distance Tables'!I142</f>
        <v>21.786121587151403</v>
      </c>
      <c r="Q19" s="56">
        <f>'[10]Total Distance Tables'!J142</f>
        <v>22.086430339713825</v>
      </c>
      <c r="R19" s="57">
        <f>'[10]Total Distance Tables'!K142</f>
        <v>22.343549873447056</v>
      </c>
    </row>
    <row r="20" spans="3:18" ht="17" thickBot="1" x14ac:dyDescent="0.25">
      <c r="C20" s="25" t="s">
        <v>13</v>
      </c>
      <c r="D20" s="58">
        <f>'[10]Total Distance Tables'!$B$153</f>
        <v>18.926640866</v>
      </c>
      <c r="E20" s="59">
        <f t="shared" si="0"/>
        <v>19.166350465994675</v>
      </c>
      <c r="F20" s="59">
        <f t="shared" si="1"/>
        <v>19.406060065989351</v>
      </c>
      <c r="G20" s="59">
        <f t="shared" si="2"/>
        <v>19.645769665984027</v>
      </c>
      <c r="H20" s="59">
        <f t="shared" si="3"/>
        <v>19.885479265978702</v>
      </c>
      <c r="I20" s="59">
        <f>'[10]Total Distance Tables'!C153</f>
        <v>20.125188865973378</v>
      </c>
      <c r="J20" s="59">
        <f t="shared" si="4"/>
        <v>20.211678691668908</v>
      </c>
      <c r="K20" s="59">
        <f>'[10]Total Distance Tables'!D153</f>
        <v>20.557637994451039</v>
      </c>
      <c r="L20" s="59">
        <f>'[10]Total Distance Tables'!E153</f>
        <v>20.331560991802242</v>
      </c>
      <c r="M20" s="59">
        <f>'[10]Total Distance Tables'!F153</f>
        <v>19.933375956174082</v>
      </c>
      <c r="N20" s="59">
        <f>'[10]Total Distance Tables'!G153</f>
        <v>19.209177301244821</v>
      </c>
      <c r="O20" s="59">
        <f>'[10]Total Distance Tables'!H153</f>
        <v>18.423590183087583</v>
      </c>
      <c r="P20" s="59">
        <f>'[10]Total Distance Tables'!I153</f>
        <v>18.302847470227114</v>
      </c>
      <c r="Q20" s="59">
        <f>'[10]Total Distance Tables'!J153</f>
        <v>18.125714090962592</v>
      </c>
      <c r="R20" s="60">
        <f>'[10]Total Distance Tables'!K153</f>
        <v>17.912352495563635</v>
      </c>
    </row>
    <row r="21" spans="3:18" ht="19" thickTop="1" thickBot="1" x14ac:dyDescent="0.25">
      <c r="C21" s="31" t="s">
        <v>24</v>
      </c>
      <c r="D21" s="133">
        <f t="shared" ref="D21:O21" si="5">SUM(D7:D20)</f>
        <v>249.6655534436</v>
      </c>
      <c r="E21" s="62">
        <f t="shared" si="5"/>
        <v>255.36892190849321</v>
      </c>
      <c r="F21" s="62">
        <f t="shared" si="5"/>
        <v>261.07229037338641</v>
      </c>
      <c r="G21" s="62">
        <f t="shared" si="5"/>
        <v>266.7756588382797</v>
      </c>
      <c r="H21" s="62">
        <f t="shared" si="5"/>
        <v>272.47902730317287</v>
      </c>
      <c r="I21" s="62">
        <f t="shared" si="5"/>
        <v>278.1823957680661</v>
      </c>
      <c r="J21" s="62">
        <f t="shared" si="5"/>
        <v>281.69523758191588</v>
      </c>
      <c r="K21" s="62">
        <f t="shared" si="5"/>
        <v>295.74660483731503</v>
      </c>
      <c r="L21" s="62">
        <f t="shared" si="5"/>
        <v>301.8943112648812</v>
      </c>
      <c r="M21" s="62">
        <f t="shared" si="5"/>
        <v>305.08754893451697</v>
      </c>
      <c r="N21" s="62">
        <f t="shared" si="5"/>
        <v>302.90944060589305</v>
      </c>
      <c r="O21" s="62">
        <f t="shared" si="5"/>
        <v>299.19151364943349</v>
      </c>
      <c r="P21" s="62">
        <f t="shared" ref="P21:R21" si="6">SUM(P7:P20)</f>
        <v>306.18822528142101</v>
      </c>
      <c r="Q21" s="62">
        <f t="shared" si="6"/>
        <v>312.45242919742435</v>
      </c>
      <c r="R21" s="63">
        <f t="shared" si="6"/>
        <v>318.26197315178234</v>
      </c>
    </row>
    <row r="22" spans="3:18" ht="18" thickTop="1" thickBot="1" x14ac:dyDescent="0.25">
      <c r="C22" s="8" t="s">
        <v>35</v>
      </c>
      <c r="D22" s="200">
        <f>'[10]Total Distance Tables'!$B$164</f>
        <v>249.6655534436</v>
      </c>
      <c r="E22" s="200">
        <f t="shared" ref="E22" si="7">D22*4/5 + I22/5</f>
        <v>255.36892190849323</v>
      </c>
      <c r="F22" s="200">
        <f t="shared" ref="F22" si="8">D22*3/5+I22*2/5</f>
        <v>261.07229037338647</v>
      </c>
      <c r="G22" s="200">
        <f t="shared" ref="G22" si="9">D22*2/5+I22*3/5</f>
        <v>266.7756588382797</v>
      </c>
      <c r="H22" s="200">
        <f t="shared" ref="H22" si="10">D22/5+I22*4/5</f>
        <v>272.47902730317287</v>
      </c>
      <c r="I22" s="200">
        <f>'[10]Total Distance Tables'!C$164</f>
        <v>278.1823957680661</v>
      </c>
      <c r="J22" s="200">
        <f t="shared" si="4"/>
        <v>281.69523758191588</v>
      </c>
      <c r="K22" s="200">
        <f>'[10]Total Distance Tables'!D$164</f>
        <v>295.74660483731503</v>
      </c>
      <c r="L22" s="200">
        <f>'[10]Total Distance Tables'!E$164</f>
        <v>301.8943112648812</v>
      </c>
      <c r="M22" s="200">
        <f>'[10]Total Distance Tables'!F$164</f>
        <v>305.08754893451697</v>
      </c>
      <c r="N22" s="200">
        <f>'[10]Total Distance Tables'!G$164</f>
        <v>302.90944060589305</v>
      </c>
      <c r="O22" s="200">
        <f>'[10]Total Distance Tables'!H$164</f>
        <v>299.19151364943349</v>
      </c>
      <c r="P22" s="200">
        <f>'[10]Total Distance Tables'!I$164</f>
        <v>306.18822528142101</v>
      </c>
      <c r="Q22" s="200">
        <f>'[10]Total Distance Tables'!J$164</f>
        <v>312.45242919742435</v>
      </c>
      <c r="R22" s="201">
        <f>'[10]Total Distance Tables'!K$164</f>
        <v>318.26197315178234</v>
      </c>
    </row>
    <row r="23" spans="3:18" ht="17" thickTop="1" x14ac:dyDescent="0.2">
      <c r="C23" s="128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</row>
    <row r="24" spans="3:18" ht="14" thickBot="1" x14ac:dyDescent="0.2"/>
    <row r="25" spans="3:18" ht="18" thickTop="1" thickBot="1" x14ac:dyDescent="0.25">
      <c r="C25" s="32" t="s">
        <v>100</v>
      </c>
      <c r="D25" s="34"/>
      <c r="E25" s="34"/>
      <c r="F25" s="34"/>
      <c r="G25" s="34"/>
      <c r="H25" s="34"/>
      <c r="I25" s="35"/>
      <c r="J25" s="35"/>
    </row>
    <row r="26" spans="3:18" ht="15" thickTop="1" thickBot="1" x14ac:dyDescent="0.2">
      <c r="C26" s="122"/>
      <c r="D26" s="71" t="s">
        <v>25</v>
      </c>
      <c r="E26" s="71" t="s">
        <v>37</v>
      </c>
      <c r="F26" s="33" t="s">
        <v>38</v>
      </c>
      <c r="G26" s="71" t="s">
        <v>177</v>
      </c>
      <c r="H26" s="33" t="s">
        <v>178</v>
      </c>
      <c r="I26" s="97" t="s">
        <v>26</v>
      </c>
      <c r="J26" s="97"/>
    </row>
    <row r="27" spans="3:18" ht="15" thickTop="1" thickBot="1" x14ac:dyDescent="0.2">
      <c r="C27" s="70"/>
      <c r="D27" s="71" t="s">
        <v>39</v>
      </c>
      <c r="E27" s="71" t="s">
        <v>39</v>
      </c>
      <c r="F27" s="71" t="s">
        <v>39</v>
      </c>
      <c r="G27" s="71" t="s">
        <v>39</v>
      </c>
      <c r="H27" s="71" t="s">
        <v>39</v>
      </c>
      <c r="I27" s="72" t="s">
        <v>39</v>
      </c>
      <c r="J27" s="72" t="s">
        <v>39</v>
      </c>
    </row>
    <row r="28" spans="3:18" ht="18" thickTop="1" x14ac:dyDescent="0.2">
      <c r="C28" s="123" t="s">
        <v>23</v>
      </c>
      <c r="D28" s="98">
        <f>SUM('[1]12_13 fleet'!$D$99:$D$112)+SUM('[1]12_13 fleet'!$D$114:$D$127)</f>
        <v>137947</v>
      </c>
      <c r="E28" s="98">
        <f>SUM('[2]13_14 fleet'!$D$100:$D$113)+SUM('[2]13_14 fleet'!$D$115:$D$128)</f>
        <v>144467</v>
      </c>
      <c r="F28" s="98">
        <f>SUM('[3]14_15 fleet'!$D$100:$D$113)+SUM('[3]14_15 fleet'!$D$115:$D$128)</f>
        <v>152683</v>
      </c>
      <c r="G28" s="98">
        <f>SUM('[4]15_16 fleet'!$D$100:$D$113)+SUM('[4]15_16 fleet'!$D$115:$D$128)</f>
        <v>158161</v>
      </c>
      <c r="H28" s="210">
        <f>SUM('[5]16_17 fleet_v2'!$D$100:$D$113)+SUM('[5]16_17 fleet_v2'!$D$115:$D$128)</f>
        <v>161767</v>
      </c>
      <c r="I28" s="196">
        <f>SUM('[6]17_18 fleet_v3'!$D$125:$D$138)+SUM('[6]17_18 fleet_v3'!$D$140:$D$153)</f>
        <v>165549</v>
      </c>
      <c r="J28" s="196">
        <f>SUM('[7]18_19 fleet_v3'!$D$125:$D$138)+SUM('[7]18_19 fleet_v3'!$D$140:$D$153)</f>
        <v>170270</v>
      </c>
    </row>
    <row r="29" spans="3:18" ht="17" thickBot="1" x14ac:dyDescent="0.25">
      <c r="C29" s="25" t="s">
        <v>97</v>
      </c>
      <c r="D29" s="98">
        <f>'[1]12_13 fleet'!$D$98+'[1]12_13 fleet'!$D$113</f>
        <v>6001</v>
      </c>
      <c r="E29" s="98">
        <f>'[2]13_14 fleet'!$D$99+'[2]13_14 fleet'!$D$114</f>
        <v>4098</v>
      </c>
      <c r="F29" s="98">
        <f>'[3]14_15 fleet'!$D$99+'[3]14_15 fleet'!$D$114</f>
        <v>1990</v>
      </c>
      <c r="G29" s="98">
        <f>'[4]15_16 fleet'!$D$99+'[4]15_16 fleet'!$D$114</f>
        <v>2033</v>
      </c>
      <c r="H29" s="98">
        <f>'[5]16_17 fleet_v2'!$D$99+'[5]16_17 fleet_v2'!$D$114</f>
        <v>4283</v>
      </c>
      <c r="I29" s="99">
        <f>'[6]17_18 fleet_v3'!$D$124+'[6]17_18 fleet_v3'!$D$139</f>
        <v>6505</v>
      </c>
      <c r="J29" s="99">
        <f>'[7]18_19 fleet_v3'!$D$124+'[7]18_19 fleet_v3'!$D$139</f>
        <v>8572</v>
      </c>
    </row>
    <row r="30" spans="3:18" ht="18" thickTop="1" thickBot="1" x14ac:dyDescent="0.25">
      <c r="C30" s="8" t="s">
        <v>98</v>
      </c>
      <c r="D30" s="104">
        <f>D28+D29</f>
        <v>143948</v>
      </c>
      <c r="E30" s="102">
        <f>E28+E29</f>
        <v>148565</v>
      </c>
      <c r="F30" s="102">
        <f>F28+F29</f>
        <v>154673</v>
      </c>
      <c r="G30" s="102">
        <f t="shared" ref="G30:H30" si="11">G28+G29</f>
        <v>160194</v>
      </c>
      <c r="H30" s="102">
        <f t="shared" si="11"/>
        <v>166050</v>
      </c>
      <c r="I30" s="103">
        <f t="shared" ref="I30:J30" si="12">I28+I29</f>
        <v>172054</v>
      </c>
      <c r="J30" s="103">
        <f t="shared" si="12"/>
        <v>178842</v>
      </c>
    </row>
    <row r="31" spans="3:18" ht="36" thickTop="1" thickBot="1" x14ac:dyDescent="0.25">
      <c r="C31" s="31" t="s">
        <v>99</v>
      </c>
      <c r="D31" s="100">
        <f>SUM('[1]12_13 fleet'!$D$98:$D$127)</f>
        <v>143948</v>
      </c>
      <c r="E31" s="100">
        <f>SUM('[2]13_14 fleet'!$D$99:$D$128)</f>
        <v>148565</v>
      </c>
      <c r="F31" s="100">
        <f>SUM('[3]14_15 fleet'!$D$99:$D$128)</f>
        <v>154673</v>
      </c>
      <c r="G31" s="100">
        <f>SUM('[4]15_16 fleet'!$D$99:$D$128)</f>
        <v>160194</v>
      </c>
      <c r="H31" s="100">
        <f>SUM('[5]16_17 fleet_v2'!$D$99:$D$128)</f>
        <v>166050</v>
      </c>
      <c r="I31" s="101">
        <f>SUM('[6]17_18 fleet_v3'!$D$124:$D$153)</f>
        <v>172054</v>
      </c>
      <c r="J31" s="101">
        <f>SUM('[7]18_19 fleet_v3'!$D$124:$D$153)</f>
        <v>178842</v>
      </c>
    </row>
    <row r="32" spans="3:18" ht="19" thickTop="1" thickBot="1" x14ac:dyDescent="0.25">
      <c r="C32" s="31" t="s">
        <v>101</v>
      </c>
      <c r="D32" s="124">
        <f>D30/D28</f>
        <v>1.0435022146186579</v>
      </c>
      <c r="E32" s="125">
        <f>E30/E28</f>
        <v>1.028366339717721</v>
      </c>
      <c r="F32" s="125">
        <f>F30/F28</f>
        <v>1.0130335400797732</v>
      </c>
      <c r="G32" s="125">
        <f t="shared" ref="G32:H32" si="13">G30/G28</f>
        <v>1.0128539905539293</v>
      </c>
      <c r="H32" s="125">
        <f t="shared" si="13"/>
        <v>1.02647635178992</v>
      </c>
      <c r="I32" s="126">
        <f t="shared" ref="I32:J32" si="14">I30/I28</f>
        <v>1.0392935022259271</v>
      </c>
      <c r="J32" s="126">
        <f t="shared" si="14"/>
        <v>1.0503435719739238</v>
      </c>
    </row>
    <row r="33" ht="14" thickTop="1" x14ac:dyDescent="0.1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C1:R240"/>
  <sheetViews>
    <sheetView tabSelected="1" topLeftCell="C1" zoomScale="90" zoomScaleNormal="90" workbookViewId="0">
      <selection activeCell="D235" sqref="D235"/>
    </sheetView>
  </sheetViews>
  <sheetFormatPr baseColWidth="10" defaultColWidth="8.83203125" defaultRowHeight="13" x14ac:dyDescent="0.15"/>
  <cols>
    <col min="3" max="3" width="44" customWidth="1"/>
    <col min="4" max="12" width="17.6640625" customWidth="1"/>
    <col min="13" max="13" width="17.6640625" style="121" customWidth="1"/>
    <col min="14" max="18" width="17.6640625" customWidth="1"/>
  </cols>
  <sheetData>
    <row r="1" spans="3:18" x14ac:dyDescent="0.15">
      <c r="D1">
        <v>4</v>
      </c>
      <c r="E1">
        <f>D1+1</f>
        <v>5</v>
      </c>
      <c r="F1">
        <f t="shared" ref="F1:R1" si="0">E1+1</f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</row>
    <row r="2" spans="3:18" ht="16" x14ac:dyDescent="0.2">
      <c r="C2" s="180" t="str">
        <f ca="1">INDIRECT(ADDRESS(D2+6,3,4,TRUE,"Car+SUV"))</f>
        <v>Northland</v>
      </c>
      <c r="D2" s="181">
        <v>1</v>
      </c>
    </row>
    <row r="3" spans="3:18" ht="14" thickBot="1" x14ac:dyDescent="0.2"/>
    <row r="4" spans="3:18" ht="17" thickTop="1" x14ac:dyDescent="0.2">
      <c r="C4" s="32" t="s">
        <v>47</v>
      </c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34"/>
      <c r="Q4" s="34"/>
      <c r="R4" s="35"/>
    </row>
    <row r="5" spans="3:18" ht="14" thickBot="1" x14ac:dyDescent="0.2">
      <c r="C5" s="36"/>
      <c r="D5" s="37" t="s">
        <v>25</v>
      </c>
      <c r="E5" s="37" t="s">
        <v>37</v>
      </c>
      <c r="F5" s="37" t="s">
        <v>38</v>
      </c>
      <c r="G5" s="37" t="s">
        <v>177</v>
      </c>
      <c r="H5" s="37" t="s">
        <v>178</v>
      </c>
      <c r="I5" s="37" t="s">
        <v>26</v>
      </c>
      <c r="J5" s="37"/>
      <c r="K5" s="37" t="s">
        <v>27</v>
      </c>
      <c r="L5" s="37" t="s">
        <v>28</v>
      </c>
      <c r="M5" s="37" t="s">
        <v>29</v>
      </c>
      <c r="N5" s="37" t="s">
        <v>30</v>
      </c>
      <c r="O5" s="37" t="s">
        <v>31</v>
      </c>
      <c r="P5" s="37" t="s">
        <v>174</v>
      </c>
      <c r="Q5" s="37" t="s">
        <v>175</v>
      </c>
      <c r="R5" s="38" t="s">
        <v>176</v>
      </c>
    </row>
    <row r="6" spans="3:18" ht="15" thickTop="1" thickBot="1" x14ac:dyDescent="0.2">
      <c r="C6" s="70"/>
      <c r="D6" s="71" t="s">
        <v>39</v>
      </c>
      <c r="E6" s="65" t="s">
        <v>39</v>
      </c>
      <c r="F6" s="65" t="s">
        <v>39</v>
      </c>
      <c r="G6" s="65" t="s">
        <v>39</v>
      </c>
      <c r="H6" s="65" t="s">
        <v>39</v>
      </c>
      <c r="I6" s="65" t="s">
        <v>39</v>
      </c>
      <c r="J6" s="65"/>
      <c r="K6" s="65" t="s">
        <v>32</v>
      </c>
      <c r="L6" s="65" t="s">
        <v>32</v>
      </c>
      <c r="M6" s="65" t="s">
        <v>32</v>
      </c>
      <c r="N6" s="65" t="s">
        <v>32</v>
      </c>
      <c r="O6" s="65" t="s">
        <v>32</v>
      </c>
      <c r="P6" s="65" t="s">
        <v>32</v>
      </c>
      <c r="Q6" s="65" t="s">
        <v>32</v>
      </c>
      <c r="R6" s="66" t="s">
        <v>32</v>
      </c>
    </row>
    <row r="7" spans="3:18" ht="17" thickTop="1" x14ac:dyDescent="0.2">
      <c r="C7" s="24" t="s">
        <v>113</v>
      </c>
      <c r="D7" s="55">
        <f ca="1">INDIRECT(ADDRESS($D2+6,D$1,4,TRUE,"Car+SUV"))-D9</f>
        <v>1149.6743227280208</v>
      </c>
      <c r="E7" s="53">
        <f t="shared" ref="E7:R7" ca="1" si="1">INDIRECT(ADDRESS($D2+6,E$1,4,TRUE,"Car+SUV"))-E9</f>
        <v>1202.655003788225</v>
      </c>
      <c r="F7" s="53">
        <f t="shared" ca="1" si="1"/>
        <v>1230.5941491081201</v>
      </c>
      <c r="G7" s="53">
        <f t="shared" ca="1" si="1"/>
        <v>1284.5328818019586</v>
      </c>
      <c r="H7" s="53">
        <f t="shared" ca="1" si="1"/>
        <v>1305.9577992802606</v>
      </c>
      <c r="I7" s="53">
        <f t="shared" ca="1" si="1"/>
        <v>1410.8183230774162</v>
      </c>
      <c r="J7" s="53">
        <f t="shared" ca="1" si="1"/>
        <v>1424.5928880048441</v>
      </c>
      <c r="K7" s="53">
        <f t="shared" ca="1" si="1"/>
        <v>1505.7076382938581</v>
      </c>
      <c r="L7" s="53">
        <f t="shared" ca="1" si="1"/>
        <v>1499.6294634577139</v>
      </c>
      <c r="M7" s="53">
        <f t="shared" ca="1" si="1"/>
        <v>1476.4131537825779</v>
      </c>
      <c r="N7" s="53">
        <f t="shared" ca="1" si="1"/>
        <v>1436.4496787785233</v>
      </c>
      <c r="O7" s="53">
        <f t="shared" ca="1" si="1"/>
        <v>1390.0787632543638</v>
      </c>
      <c r="P7" s="53">
        <f t="shared" ca="1" si="1"/>
        <v>1340.3035378793825</v>
      </c>
      <c r="Q7" s="53">
        <f t="shared" ca="1" si="1"/>
        <v>1285.3844779206252</v>
      </c>
      <c r="R7" s="54">
        <f t="shared" ca="1" si="1"/>
        <v>1226.1246195160547</v>
      </c>
    </row>
    <row r="8" spans="3:18" ht="16" x14ac:dyDescent="0.2">
      <c r="C8" s="24" t="s">
        <v>114</v>
      </c>
      <c r="D8" s="55">
        <f ca="1">INDIRECT(ADDRESS($D2+6,D$1,4,TRUE,"Van+Ute"))-D10</f>
        <v>309.68450128949002</v>
      </c>
      <c r="E8" s="56">
        <f t="shared" ref="E8:R8" ca="1" si="2">INDIRECT(ADDRESS($D2+6,E$1,4,TRUE,"Van+Ute"))-E10</f>
        <v>333.50712076679014</v>
      </c>
      <c r="F8" s="56">
        <f t="shared" ca="1" si="2"/>
        <v>357.67278128477517</v>
      </c>
      <c r="G8" s="56">
        <f t="shared" ca="1" si="2"/>
        <v>378.51877492107019</v>
      </c>
      <c r="H8" s="56">
        <f t="shared" ca="1" si="2"/>
        <v>395.28994169033791</v>
      </c>
      <c r="I8" s="56">
        <f t="shared" ca="1" si="2"/>
        <v>447.75103610122306</v>
      </c>
      <c r="J8" s="56">
        <f t="shared" ca="1" si="2"/>
        <v>484.04564841222651</v>
      </c>
      <c r="K8" s="56">
        <f t="shared" ca="1" si="2"/>
        <v>552.36866611524556</v>
      </c>
      <c r="L8" s="56">
        <f t="shared" ca="1" si="2"/>
        <v>574.33784562623509</v>
      </c>
      <c r="M8" s="56">
        <f t="shared" ca="1" si="2"/>
        <v>586.29459814892084</v>
      </c>
      <c r="N8" s="56">
        <f t="shared" ca="1" si="2"/>
        <v>592.76954107799384</v>
      </c>
      <c r="O8" s="56">
        <f t="shared" ca="1" si="2"/>
        <v>598.4631658311265</v>
      </c>
      <c r="P8" s="56">
        <f t="shared" ca="1" si="2"/>
        <v>603.70370326512284</v>
      </c>
      <c r="Q8" s="56">
        <f t="shared" ca="1" si="2"/>
        <v>606.4440662886019</v>
      </c>
      <c r="R8" s="57">
        <f t="shared" ca="1" si="2"/>
        <v>605.97867991576345</v>
      </c>
    </row>
    <row r="9" spans="3:18" ht="16" x14ac:dyDescent="0.2">
      <c r="C9" s="24" t="s">
        <v>115</v>
      </c>
      <c r="D9" s="55">
        <f ca="1">INDIRECT(ADDRESS($D2+130,D$1,4,TRUE,"Car+SUV"))</f>
        <v>4.4043644080415794</v>
      </c>
      <c r="E9" s="56">
        <f t="shared" ref="E9:R9" ca="1" si="3">INDIRECT(ADDRESS($D2+130,E$1,4,TRUE,"Car+SUV"))</f>
        <v>4.5083345300155786</v>
      </c>
      <c r="F9" s="56">
        <f t="shared" ca="1" si="3"/>
        <v>4.2156135588657904</v>
      </c>
      <c r="G9" s="56">
        <f t="shared" ca="1" si="3"/>
        <v>4.1778978535648497</v>
      </c>
      <c r="H9" s="56">
        <f t="shared" ca="1" si="3"/>
        <v>4.5016576279815252</v>
      </c>
      <c r="I9" s="56">
        <f t="shared" ca="1" si="3"/>
        <v>5.0634286652398206</v>
      </c>
      <c r="J9" s="56">
        <f t="shared" ca="1" si="3"/>
        <v>5.8800664560434086</v>
      </c>
      <c r="K9" s="56">
        <f t="shared" ca="1" si="3"/>
        <v>6.7417730230992969</v>
      </c>
      <c r="L9" s="56">
        <f t="shared" ca="1" si="3"/>
        <v>74.039792090766952</v>
      </c>
      <c r="M9" s="56">
        <f t="shared" ca="1" si="3"/>
        <v>144.37464910408696</v>
      </c>
      <c r="N9" s="56">
        <f t="shared" ca="1" si="3"/>
        <v>215.74983520882867</v>
      </c>
      <c r="O9" s="56">
        <f t="shared" ca="1" si="3"/>
        <v>287.65994971995116</v>
      </c>
      <c r="P9" s="56">
        <f t="shared" ca="1" si="3"/>
        <v>359.70646881689999</v>
      </c>
      <c r="Q9" s="56">
        <f t="shared" ca="1" si="3"/>
        <v>431.27384829150373</v>
      </c>
      <c r="R9" s="57">
        <f t="shared" ca="1" si="3"/>
        <v>502.21122967608335</v>
      </c>
    </row>
    <row r="10" spans="3:18" ht="16" x14ac:dyDescent="0.2">
      <c r="C10" s="24" t="s">
        <v>116</v>
      </c>
      <c r="D10" s="55">
        <f ca="1">INDIRECT(ADDRESS($D2+130,D$1,4,TRUE,"Van+Ute"))</f>
        <v>2.1369904443490269</v>
      </c>
      <c r="E10" s="56">
        <f t="shared" ref="E10:R10" ca="1" si="4">INDIRECT(ADDRESS($D2+130,E$1,4,TRUE,"Van+Ute"))</f>
        <v>1.9065769815510174</v>
      </c>
      <c r="F10" s="56">
        <f t="shared" ca="1" si="4"/>
        <v>1.8012477605296968</v>
      </c>
      <c r="G10" s="56">
        <f t="shared" ca="1" si="4"/>
        <v>1.9897735475121687</v>
      </c>
      <c r="H10" s="56">
        <f t="shared" ca="1" si="4"/>
        <v>2.2714390165953389</v>
      </c>
      <c r="I10" s="56">
        <f t="shared" ca="1" si="4"/>
        <v>2.4016281465115568</v>
      </c>
      <c r="J10" s="56">
        <f t="shared" ca="1" si="4"/>
        <v>2.3892512761000484</v>
      </c>
      <c r="K10" s="56">
        <f t="shared" ca="1" si="4"/>
        <v>2.7393890730710413</v>
      </c>
      <c r="L10" s="56">
        <f t="shared" ca="1" si="4"/>
        <v>19.429285124148855</v>
      </c>
      <c r="M10" s="56">
        <f t="shared" ca="1" si="4"/>
        <v>36.8507547398291</v>
      </c>
      <c r="N10" s="56">
        <f t="shared" ca="1" si="4"/>
        <v>54.526545867353995</v>
      </c>
      <c r="O10" s="56">
        <f t="shared" ca="1" si="4"/>
        <v>72.346454719582169</v>
      </c>
      <c r="P10" s="56">
        <f t="shared" ca="1" si="4"/>
        <v>90.180473526748543</v>
      </c>
      <c r="Q10" s="56">
        <f t="shared" ca="1" si="4"/>
        <v>107.90984239579772</v>
      </c>
      <c r="R10" s="57">
        <f t="shared" ca="1" si="4"/>
        <v>125.49982437074766</v>
      </c>
    </row>
    <row r="11" spans="3:18" ht="16" x14ac:dyDescent="0.2">
      <c r="C11" s="24" t="s">
        <v>43</v>
      </c>
      <c r="D11" s="55">
        <f ca="1">INDIRECT(ADDRESS($D2+6,D$1,4,TRUE,"Heavy Truck"))</f>
        <v>126.51769458108933</v>
      </c>
      <c r="E11" s="56">
        <f t="shared" ref="E11:R11" ca="1" si="5">INDIRECT(ADDRESS($D2+6,E$1,4,TRUE,"Heavy Truck"))</f>
        <v>135.67452055937187</v>
      </c>
      <c r="F11" s="56">
        <f t="shared" ca="1" si="5"/>
        <v>141.72576536799093</v>
      </c>
      <c r="G11" s="56">
        <f t="shared" ca="1" si="5"/>
        <v>145.12569054563383</v>
      </c>
      <c r="H11" s="56">
        <f t="shared" ca="1" si="5"/>
        <v>144.68127590537878</v>
      </c>
      <c r="I11" s="56">
        <f t="shared" ca="1" si="5"/>
        <v>158.0202591150495</v>
      </c>
      <c r="J11" s="56">
        <f t="shared" ca="1" si="5"/>
        <v>161.54626781920962</v>
      </c>
      <c r="K11" s="56">
        <f t="shared" ca="1" si="5"/>
        <v>162.74308470823797</v>
      </c>
      <c r="L11" s="56">
        <f t="shared" ca="1" si="5"/>
        <v>159.38707458338274</v>
      </c>
      <c r="M11" s="56">
        <f t="shared" ca="1" si="5"/>
        <v>156.09765642881268</v>
      </c>
      <c r="N11" s="56">
        <f t="shared" ca="1" si="5"/>
        <v>155.16268919871325</v>
      </c>
      <c r="O11" s="56">
        <f t="shared" ca="1" si="5"/>
        <v>154.17908774538097</v>
      </c>
      <c r="P11" s="56">
        <f t="shared" ca="1" si="5"/>
        <v>160.12245954383607</v>
      </c>
      <c r="Q11" s="56">
        <f t="shared" ca="1" si="5"/>
        <v>165.67954314431191</v>
      </c>
      <c r="R11" s="57">
        <f t="shared" ca="1" si="5"/>
        <v>170.86576131411209</v>
      </c>
    </row>
    <row r="12" spans="3:18" ht="16" x14ac:dyDescent="0.2">
      <c r="C12" s="24" t="s">
        <v>44</v>
      </c>
      <c r="D12" s="55">
        <f ca="1">INDIRECT(ADDRESS($D2+6,D$1,4,TRUE,"Heavy Bus"))</f>
        <v>9.7590652962429942</v>
      </c>
      <c r="E12" s="56">
        <f t="shared" ref="E12:R12" ca="1" si="6">INDIRECT(ADDRESS($D2+6,E$1,4,TRUE,"Heavy Bus"))</f>
        <v>10.401779044802701</v>
      </c>
      <c r="F12" s="56">
        <f t="shared" ca="1" si="6"/>
        <v>11.633802891815147</v>
      </c>
      <c r="G12" s="56">
        <f t="shared" ca="1" si="6"/>
        <v>11.652795408584044</v>
      </c>
      <c r="H12" s="56">
        <f t="shared" ca="1" si="6"/>
        <v>11.219540743730134</v>
      </c>
      <c r="I12" s="56">
        <f t="shared" ca="1" si="6"/>
        <v>12.491270326757105</v>
      </c>
      <c r="J12" s="56">
        <f t="shared" ca="1" si="6"/>
        <v>12.131562583166078</v>
      </c>
      <c r="K12" s="56">
        <f t="shared" ca="1" si="6"/>
        <v>13.291769219986737</v>
      </c>
      <c r="L12" s="56">
        <f t="shared" ca="1" si="6"/>
        <v>14.946506930994966</v>
      </c>
      <c r="M12" s="56">
        <f t="shared" ca="1" si="6"/>
        <v>16.437434767026982</v>
      </c>
      <c r="N12" s="56">
        <f t="shared" ca="1" si="6"/>
        <v>18.239851059519161</v>
      </c>
      <c r="O12" s="56">
        <f t="shared" ca="1" si="6"/>
        <v>20.323421112242613</v>
      </c>
      <c r="P12" s="56">
        <f t="shared" ca="1" si="6"/>
        <v>22.90616447414029</v>
      </c>
      <c r="Q12" s="56">
        <f t="shared" ca="1" si="6"/>
        <v>25.882040359859499</v>
      </c>
      <c r="R12" s="57">
        <f t="shared" ca="1" si="6"/>
        <v>29.320188199960725</v>
      </c>
    </row>
    <row r="13" spans="3:18" ht="17" thickBot="1" x14ac:dyDescent="0.25">
      <c r="C13" s="24" t="s">
        <v>42</v>
      </c>
      <c r="D13" s="55">
        <f ca="1">INDIRECT(ADDRESS($D2+6,D$1,4,TRUE,"Motorcycle"))</f>
        <v>12.256338036699967</v>
      </c>
      <c r="E13" s="56">
        <f t="shared" ref="E13:R13" ca="1" si="7">INDIRECT(ADDRESS($D2+6,E$1,4,TRUE,"Motorcycle"))</f>
        <v>13.263818395435685</v>
      </c>
      <c r="F13" s="56">
        <f t="shared" ca="1" si="7"/>
        <v>13.485359116357262</v>
      </c>
      <c r="G13" s="56">
        <f t="shared" ca="1" si="7"/>
        <v>14.484052275603073</v>
      </c>
      <c r="H13" s="56">
        <f t="shared" ca="1" si="7"/>
        <v>13.936503563654707</v>
      </c>
      <c r="I13" s="56">
        <f t="shared" ca="1" si="7"/>
        <v>15.391409847296568</v>
      </c>
      <c r="J13" s="56">
        <f t="shared" ca="1" si="7"/>
        <v>15.789113955016051</v>
      </c>
      <c r="K13" s="56">
        <f t="shared" ca="1" si="7"/>
        <v>16.460115950243782</v>
      </c>
      <c r="L13" s="56">
        <f t="shared" ca="1" si="7"/>
        <v>16.666550396366624</v>
      </c>
      <c r="M13" s="56">
        <f t="shared" ca="1" si="7"/>
        <v>16.67803571711945</v>
      </c>
      <c r="N13" s="56">
        <f t="shared" ca="1" si="7"/>
        <v>16.38691960504574</v>
      </c>
      <c r="O13" s="56">
        <f t="shared" ca="1" si="7"/>
        <v>16.005701691869316</v>
      </c>
      <c r="P13" s="56">
        <f t="shared" ca="1" si="7"/>
        <v>16.193137748169242</v>
      </c>
      <c r="Q13" s="56">
        <f t="shared" ca="1" si="7"/>
        <v>16.331247891875332</v>
      </c>
      <c r="R13" s="57">
        <f t="shared" ca="1" si="7"/>
        <v>16.435721315397327</v>
      </c>
    </row>
    <row r="14" spans="3:18" ht="19" thickTop="1" thickBot="1" x14ac:dyDescent="0.25">
      <c r="C14" s="31" t="s">
        <v>45</v>
      </c>
      <c r="D14" s="61">
        <f ca="1">SUM(D7:D13)</f>
        <v>1614.4332767839339</v>
      </c>
      <c r="E14" s="62">
        <f t="shared" ref="E14:R14" ca="1" si="8">SUM(E7:E13)</f>
        <v>1701.9171540661921</v>
      </c>
      <c r="F14" s="62">
        <f t="shared" ca="1" si="8"/>
        <v>1761.1287190884541</v>
      </c>
      <c r="G14" s="62">
        <f t="shared" ca="1" si="8"/>
        <v>1840.481866353927</v>
      </c>
      <c r="H14" s="62">
        <f t="shared" ca="1" si="8"/>
        <v>1877.8581578279388</v>
      </c>
      <c r="I14" s="62">
        <f t="shared" ca="1" si="8"/>
        <v>2051.9373552794937</v>
      </c>
      <c r="J14" s="62">
        <f t="shared" ca="1" si="8"/>
        <v>2106.3747985066061</v>
      </c>
      <c r="K14" s="62">
        <f t="shared" ca="1" si="8"/>
        <v>2260.0524363837417</v>
      </c>
      <c r="L14" s="62">
        <f t="shared" ca="1" si="8"/>
        <v>2358.4365182096094</v>
      </c>
      <c r="M14" s="62">
        <f t="shared" ca="1" si="8"/>
        <v>2433.146282688374</v>
      </c>
      <c r="N14" s="62">
        <f t="shared" ca="1" si="8"/>
        <v>2489.2850607959781</v>
      </c>
      <c r="O14" s="62">
        <f t="shared" ca="1" si="8"/>
        <v>2539.0565440745168</v>
      </c>
      <c r="P14" s="62">
        <f t="shared" ca="1" si="8"/>
        <v>2593.1159452542997</v>
      </c>
      <c r="Q14" s="62">
        <f t="shared" ca="1" si="8"/>
        <v>2638.9050662925747</v>
      </c>
      <c r="R14" s="63">
        <f t="shared" ca="1" si="8"/>
        <v>2676.4360243081196</v>
      </c>
    </row>
    <row r="15" spans="3:18" ht="14" thickTop="1" x14ac:dyDescent="0.15">
      <c r="M15"/>
      <c r="O15" s="121"/>
    </row>
    <row r="16" spans="3:18" ht="14" thickBot="1" x14ac:dyDescent="0.2">
      <c r="M16"/>
      <c r="O16" s="121"/>
    </row>
    <row r="17" spans="3:18" ht="18" thickTop="1" thickBot="1" x14ac:dyDescent="0.25">
      <c r="C17" s="180" t="str">
        <f ca="1">INDIRECT(ADDRESS(D17+6,3,4,TRUE,"Car+SUV"))</f>
        <v>Auckland</v>
      </c>
      <c r="D17" s="182">
        <v>2</v>
      </c>
      <c r="E17" t="s">
        <v>170</v>
      </c>
      <c r="M17"/>
      <c r="O17" s="121"/>
    </row>
    <row r="18" spans="3:18" ht="15" thickTop="1" thickBot="1" x14ac:dyDescent="0.2">
      <c r="M18"/>
      <c r="O18" s="121"/>
    </row>
    <row r="19" spans="3:18" ht="17" thickTop="1" x14ac:dyDescent="0.2">
      <c r="C19" s="32" t="s">
        <v>47</v>
      </c>
      <c r="D19" s="33"/>
      <c r="E19" s="33"/>
      <c r="F19" s="33"/>
      <c r="G19" s="33"/>
      <c r="H19" s="33"/>
      <c r="I19" s="33"/>
      <c r="J19" s="33"/>
      <c r="K19" s="34"/>
      <c r="L19" s="34"/>
      <c r="M19" s="34"/>
      <c r="N19" s="34"/>
      <c r="O19" s="34"/>
      <c r="P19" s="34"/>
      <c r="Q19" s="34"/>
      <c r="R19" s="35"/>
    </row>
    <row r="20" spans="3:18" ht="14" thickBot="1" x14ac:dyDescent="0.2">
      <c r="C20" s="36"/>
      <c r="D20" s="37" t="s">
        <v>25</v>
      </c>
      <c r="E20" s="37" t="s">
        <v>37</v>
      </c>
      <c r="F20" s="37" t="s">
        <v>38</v>
      </c>
      <c r="G20" s="37" t="s">
        <v>177</v>
      </c>
      <c r="H20" s="37" t="s">
        <v>178</v>
      </c>
      <c r="I20" s="37" t="s">
        <v>26</v>
      </c>
      <c r="J20" s="37"/>
      <c r="K20" s="37" t="s">
        <v>27</v>
      </c>
      <c r="L20" s="37" t="s">
        <v>28</v>
      </c>
      <c r="M20" s="37" t="s">
        <v>29</v>
      </c>
      <c r="N20" s="37" t="s">
        <v>30</v>
      </c>
      <c r="O20" s="37" t="s">
        <v>31</v>
      </c>
      <c r="P20" s="37" t="s">
        <v>174</v>
      </c>
      <c r="Q20" s="37" t="s">
        <v>175</v>
      </c>
      <c r="R20" s="38" t="s">
        <v>176</v>
      </c>
    </row>
    <row r="21" spans="3:18" ht="15" thickTop="1" thickBot="1" x14ac:dyDescent="0.2">
      <c r="C21" s="70"/>
      <c r="D21" s="71" t="s">
        <v>39</v>
      </c>
      <c r="E21" s="65" t="s">
        <v>39</v>
      </c>
      <c r="F21" s="65" t="s">
        <v>39</v>
      </c>
      <c r="G21" s="65" t="s">
        <v>39</v>
      </c>
      <c r="H21" s="65" t="s">
        <v>39</v>
      </c>
      <c r="I21" s="65" t="s">
        <v>39</v>
      </c>
      <c r="J21" s="65"/>
      <c r="K21" s="65" t="s">
        <v>32</v>
      </c>
      <c r="L21" s="65" t="s">
        <v>32</v>
      </c>
      <c r="M21" s="65" t="s">
        <v>32</v>
      </c>
      <c r="N21" s="65" t="s">
        <v>32</v>
      </c>
      <c r="O21" s="65" t="s">
        <v>32</v>
      </c>
      <c r="P21" s="65" t="s">
        <v>32</v>
      </c>
      <c r="Q21" s="65" t="s">
        <v>32</v>
      </c>
      <c r="R21" s="66" t="s">
        <v>32</v>
      </c>
    </row>
    <row r="22" spans="3:18" ht="17" thickTop="1" x14ac:dyDescent="0.2">
      <c r="C22" s="24" t="s">
        <v>113</v>
      </c>
      <c r="D22" s="55">
        <f ca="1">INDIRECT(ADDRESS($D17+6,D$1,4,TRUE,"Car+SUV"))-D24</f>
        <v>9961.9052472148123</v>
      </c>
      <c r="E22" s="53">
        <f t="shared" ref="E22:R22" ca="1" si="9">INDIRECT(ADDRESS($D17+6,E$1,4,TRUE,"Car+SUV"))-E24</f>
        <v>10103.197121887848</v>
      </c>
      <c r="F22" s="53">
        <f t="shared" ca="1" si="9"/>
        <v>10250.429872986781</v>
      </c>
      <c r="G22" s="53">
        <f t="shared" ca="1" si="9"/>
        <v>10421.09874929045</v>
      </c>
      <c r="H22" s="53">
        <f t="shared" ca="1" si="9"/>
        <v>10747.535897174459</v>
      </c>
      <c r="I22" s="53">
        <f t="shared" ca="1" si="9"/>
        <v>10462.652010389877</v>
      </c>
      <c r="J22" s="53">
        <f t="shared" ca="1" si="9"/>
        <v>10797.793140803735</v>
      </c>
      <c r="K22" s="53">
        <f t="shared" ca="1" si="9"/>
        <v>11819.625370746702</v>
      </c>
      <c r="L22" s="53">
        <f t="shared" ca="1" si="9"/>
        <v>12298.966034045196</v>
      </c>
      <c r="M22" s="53">
        <f t="shared" ca="1" si="9"/>
        <v>12685.720673497925</v>
      </c>
      <c r="N22" s="53">
        <f t="shared" ca="1" si="9"/>
        <v>12929.355552536195</v>
      </c>
      <c r="O22" s="53">
        <f t="shared" ca="1" si="9"/>
        <v>13127.044969481904</v>
      </c>
      <c r="P22" s="53">
        <f t="shared" ca="1" si="9"/>
        <v>13304.370469993502</v>
      </c>
      <c r="Q22" s="53">
        <f t="shared" ca="1" si="9"/>
        <v>13424.293319060947</v>
      </c>
      <c r="R22" s="54">
        <f t="shared" ca="1" si="9"/>
        <v>13479.306266079433</v>
      </c>
    </row>
    <row r="23" spans="3:18" ht="16" x14ac:dyDescent="0.2">
      <c r="C23" s="24" t="s">
        <v>114</v>
      </c>
      <c r="D23" s="55">
        <f ca="1">INDIRECT(ADDRESS($D17+6,D$1,4,TRUE,"Van+Ute"))-D25</f>
        <v>1344.4192880976777</v>
      </c>
      <c r="E23" s="56">
        <f t="shared" ref="E23:R23" ca="1" si="10">INDIRECT(ADDRESS($D17+6,E$1,4,TRUE,"Van+Ute"))-E25</f>
        <v>1403.8581102457185</v>
      </c>
      <c r="F23" s="56">
        <f t="shared" ca="1" si="10"/>
        <v>1481.1402786168749</v>
      </c>
      <c r="G23" s="56">
        <f t="shared" ca="1" si="10"/>
        <v>1629.1219701638784</v>
      </c>
      <c r="H23" s="56">
        <f t="shared" ca="1" si="10"/>
        <v>1809.0188448245656</v>
      </c>
      <c r="I23" s="56">
        <f t="shared" ca="1" si="10"/>
        <v>1867.4711068648023</v>
      </c>
      <c r="J23" s="56">
        <f t="shared" ca="1" si="10"/>
        <v>2046.5752347966545</v>
      </c>
      <c r="K23" s="56">
        <f t="shared" ca="1" si="10"/>
        <v>2429.3507286504773</v>
      </c>
      <c r="L23" s="56">
        <f t="shared" ca="1" si="10"/>
        <v>2700.7168432004783</v>
      </c>
      <c r="M23" s="56">
        <f t="shared" ca="1" si="10"/>
        <v>2933.8374809042757</v>
      </c>
      <c r="N23" s="56">
        <f t="shared" ca="1" si="10"/>
        <v>3152.9789501376013</v>
      </c>
      <c r="O23" s="56">
        <f t="shared" ca="1" si="10"/>
        <v>3386.082496552026</v>
      </c>
      <c r="P23" s="56">
        <f t="shared" ca="1" si="10"/>
        <v>3634.0520427856768</v>
      </c>
      <c r="Q23" s="56">
        <f t="shared" ca="1" si="10"/>
        <v>3879.9855487286941</v>
      </c>
      <c r="R23" s="57">
        <f t="shared" ca="1" si="10"/>
        <v>4114.3164118876439</v>
      </c>
    </row>
    <row r="24" spans="3:18" ht="16" x14ac:dyDescent="0.2">
      <c r="C24" s="24" t="s">
        <v>115</v>
      </c>
      <c r="D24" s="55">
        <f ca="1">INDIRECT(ADDRESS($D17+130,D$1,4,TRUE,"Car+SUV"))</f>
        <v>125.50004487820677</v>
      </c>
      <c r="E24" s="56">
        <f t="shared" ref="E24:R24" ca="1" si="11">INDIRECT(ADDRESS($D17+130,E$1,4,TRUE,"Car+SUV"))</f>
        <v>128.68620800416673</v>
      </c>
      <c r="F24" s="56">
        <f t="shared" ca="1" si="11"/>
        <v>131.88375276671914</v>
      </c>
      <c r="G24" s="56">
        <f t="shared" ca="1" si="11"/>
        <v>146.61613042163253</v>
      </c>
      <c r="H24" s="56">
        <f t="shared" ca="1" si="11"/>
        <v>171.41464682643965</v>
      </c>
      <c r="I24" s="56">
        <f t="shared" ca="1" si="11"/>
        <v>242.87716865223837</v>
      </c>
      <c r="J24" s="56">
        <f t="shared" ca="1" si="11"/>
        <v>286.97806715718872</v>
      </c>
      <c r="K24" s="56">
        <f t="shared" ca="1" si="11"/>
        <v>341.30316898767921</v>
      </c>
      <c r="L24" s="56">
        <f t="shared" ca="1" si="11"/>
        <v>889.63041442143231</v>
      </c>
      <c r="M24" s="56">
        <f t="shared" ca="1" si="11"/>
        <v>1493.3765424823337</v>
      </c>
      <c r="N24" s="56">
        <f t="shared" ca="1" si="11"/>
        <v>2142.804328098729</v>
      </c>
      <c r="O24" s="56">
        <f t="shared" ca="1" si="11"/>
        <v>2840.783562276828</v>
      </c>
      <c r="P24" s="56">
        <f t="shared" ca="1" si="11"/>
        <v>3577.8878060818547</v>
      </c>
      <c r="Q24" s="56">
        <f t="shared" ca="1" si="11"/>
        <v>4359.1251150316666</v>
      </c>
      <c r="R24" s="57">
        <f t="shared" ca="1" si="11"/>
        <v>5184.2178936880719</v>
      </c>
    </row>
    <row r="25" spans="3:18" ht="16" x14ac:dyDescent="0.2">
      <c r="C25" s="24" t="s">
        <v>116</v>
      </c>
      <c r="D25" s="55">
        <f ca="1">INDIRECT(ADDRESS($D17+130,D$1,4,TRUE,"Van+Ute"))</f>
        <v>24.207954994419435</v>
      </c>
      <c r="E25" s="56">
        <f t="shared" ref="E25:R25" ca="1" si="12">INDIRECT(ADDRESS($D17+130,E$1,4,TRUE,"Van+Ute"))</f>
        <v>22.861305259071852</v>
      </c>
      <c r="F25" s="56">
        <f t="shared" ca="1" si="12"/>
        <v>22.777544786852232</v>
      </c>
      <c r="G25" s="56">
        <f t="shared" ca="1" si="12"/>
        <v>20.876973683471043</v>
      </c>
      <c r="H25" s="56">
        <f t="shared" ca="1" si="12"/>
        <v>22.958100850842346</v>
      </c>
      <c r="I25" s="56">
        <f t="shared" ca="1" si="12"/>
        <v>22.706785273150242</v>
      </c>
      <c r="J25" s="56">
        <f t="shared" ca="1" si="12"/>
        <v>26.240068247414001</v>
      </c>
      <c r="K25" s="56">
        <f t="shared" ca="1" si="12"/>
        <v>31.207327221943885</v>
      </c>
      <c r="L25" s="56">
        <f t="shared" ca="1" si="12"/>
        <v>83.616465491241001</v>
      </c>
      <c r="M25" s="56">
        <f t="shared" ca="1" si="12"/>
        <v>141.36556837925278</v>
      </c>
      <c r="N25" s="56">
        <f t="shared" ca="1" si="12"/>
        <v>203.49933330685059</v>
      </c>
      <c r="O25" s="56">
        <f t="shared" ca="1" si="12"/>
        <v>270.27113242838703</v>
      </c>
      <c r="P25" s="56">
        <f t="shared" ca="1" si="12"/>
        <v>340.83076633067196</v>
      </c>
      <c r="Q25" s="56">
        <f t="shared" ca="1" si="12"/>
        <v>415.60713359557963</v>
      </c>
      <c r="R25" s="57">
        <f t="shared" ca="1" si="12"/>
        <v>494.57049540566032</v>
      </c>
    </row>
    <row r="26" spans="3:18" ht="16" x14ac:dyDescent="0.2">
      <c r="C26" s="24" t="s">
        <v>43</v>
      </c>
      <c r="D26" s="55">
        <f ca="1">INDIRECT(ADDRESS($D17+6,D$1,4,TRUE,"Heavy Truck"))</f>
        <v>642.75675605882645</v>
      </c>
      <c r="E26" s="56">
        <f t="shared" ref="E26:R26" ca="1" si="13">INDIRECT(ADDRESS($D17+6,E$1,4,TRUE,"Heavy Truck"))</f>
        <v>620.39545906303897</v>
      </c>
      <c r="F26" s="56">
        <f t="shared" ca="1" si="13"/>
        <v>621.32383738757562</v>
      </c>
      <c r="G26" s="56">
        <f t="shared" ca="1" si="13"/>
        <v>635.71847683363285</v>
      </c>
      <c r="H26" s="56">
        <f t="shared" ca="1" si="13"/>
        <v>661.10320489409708</v>
      </c>
      <c r="I26" s="56">
        <f t="shared" ca="1" si="13"/>
        <v>640.5330068847943</v>
      </c>
      <c r="J26" s="56">
        <f t="shared" ca="1" si="13"/>
        <v>676.69884221560619</v>
      </c>
      <c r="K26" s="56">
        <f t="shared" ca="1" si="13"/>
        <v>715.58866927774682</v>
      </c>
      <c r="L26" s="56">
        <f t="shared" ca="1" si="13"/>
        <v>762.90522121539209</v>
      </c>
      <c r="M26" s="56">
        <f t="shared" ca="1" si="13"/>
        <v>807.45694412080275</v>
      </c>
      <c r="N26" s="56">
        <f t="shared" ca="1" si="13"/>
        <v>838.23688608469536</v>
      </c>
      <c r="O26" s="56">
        <f t="shared" ca="1" si="13"/>
        <v>867.01084265797385</v>
      </c>
      <c r="P26" s="56">
        <f t="shared" ca="1" si="13"/>
        <v>895.57073013683839</v>
      </c>
      <c r="Q26" s="56">
        <f t="shared" ca="1" si="13"/>
        <v>922.1978635097305</v>
      </c>
      <c r="R26" s="57">
        <f t="shared" ca="1" si="13"/>
        <v>946.97012311903165</v>
      </c>
    </row>
    <row r="27" spans="3:18" ht="16" x14ac:dyDescent="0.2">
      <c r="C27" s="24" t="s">
        <v>44</v>
      </c>
      <c r="D27" s="55">
        <f ca="1">INDIRECT(ADDRESS($D17+6,D$1,4,TRUE,"Heavy Bus"))</f>
        <v>85.402371473777777</v>
      </c>
      <c r="E27" s="56">
        <f t="shared" ref="E27:R27" ca="1" si="14">INDIRECT(ADDRESS($D17+6,E$1,4,TRUE,"Heavy Bus"))</f>
        <v>88.715466881974692</v>
      </c>
      <c r="F27" s="56">
        <f t="shared" ca="1" si="14"/>
        <v>89.958725264677341</v>
      </c>
      <c r="G27" s="56">
        <f t="shared" ca="1" si="14"/>
        <v>91.803050625011281</v>
      </c>
      <c r="H27" s="56">
        <f t="shared" ca="1" si="14"/>
        <v>101.89383247207647</v>
      </c>
      <c r="I27" s="56">
        <f t="shared" ca="1" si="14"/>
        <v>104.94772347926632</v>
      </c>
      <c r="J27" s="56">
        <f t="shared" ca="1" si="14"/>
        <v>114.50382086297746</v>
      </c>
      <c r="K27" s="56">
        <f t="shared" ca="1" si="14"/>
        <v>139.23335660788419</v>
      </c>
      <c r="L27" s="56">
        <f t="shared" ca="1" si="14"/>
        <v>171.66129092188763</v>
      </c>
      <c r="M27" s="56">
        <f t="shared" ca="1" si="14"/>
        <v>196.10496101999112</v>
      </c>
      <c r="N27" s="56">
        <f t="shared" ca="1" si="14"/>
        <v>222.58439178324622</v>
      </c>
      <c r="O27" s="56">
        <f t="shared" ca="1" si="14"/>
        <v>251.42382710709137</v>
      </c>
      <c r="P27" s="56">
        <f t="shared" ca="1" si="14"/>
        <v>282.99915453325832</v>
      </c>
      <c r="Q27" s="56">
        <f t="shared" ca="1" si="14"/>
        <v>318.36131062931707</v>
      </c>
      <c r="R27" s="57">
        <f t="shared" ca="1" si="14"/>
        <v>358.49206133803222</v>
      </c>
    </row>
    <row r="28" spans="3:18" ht="17" thickBot="1" x14ac:dyDescent="0.25">
      <c r="C28" s="24" t="s">
        <v>42</v>
      </c>
      <c r="D28" s="55">
        <f ca="1">INDIRECT(ADDRESS($D17+6,D$1,4,TRUE,"Motorcycle"))</f>
        <v>97.291044179389033</v>
      </c>
      <c r="E28" s="56">
        <f t="shared" ref="E28:R28" ca="1" si="15">INDIRECT(ADDRESS($D17+6,E$1,4,TRUE,"Motorcycle"))</f>
        <v>100.28100737595719</v>
      </c>
      <c r="F28" s="56">
        <f t="shared" ca="1" si="15"/>
        <v>101.69226394154018</v>
      </c>
      <c r="G28" s="56">
        <f t="shared" ca="1" si="15"/>
        <v>103.92799966050693</v>
      </c>
      <c r="H28" s="56">
        <f t="shared" ca="1" si="15"/>
        <v>104.47605597583795</v>
      </c>
      <c r="I28" s="56">
        <f t="shared" ca="1" si="15"/>
        <v>103.44774000465038</v>
      </c>
      <c r="J28" s="56">
        <f t="shared" ca="1" si="15"/>
        <v>104.80855694310515</v>
      </c>
      <c r="K28" s="56">
        <f t="shared" ca="1" si="15"/>
        <v>113.61049840057944</v>
      </c>
      <c r="L28" s="56">
        <f t="shared" ca="1" si="15"/>
        <v>119.66785366970873</v>
      </c>
      <c r="M28" s="56">
        <f t="shared" ca="1" si="15"/>
        <v>124.51069294405916</v>
      </c>
      <c r="N28" s="56">
        <f t="shared" ca="1" si="15"/>
        <v>127.03385388747326</v>
      </c>
      <c r="O28" s="56">
        <f t="shared" ca="1" si="15"/>
        <v>128.80003481818653</v>
      </c>
      <c r="P28" s="56">
        <f t="shared" ca="1" si="15"/>
        <v>135.26685218836914</v>
      </c>
      <c r="Q28" s="56">
        <f t="shared" ca="1" si="15"/>
        <v>141.61160849464571</v>
      </c>
      <c r="R28" s="57">
        <f t="shared" ca="1" si="15"/>
        <v>147.94059629032759</v>
      </c>
    </row>
    <row r="29" spans="3:18" ht="19" thickTop="1" thickBot="1" x14ac:dyDescent="0.25">
      <c r="C29" s="31" t="s">
        <v>45</v>
      </c>
      <c r="D29" s="61">
        <f ca="1">SUM(D22:D28)</f>
        <v>12281.482706897108</v>
      </c>
      <c r="E29" s="62">
        <f t="shared" ref="E29:R29" ca="1" si="16">SUM(E22:E28)</f>
        <v>12467.994678717776</v>
      </c>
      <c r="F29" s="62">
        <f t="shared" ca="1" si="16"/>
        <v>12699.206275751019</v>
      </c>
      <c r="G29" s="62">
        <f t="shared" ca="1" si="16"/>
        <v>13049.163350678584</v>
      </c>
      <c r="H29" s="62">
        <f t="shared" ca="1" si="16"/>
        <v>13618.40058301832</v>
      </c>
      <c r="I29" s="62">
        <f t="shared" ca="1" si="16"/>
        <v>13444.63554154878</v>
      </c>
      <c r="J29" s="62">
        <f t="shared" ca="1" si="16"/>
        <v>14053.597731026681</v>
      </c>
      <c r="K29" s="62">
        <f t="shared" ca="1" si="16"/>
        <v>15589.919119893015</v>
      </c>
      <c r="L29" s="62">
        <f t="shared" ca="1" si="16"/>
        <v>17027.164122965336</v>
      </c>
      <c r="M29" s="62">
        <f t="shared" ca="1" si="16"/>
        <v>18382.372863348643</v>
      </c>
      <c r="N29" s="62">
        <f t="shared" ca="1" si="16"/>
        <v>19616.493295834793</v>
      </c>
      <c r="O29" s="62">
        <f t="shared" ca="1" si="16"/>
        <v>20871.416865322397</v>
      </c>
      <c r="P29" s="62">
        <f t="shared" ca="1" si="16"/>
        <v>22170.977822050172</v>
      </c>
      <c r="Q29" s="62">
        <f t="shared" ca="1" si="16"/>
        <v>23461.181899050578</v>
      </c>
      <c r="R29" s="63">
        <f t="shared" ca="1" si="16"/>
        <v>24725.8138478082</v>
      </c>
    </row>
    <row r="30" spans="3:18" ht="14" thickTop="1" x14ac:dyDescent="0.15">
      <c r="M30"/>
      <c r="O30" s="121"/>
    </row>
    <row r="31" spans="3:18" ht="14" thickBot="1" x14ac:dyDescent="0.2">
      <c r="M31"/>
      <c r="O31" s="121"/>
    </row>
    <row r="32" spans="3:18" ht="18" thickTop="1" thickBot="1" x14ac:dyDescent="0.25">
      <c r="C32" s="180" t="str">
        <f ca="1">INDIRECT(ADDRESS(D32+6,3,4,TRUE,"Car+SUV"))</f>
        <v>Waikato</v>
      </c>
      <c r="D32" s="182">
        <v>3</v>
      </c>
      <c r="E32" t="s">
        <v>170</v>
      </c>
      <c r="M32"/>
      <c r="O32" s="121"/>
    </row>
    <row r="33" spans="3:18" ht="15" thickTop="1" thickBot="1" x14ac:dyDescent="0.2">
      <c r="M33"/>
      <c r="O33" s="121"/>
    </row>
    <row r="34" spans="3:18" ht="17" thickTop="1" x14ac:dyDescent="0.2">
      <c r="C34" s="32" t="s">
        <v>47</v>
      </c>
      <c r="D34" s="33"/>
      <c r="E34" s="33"/>
      <c r="F34" s="33"/>
      <c r="G34" s="33"/>
      <c r="H34" s="33"/>
      <c r="I34" s="33"/>
      <c r="J34" s="33"/>
      <c r="K34" s="34"/>
      <c r="L34" s="34"/>
      <c r="M34" s="34"/>
      <c r="N34" s="34"/>
      <c r="O34" s="34"/>
      <c r="P34" s="34"/>
      <c r="Q34" s="34"/>
      <c r="R34" s="35"/>
    </row>
    <row r="35" spans="3:18" ht="14" thickBot="1" x14ac:dyDescent="0.2">
      <c r="C35" s="36"/>
      <c r="D35" s="37" t="s">
        <v>25</v>
      </c>
      <c r="E35" s="37" t="s">
        <v>37</v>
      </c>
      <c r="F35" s="37" t="s">
        <v>38</v>
      </c>
      <c r="G35" s="37" t="s">
        <v>177</v>
      </c>
      <c r="H35" s="37" t="s">
        <v>178</v>
      </c>
      <c r="I35" s="37" t="s">
        <v>26</v>
      </c>
      <c r="J35" s="37"/>
      <c r="K35" s="37" t="s">
        <v>27</v>
      </c>
      <c r="L35" s="37" t="s">
        <v>28</v>
      </c>
      <c r="M35" s="37" t="s">
        <v>29</v>
      </c>
      <c r="N35" s="37" t="s">
        <v>30</v>
      </c>
      <c r="O35" s="37" t="s">
        <v>31</v>
      </c>
      <c r="P35" s="37" t="s">
        <v>174</v>
      </c>
      <c r="Q35" s="37" t="s">
        <v>175</v>
      </c>
      <c r="R35" s="38" t="s">
        <v>176</v>
      </c>
    </row>
    <row r="36" spans="3:18" ht="15" thickTop="1" thickBot="1" x14ac:dyDescent="0.2">
      <c r="C36" s="70"/>
      <c r="D36" s="71" t="s">
        <v>39</v>
      </c>
      <c r="E36" s="65" t="s">
        <v>39</v>
      </c>
      <c r="F36" s="65" t="s">
        <v>39</v>
      </c>
      <c r="G36" s="65" t="s">
        <v>39</v>
      </c>
      <c r="H36" s="65" t="s">
        <v>39</v>
      </c>
      <c r="I36" s="65" t="s">
        <v>39</v>
      </c>
      <c r="J36" s="65"/>
      <c r="K36" s="65" t="s">
        <v>32</v>
      </c>
      <c r="L36" s="65" t="s">
        <v>32</v>
      </c>
      <c r="M36" s="65" t="s">
        <v>32</v>
      </c>
      <c r="N36" s="65" t="s">
        <v>32</v>
      </c>
      <c r="O36" s="65" t="s">
        <v>32</v>
      </c>
      <c r="P36" s="65" t="s">
        <v>32</v>
      </c>
      <c r="Q36" s="65" t="s">
        <v>32</v>
      </c>
      <c r="R36" s="66" t="s">
        <v>32</v>
      </c>
    </row>
    <row r="37" spans="3:18" ht="17" thickTop="1" x14ac:dyDescent="0.2">
      <c r="C37" s="24" t="s">
        <v>113</v>
      </c>
      <c r="D37" s="55">
        <f ca="1">INDIRECT(ADDRESS($D32+6,D$1,4,TRUE,"Car+SUV"))-D39</f>
        <v>3847.9924846079252</v>
      </c>
      <c r="E37" s="53">
        <f t="shared" ref="E37:R37" ca="1" si="17">INDIRECT(ADDRESS($D32+6,E$1,4,TRUE,"Car+SUV"))-E39</f>
        <v>3761.7903051028434</v>
      </c>
      <c r="F37" s="53">
        <f t="shared" ca="1" si="17"/>
        <v>3904.3226732659896</v>
      </c>
      <c r="G37" s="53">
        <f t="shared" ca="1" si="17"/>
        <v>4115.1287077191664</v>
      </c>
      <c r="H37" s="53">
        <f t="shared" ca="1" si="17"/>
        <v>4311.4711308588949</v>
      </c>
      <c r="I37" s="53">
        <f t="shared" ca="1" si="17"/>
        <v>4565.7961531159208</v>
      </c>
      <c r="J37" s="53">
        <f t="shared" ca="1" si="17"/>
        <v>4576.7537063118943</v>
      </c>
      <c r="K37" s="53">
        <f t="shared" ca="1" si="17"/>
        <v>4902.9411965181616</v>
      </c>
      <c r="L37" s="53">
        <f t="shared" ca="1" si="17"/>
        <v>4967.7680402828782</v>
      </c>
      <c r="M37" s="53">
        <f t="shared" ca="1" si="17"/>
        <v>4979.655174207348</v>
      </c>
      <c r="N37" s="53">
        <f t="shared" ca="1" si="17"/>
        <v>4937.3239906627405</v>
      </c>
      <c r="O37" s="53">
        <f t="shared" ca="1" si="17"/>
        <v>4876.9195406276849</v>
      </c>
      <c r="P37" s="53">
        <f t="shared" ca="1" si="17"/>
        <v>4801.8921476515479</v>
      </c>
      <c r="Q37" s="53">
        <f t="shared" ca="1" si="17"/>
        <v>4704.1866487913112</v>
      </c>
      <c r="R37" s="54">
        <f t="shared" ca="1" si="17"/>
        <v>4584.8202904193822</v>
      </c>
    </row>
    <row r="38" spans="3:18" ht="16" x14ac:dyDescent="0.2">
      <c r="C38" s="24" t="s">
        <v>114</v>
      </c>
      <c r="D38" s="55">
        <f ca="1">INDIRECT(ADDRESS($D32+6,D$1,4,TRUE,"Van+Ute"))-D40</f>
        <v>868.31269358743691</v>
      </c>
      <c r="E38" s="56">
        <f t="shared" ref="E38:R38" ca="1" si="18">INDIRECT(ADDRESS($D32+6,E$1,4,TRUE,"Van+Ute"))-E40</f>
        <v>884.02861773513484</v>
      </c>
      <c r="F38" s="56">
        <f t="shared" ca="1" si="18"/>
        <v>964.22166946926677</v>
      </c>
      <c r="G38" s="56">
        <f t="shared" ca="1" si="18"/>
        <v>1029.3033100962391</v>
      </c>
      <c r="H38" s="56">
        <f t="shared" ca="1" si="18"/>
        <v>1132.8073949130373</v>
      </c>
      <c r="I38" s="56">
        <f t="shared" ca="1" si="18"/>
        <v>1281.4614627689632</v>
      </c>
      <c r="J38" s="56">
        <f t="shared" ca="1" si="18"/>
        <v>1371.4176717419205</v>
      </c>
      <c r="K38" s="56">
        <f t="shared" ca="1" si="18"/>
        <v>1588.5041788913186</v>
      </c>
      <c r="L38" s="56">
        <f t="shared" ca="1" si="18"/>
        <v>1698.781936996719</v>
      </c>
      <c r="M38" s="56">
        <f t="shared" ca="1" si="18"/>
        <v>1780.5988805232043</v>
      </c>
      <c r="N38" s="56">
        <f t="shared" ca="1" si="18"/>
        <v>1849.7945761939766</v>
      </c>
      <c r="O38" s="56">
        <f t="shared" ca="1" si="18"/>
        <v>1922.0675837397962</v>
      </c>
      <c r="P38" s="56">
        <f t="shared" ca="1" si="18"/>
        <v>1995.6837747078819</v>
      </c>
      <c r="Q38" s="56">
        <f t="shared" ca="1" si="18"/>
        <v>2062.6355724450223</v>
      </c>
      <c r="R38" s="57">
        <f t="shared" ca="1" si="18"/>
        <v>2119.1498263129338</v>
      </c>
    </row>
    <row r="39" spans="3:18" ht="16" x14ac:dyDescent="0.2">
      <c r="C39" s="24" t="s">
        <v>115</v>
      </c>
      <c r="D39" s="55">
        <f ca="1">INDIRECT(ADDRESS($D32+130,D$1,4,TRUE,"Car+SUV"))</f>
        <v>13.024773190456441</v>
      </c>
      <c r="E39" s="56">
        <f t="shared" ref="E39:R39" ca="1" si="19">INDIRECT(ADDRESS($D32+130,E$1,4,TRUE,"Car+SUV"))</f>
        <v>12.093344491396108</v>
      </c>
      <c r="F39" s="56">
        <f t="shared" ca="1" si="19"/>
        <v>11.659786885631881</v>
      </c>
      <c r="G39" s="56">
        <f t="shared" ca="1" si="19"/>
        <v>12.602472926258594</v>
      </c>
      <c r="H39" s="56">
        <f t="shared" ca="1" si="19"/>
        <v>14.392572112659755</v>
      </c>
      <c r="I39" s="56">
        <f t="shared" ca="1" si="19"/>
        <v>19.14536110692789</v>
      </c>
      <c r="J39" s="56">
        <f t="shared" ca="1" si="19"/>
        <v>23.955818078368466</v>
      </c>
      <c r="K39" s="56">
        <f t="shared" ca="1" si="19"/>
        <v>27.709070698215225</v>
      </c>
      <c r="L39" s="56">
        <f t="shared" ca="1" si="19"/>
        <v>248.23151859627856</v>
      </c>
      <c r="M39" s="56">
        <f t="shared" ca="1" si="19"/>
        <v>485.19490801501092</v>
      </c>
      <c r="N39" s="56">
        <f t="shared" ca="1" si="19"/>
        <v>732.9498162532642</v>
      </c>
      <c r="O39" s="56">
        <f t="shared" ca="1" si="19"/>
        <v>991.06073072194738</v>
      </c>
      <c r="P39" s="56">
        <f t="shared" ca="1" si="19"/>
        <v>1257.7510267710195</v>
      </c>
      <c r="Q39" s="56">
        <f t="shared" ca="1" si="19"/>
        <v>1531.2108420408304</v>
      </c>
      <c r="R39" s="57">
        <f t="shared" ca="1" si="19"/>
        <v>1811.0080113427912</v>
      </c>
    </row>
    <row r="40" spans="3:18" ht="16" x14ac:dyDescent="0.2">
      <c r="C40" s="24" t="s">
        <v>116</v>
      </c>
      <c r="D40" s="55">
        <f ca="1">INDIRECT(ADDRESS($D32+130,D$1,4,TRUE,"Van+Ute"))</f>
        <v>6.7015468266807012</v>
      </c>
      <c r="E40" s="56">
        <f t="shared" ref="E40:R40" ca="1" si="20">INDIRECT(ADDRESS($D32+130,E$1,4,TRUE,"Van+Ute"))</f>
        <v>6.8449134925873842</v>
      </c>
      <c r="F40" s="56">
        <f t="shared" ca="1" si="20"/>
        <v>7.0089014511039371</v>
      </c>
      <c r="G40" s="56">
        <f t="shared" ca="1" si="20"/>
        <v>7.2110971783858417</v>
      </c>
      <c r="H40" s="56">
        <f t="shared" ca="1" si="20"/>
        <v>8.6694360654512526</v>
      </c>
      <c r="I40" s="56">
        <f t="shared" ca="1" si="20"/>
        <v>8.1224296600448458</v>
      </c>
      <c r="J40" s="56">
        <f t="shared" ca="1" si="20"/>
        <v>8.5732206421453494</v>
      </c>
      <c r="K40" s="56">
        <f t="shared" ca="1" si="20"/>
        <v>9.9164209757925583</v>
      </c>
      <c r="L40" s="56">
        <f t="shared" ca="1" si="20"/>
        <v>51.340782329898154</v>
      </c>
      <c r="M40" s="56">
        <f t="shared" ca="1" si="20"/>
        <v>95.747242986216605</v>
      </c>
      <c r="N40" s="56">
        <f t="shared" ca="1" si="20"/>
        <v>142.14983690204684</v>
      </c>
      <c r="O40" s="56">
        <f t="shared" ca="1" si="20"/>
        <v>190.53207723167719</v>
      </c>
      <c r="P40" s="56">
        <f t="shared" ca="1" si="20"/>
        <v>240.41440545667393</v>
      </c>
      <c r="Q40" s="56">
        <f t="shared" ca="1" si="20"/>
        <v>291.60696236171282</v>
      </c>
      <c r="R40" s="57">
        <f t="shared" ca="1" si="20"/>
        <v>344.03925728733566</v>
      </c>
    </row>
    <row r="41" spans="3:18" ht="16" x14ac:dyDescent="0.2">
      <c r="C41" s="24" t="s">
        <v>43</v>
      </c>
      <c r="D41" s="55">
        <f ca="1">INDIRECT(ADDRESS($D32+6,D$1,4,TRUE,"Heavy Truck"))</f>
        <v>344.892919704458</v>
      </c>
      <c r="E41" s="56">
        <f t="shared" ref="E41:R41" ca="1" si="21">INDIRECT(ADDRESS($D32+6,E$1,4,TRUE,"Heavy Truck"))</f>
        <v>390.39041080250428</v>
      </c>
      <c r="F41" s="56">
        <f t="shared" ca="1" si="21"/>
        <v>406.30331344723265</v>
      </c>
      <c r="G41" s="56">
        <f t="shared" ca="1" si="21"/>
        <v>417.32085698264092</v>
      </c>
      <c r="H41" s="56">
        <f t="shared" ca="1" si="21"/>
        <v>433.93649280746615</v>
      </c>
      <c r="I41" s="56">
        <f t="shared" ca="1" si="21"/>
        <v>449.3713775830206</v>
      </c>
      <c r="J41" s="56">
        <f t="shared" ca="1" si="21"/>
        <v>453.08792070709507</v>
      </c>
      <c r="K41" s="56">
        <f t="shared" ca="1" si="21"/>
        <v>461.84688240371304</v>
      </c>
      <c r="L41" s="56">
        <f t="shared" ca="1" si="21"/>
        <v>478.68511338842092</v>
      </c>
      <c r="M41" s="56">
        <f t="shared" ca="1" si="21"/>
        <v>494.41375746714783</v>
      </c>
      <c r="N41" s="56">
        <f t="shared" ca="1" si="21"/>
        <v>499.41134761791437</v>
      </c>
      <c r="O41" s="56">
        <f t="shared" ca="1" si="21"/>
        <v>503.86284980663669</v>
      </c>
      <c r="P41" s="56">
        <f t="shared" ca="1" si="21"/>
        <v>509.25462373314514</v>
      </c>
      <c r="Q41" s="56">
        <f t="shared" ca="1" si="21"/>
        <v>514.07516087473653</v>
      </c>
      <c r="R41" s="57">
        <f t="shared" ca="1" si="21"/>
        <v>518.34932892034533</v>
      </c>
    </row>
    <row r="42" spans="3:18" ht="16" x14ac:dyDescent="0.2">
      <c r="C42" s="24" t="s">
        <v>44</v>
      </c>
      <c r="D42" s="55">
        <f ca="1">INDIRECT(ADDRESS($D32+6,D$1,4,TRUE,"Heavy Bus"))</f>
        <v>19.836624405115462</v>
      </c>
      <c r="E42" s="56">
        <f t="shared" ref="E42:R42" ca="1" si="22">INDIRECT(ADDRESS($D32+6,E$1,4,TRUE,"Heavy Bus"))</f>
        <v>20.79901394805454</v>
      </c>
      <c r="F42" s="56">
        <f t="shared" ca="1" si="22"/>
        <v>20.835262851845872</v>
      </c>
      <c r="G42" s="56">
        <f t="shared" ca="1" si="22"/>
        <v>22.413106218844494</v>
      </c>
      <c r="H42" s="56">
        <f t="shared" ca="1" si="22"/>
        <v>22.969028075780507</v>
      </c>
      <c r="I42" s="56">
        <f t="shared" ca="1" si="22"/>
        <v>21.76686089997424</v>
      </c>
      <c r="J42" s="56">
        <f t="shared" ca="1" si="22"/>
        <v>23.153298604409645</v>
      </c>
      <c r="K42" s="56">
        <f t="shared" ca="1" si="22"/>
        <v>25.799124477353747</v>
      </c>
      <c r="L42" s="56">
        <f t="shared" ca="1" si="22"/>
        <v>29.532450780892393</v>
      </c>
      <c r="M42" s="56">
        <f t="shared" ca="1" si="22"/>
        <v>32.96503864694683</v>
      </c>
      <c r="N42" s="56">
        <f t="shared" ca="1" si="22"/>
        <v>37.043418118396275</v>
      </c>
      <c r="O42" s="56">
        <f t="shared" ca="1" si="22"/>
        <v>41.748471426528575</v>
      </c>
      <c r="P42" s="56">
        <f t="shared" ca="1" si="22"/>
        <v>47.45463724397014</v>
      </c>
      <c r="Q42" s="56">
        <f t="shared" ca="1" si="22"/>
        <v>54.024557537301007</v>
      </c>
      <c r="R42" s="57">
        <f t="shared" ca="1" si="22"/>
        <v>61.605223305271146</v>
      </c>
    </row>
    <row r="43" spans="3:18" ht="17" thickBot="1" x14ac:dyDescent="0.25">
      <c r="C43" s="24" t="s">
        <v>42</v>
      </c>
      <c r="D43" s="55">
        <f ca="1">INDIRECT(ADDRESS($D32+6,D$1,4,TRUE,"Motorcycle"))</f>
        <v>46.908260132153586</v>
      </c>
      <c r="E43" s="56">
        <f t="shared" ref="E43:R43" ca="1" si="23">INDIRECT(ADDRESS($D32+6,E$1,4,TRUE,"Motorcycle"))</f>
        <v>47.513629797834014</v>
      </c>
      <c r="F43" s="56">
        <f t="shared" ca="1" si="23"/>
        <v>47.636998519517796</v>
      </c>
      <c r="G43" s="56">
        <f t="shared" ca="1" si="23"/>
        <v>49.388635650559948</v>
      </c>
      <c r="H43" s="56">
        <f t="shared" ca="1" si="23"/>
        <v>50.55125646295086</v>
      </c>
      <c r="I43" s="56">
        <f t="shared" ca="1" si="23"/>
        <v>53.665237674137792</v>
      </c>
      <c r="J43" s="56">
        <f t="shared" ca="1" si="23"/>
        <v>54.170203325800216</v>
      </c>
      <c r="K43" s="56">
        <f t="shared" ca="1" si="23"/>
        <v>57.131887416049985</v>
      </c>
      <c r="L43" s="56">
        <f t="shared" ca="1" si="23"/>
        <v>58.626612748311857</v>
      </c>
      <c r="M43" s="56">
        <f t="shared" ca="1" si="23"/>
        <v>59.533630029469599</v>
      </c>
      <c r="N43" s="56">
        <f t="shared" ca="1" si="23"/>
        <v>59.393329934952099</v>
      </c>
      <c r="O43" s="56">
        <f t="shared" ca="1" si="23"/>
        <v>58.966443325269388</v>
      </c>
      <c r="P43" s="56">
        <f t="shared" ca="1" si="23"/>
        <v>60.63886836495805</v>
      </c>
      <c r="Q43" s="56">
        <f t="shared" ca="1" si="23"/>
        <v>62.162620136319049</v>
      </c>
      <c r="R43" s="57">
        <f t="shared" ca="1" si="23"/>
        <v>63.58996298020282</v>
      </c>
    </row>
    <row r="44" spans="3:18" ht="19" thickTop="1" thickBot="1" x14ac:dyDescent="0.25">
      <c r="C44" s="31" t="s">
        <v>45</v>
      </c>
      <c r="D44" s="61">
        <f ca="1">SUM(D37:D43)</f>
        <v>5147.6693024542265</v>
      </c>
      <c r="E44" s="62">
        <f t="shared" ref="E44:R44" ca="1" si="24">SUM(E37:E43)</f>
        <v>5123.4602353703549</v>
      </c>
      <c r="F44" s="62">
        <f t="shared" ca="1" si="24"/>
        <v>5361.9886058905886</v>
      </c>
      <c r="G44" s="62">
        <f t="shared" ca="1" si="24"/>
        <v>5653.3681867720961</v>
      </c>
      <c r="H44" s="62">
        <f t="shared" ca="1" si="24"/>
        <v>5974.7973112962409</v>
      </c>
      <c r="I44" s="62">
        <f t="shared" ca="1" si="24"/>
        <v>6399.328882808989</v>
      </c>
      <c r="J44" s="62">
        <f t="shared" ca="1" si="24"/>
        <v>6511.1118394116329</v>
      </c>
      <c r="K44" s="62">
        <f t="shared" ca="1" si="24"/>
        <v>7073.8487613806046</v>
      </c>
      <c r="L44" s="62">
        <f t="shared" ca="1" si="24"/>
        <v>7532.9664551234009</v>
      </c>
      <c r="M44" s="62">
        <f t="shared" ca="1" si="24"/>
        <v>7928.1086318753432</v>
      </c>
      <c r="N44" s="62">
        <f t="shared" ca="1" si="24"/>
        <v>8258.0663156832907</v>
      </c>
      <c r="O44" s="62">
        <f t="shared" ca="1" si="24"/>
        <v>8585.1576968795398</v>
      </c>
      <c r="P44" s="62">
        <f t="shared" ca="1" si="24"/>
        <v>8913.0894839291959</v>
      </c>
      <c r="Q44" s="62">
        <f t="shared" ca="1" si="24"/>
        <v>9219.9023641872336</v>
      </c>
      <c r="R44" s="63">
        <f t="shared" ca="1" si="24"/>
        <v>9502.561900568262</v>
      </c>
    </row>
    <row r="45" spans="3:18" ht="14" thickTop="1" x14ac:dyDescent="0.15">
      <c r="M45"/>
      <c r="O45" s="121"/>
    </row>
    <row r="46" spans="3:18" ht="14" thickBot="1" x14ac:dyDescent="0.2">
      <c r="M46"/>
      <c r="O46" s="121"/>
    </row>
    <row r="47" spans="3:18" ht="18" thickTop="1" thickBot="1" x14ac:dyDescent="0.25">
      <c r="C47" s="180" t="str">
        <f ca="1">INDIRECT(ADDRESS(D47+6,3,4,TRUE,"Car+SUV"))</f>
        <v>Bay of Plenty</v>
      </c>
      <c r="D47" s="182">
        <v>4</v>
      </c>
      <c r="E47" t="s">
        <v>170</v>
      </c>
      <c r="M47"/>
      <c r="O47" s="121"/>
    </row>
    <row r="48" spans="3:18" ht="15" thickTop="1" thickBot="1" x14ac:dyDescent="0.2">
      <c r="M48"/>
      <c r="O48" s="121"/>
    </row>
    <row r="49" spans="3:18" ht="17" thickTop="1" x14ac:dyDescent="0.2">
      <c r="C49" s="32" t="s">
        <v>47</v>
      </c>
      <c r="D49" s="33"/>
      <c r="E49" s="33"/>
      <c r="F49" s="33"/>
      <c r="G49" s="33"/>
      <c r="H49" s="33"/>
      <c r="I49" s="33"/>
      <c r="J49" s="33"/>
      <c r="K49" s="34"/>
      <c r="L49" s="34"/>
      <c r="M49" s="34"/>
      <c r="N49" s="34"/>
      <c r="O49" s="34"/>
      <c r="P49" s="34"/>
      <c r="Q49" s="34"/>
      <c r="R49" s="35"/>
    </row>
    <row r="50" spans="3:18" ht="14" thickBot="1" x14ac:dyDescent="0.2">
      <c r="C50" s="36"/>
      <c r="D50" s="37" t="s">
        <v>25</v>
      </c>
      <c r="E50" s="37" t="s">
        <v>37</v>
      </c>
      <c r="F50" s="37" t="s">
        <v>38</v>
      </c>
      <c r="G50" s="37" t="s">
        <v>177</v>
      </c>
      <c r="H50" s="37" t="s">
        <v>178</v>
      </c>
      <c r="I50" s="37" t="s">
        <v>26</v>
      </c>
      <c r="J50" s="37"/>
      <c r="K50" s="37" t="s">
        <v>27</v>
      </c>
      <c r="L50" s="37" t="s">
        <v>28</v>
      </c>
      <c r="M50" s="37" t="s">
        <v>29</v>
      </c>
      <c r="N50" s="37" t="s">
        <v>30</v>
      </c>
      <c r="O50" s="37" t="s">
        <v>31</v>
      </c>
      <c r="P50" s="37" t="s">
        <v>174</v>
      </c>
      <c r="Q50" s="37" t="s">
        <v>175</v>
      </c>
      <c r="R50" s="38" t="s">
        <v>176</v>
      </c>
    </row>
    <row r="51" spans="3:18" ht="15" thickTop="1" thickBot="1" x14ac:dyDescent="0.2">
      <c r="C51" s="70"/>
      <c r="D51" s="71" t="s">
        <v>39</v>
      </c>
      <c r="E51" s="65" t="s">
        <v>39</v>
      </c>
      <c r="F51" s="65" t="s">
        <v>39</v>
      </c>
      <c r="G51" s="65" t="s">
        <v>39</v>
      </c>
      <c r="H51" s="65" t="s">
        <v>39</v>
      </c>
      <c r="I51" s="65" t="s">
        <v>39</v>
      </c>
      <c r="J51" s="65"/>
      <c r="K51" s="65" t="s">
        <v>32</v>
      </c>
      <c r="L51" s="65" t="s">
        <v>32</v>
      </c>
      <c r="M51" s="65" t="s">
        <v>32</v>
      </c>
      <c r="N51" s="65" t="s">
        <v>32</v>
      </c>
      <c r="O51" s="65" t="s">
        <v>32</v>
      </c>
      <c r="P51" s="65" t="s">
        <v>32</v>
      </c>
      <c r="Q51" s="65" t="s">
        <v>32</v>
      </c>
      <c r="R51" s="66" t="s">
        <v>32</v>
      </c>
    </row>
    <row r="52" spans="3:18" ht="17" thickTop="1" x14ac:dyDescent="0.2">
      <c r="C52" s="24" t="s">
        <v>113</v>
      </c>
      <c r="D52" s="55">
        <f ca="1">INDIRECT(ADDRESS($D47+6,D$1,4,TRUE,"Car+SUV"))-D54</f>
        <v>1887.0178197781008</v>
      </c>
      <c r="E52" s="53">
        <f t="shared" ref="E52:R52" ca="1" si="25">INDIRECT(ADDRESS($D47+6,E$1,4,TRUE,"Car+SUV"))-E54</f>
        <v>1951.0323401806124</v>
      </c>
      <c r="F52" s="53">
        <f t="shared" ca="1" si="25"/>
        <v>1950.6861996643979</v>
      </c>
      <c r="G52" s="53">
        <f t="shared" ca="1" si="25"/>
        <v>2019.2987756661096</v>
      </c>
      <c r="H52" s="53">
        <f t="shared" ca="1" si="25"/>
        <v>2272.7095556341687</v>
      </c>
      <c r="I52" s="53">
        <f t="shared" ca="1" si="25"/>
        <v>2204.5400953992171</v>
      </c>
      <c r="J52" s="53">
        <f t="shared" ca="1" si="25"/>
        <v>2191.3594099808511</v>
      </c>
      <c r="K52" s="53">
        <f t="shared" ca="1" si="25"/>
        <v>2345.7823883344727</v>
      </c>
      <c r="L52" s="53">
        <f t="shared" ca="1" si="25"/>
        <v>2358.8462221466971</v>
      </c>
      <c r="M52" s="53">
        <f t="shared" ca="1" si="25"/>
        <v>2347.4925806632691</v>
      </c>
      <c r="N52" s="53">
        <f t="shared" ca="1" si="25"/>
        <v>2309.7795737086067</v>
      </c>
      <c r="O52" s="53">
        <f t="shared" ca="1" si="25"/>
        <v>2263.9148195055795</v>
      </c>
      <c r="P52" s="53">
        <f t="shared" ca="1" si="25"/>
        <v>2211.6587745980196</v>
      </c>
      <c r="Q52" s="53">
        <f t="shared" ca="1" si="25"/>
        <v>2149.5678570082368</v>
      </c>
      <c r="R52" s="54">
        <f t="shared" ca="1" si="25"/>
        <v>2078.4051317081326</v>
      </c>
    </row>
    <row r="53" spans="3:18" ht="16" x14ac:dyDescent="0.2">
      <c r="C53" s="24" t="s">
        <v>114</v>
      </c>
      <c r="D53" s="55">
        <f ca="1">INDIRECT(ADDRESS($D47+6,D$1,4,TRUE,"Van+Ute"))-D55</f>
        <v>467.82395102729811</v>
      </c>
      <c r="E53" s="56">
        <f t="shared" ref="E53:R53" ca="1" si="26">INDIRECT(ADDRESS($D47+6,E$1,4,TRUE,"Van+Ute"))-E55</f>
        <v>497.79363985486606</v>
      </c>
      <c r="F53" s="56">
        <f t="shared" ca="1" si="26"/>
        <v>516.26334698536664</v>
      </c>
      <c r="G53" s="56">
        <f t="shared" ca="1" si="26"/>
        <v>546.98778470547688</v>
      </c>
      <c r="H53" s="56">
        <f t="shared" ca="1" si="26"/>
        <v>645.1075708026151</v>
      </c>
      <c r="I53" s="56">
        <f t="shared" ca="1" si="26"/>
        <v>674.25375993147782</v>
      </c>
      <c r="J53" s="56">
        <f t="shared" ca="1" si="26"/>
        <v>715.69851646672987</v>
      </c>
      <c r="K53" s="56">
        <f t="shared" ca="1" si="26"/>
        <v>829.59166824756699</v>
      </c>
      <c r="L53" s="56">
        <f t="shared" ca="1" si="26"/>
        <v>879.24634862264884</v>
      </c>
      <c r="M53" s="56">
        <f t="shared" ca="1" si="26"/>
        <v>914.01951197310655</v>
      </c>
      <c r="N53" s="56">
        <f t="shared" ca="1" si="26"/>
        <v>941.38736173549921</v>
      </c>
      <c r="O53" s="56">
        <f t="shared" ca="1" si="26"/>
        <v>969.7380030526615</v>
      </c>
      <c r="P53" s="56">
        <f t="shared" ca="1" si="26"/>
        <v>998.20690774972536</v>
      </c>
      <c r="Q53" s="56">
        <f t="shared" ca="1" si="26"/>
        <v>1022.8889055477863</v>
      </c>
      <c r="R53" s="57">
        <f t="shared" ca="1" si="26"/>
        <v>1042.0658722765743</v>
      </c>
    </row>
    <row r="54" spans="3:18" ht="16" x14ac:dyDescent="0.2">
      <c r="C54" s="24" t="s">
        <v>115</v>
      </c>
      <c r="D54" s="55">
        <f ca="1">INDIRECT(ADDRESS($D47+130,D$1,4,TRUE,"Car+SUV"))</f>
        <v>7.8534960616182063</v>
      </c>
      <c r="E54" s="56">
        <f t="shared" ref="E54:R54" ca="1" si="27">INDIRECT(ADDRESS($D47+130,E$1,4,TRUE,"Car+SUV"))</f>
        <v>7.6193443387215849</v>
      </c>
      <c r="F54" s="56">
        <f t="shared" ca="1" si="27"/>
        <v>7.6111611636259378</v>
      </c>
      <c r="G54" s="56">
        <f t="shared" ca="1" si="27"/>
        <v>7.8517701774184525</v>
      </c>
      <c r="H54" s="56">
        <f t="shared" ca="1" si="27"/>
        <v>9.7032753273639667</v>
      </c>
      <c r="I54" s="56">
        <f t="shared" ca="1" si="27"/>
        <v>11.798919618437491</v>
      </c>
      <c r="J54" s="56">
        <f t="shared" ca="1" si="27"/>
        <v>13.292079662727522</v>
      </c>
      <c r="K54" s="56">
        <f t="shared" ca="1" si="27"/>
        <v>15.327033963297451</v>
      </c>
      <c r="L54" s="56">
        <f t="shared" ca="1" si="27"/>
        <v>120.39151311195801</v>
      </c>
      <c r="M54" s="56">
        <f t="shared" ca="1" si="27"/>
        <v>231.86923574605265</v>
      </c>
      <c r="N54" s="56">
        <f t="shared" ca="1" si="27"/>
        <v>346.86496629193545</v>
      </c>
      <c r="O54" s="56">
        <f t="shared" ca="1" si="27"/>
        <v>465.18266547832161</v>
      </c>
      <c r="P54" s="56">
        <f t="shared" ca="1" si="27"/>
        <v>585.82652222211925</v>
      </c>
      <c r="Q54" s="56">
        <f t="shared" ca="1" si="27"/>
        <v>707.9866297008474</v>
      </c>
      <c r="R54" s="57">
        <f t="shared" ca="1" si="27"/>
        <v>831.42910872774837</v>
      </c>
    </row>
    <row r="55" spans="3:18" ht="16" x14ac:dyDescent="0.2">
      <c r="C55" s="24" t="s">
        <v>116</v>
      </c>
      <c r="D55" s="55">
        <f ca="1">INDIRECT(ADDRESS($D47+130,D$1,4,TRUE,"Van+Ute"))</f>
        <v>4.5656498431876278</v>
      </c>
      <c r="E55" s="56">
        <f t="shared" ref="E55:R55" ca="1" si="28">INDIRECT(ADDRESS($D47+130,E$1,4,TRUE,"Van+Ute"))</f>
        <v>5.1908971239750379</v>
      </c>
      <c r="F55" s="56">
        <f t="shared" ca="1" si="28"/>
        <v>4.7054084877031324</v>
      </c>
      <c r="G55" s="56">
        <f t="shared" ca="1" si="28"/>
        <v>4.4467812516334702</v>
      </c>
      <c r="H55" s="56">
        <f t="shared" ca="1" si="28"/>
        <v>5.6797428102827707</v>
      </c>
      <c r="I55" s="56">
        <f t="shared" ca="1" si="28"/>
        <v>5.4322233736035059</v>
      </c>
      <c r="J55" s="56">
        <f t="shared" ca="1" si="28"/>
        <v>6.3769371730938067</v>
      </c>
      <c r="K55" s="56">
        <f t="shared" ca="1" si="28"/>
        <v>7.3532159837933699</v>
      </c>
      <c r="L55" s="56">
        <f t="shared" ca="1" si="28"/>
        <v>29.676636132829728</v>
      </c>
      <c r="M55" s="56">
        <f t="shared" ca="1" si="28"/>
        <v>53.278025485795645</v>
      </c>
      <c r="N55" s="56">
        <f t="shared" ca="1" si="28"/>
        <v>77.605201763743793</v>
      </c>
      <c r="O55" s="56">
        <f t="shared" ca="1" si="28"/>
        <v>102.67623341200537</v>
      </c>
      <c r="P55" s="56">
        <f t="shared" ca="1" si="28"/>
        <v>128.15052236250176</v>
      </c>
      <c r="Q55" s="56">
        <f t="shared" ca="1" si="28"/>
        <v>153.98989685103865</v>
      </c>
      <c r="R55" s="57">
        <f t="shared" ca="1" si="28"/>
        <v>180.15451323476577</v>
      </c>
    </row>
    <row r="56" spans="3:18" ht="16" x14ac:dyDescent="0.2">
      <c r="C56" s="24" t="s">
        <v>43</v>
      </c>
      <c r="D56" s="55">
        <f ca="1">INDIRECT(ADDRESS($D47+6,D$1,4,TRUE,"Heavy Truck"))</f>
        <v>214.15647055925635</v>
      </c>
      <c r="E56" s="56">
        <f t="shared" ref="E56:R56" ca="1" si="29">INDIRECT(ADDRESS($D47+6,E$1,4,TRUE,"Heavy Truck"))</f>
        <v>223.73085009383851</v>
      </c>
      <c r="F56" s="56">
        <f t="shared" ca="1" si="29"/>
        <v>227.06239639810516</v>
      </c>
      <c r="G56" s="56">
        <f t="shared" ca="1" si="29"/>
        <v>229.06209102137444</v>
      </c>
      <c r="H56" s="56">
        <f t="shared" ca="1" si="29"/>
        <v>260.02752815483871</v>
      </c>
      <c r="I56" s="56">
        <f t="shared" ca="1" si="29"/>
        <v>250.38503342657634</v>
      </c>
      <c r="J56" s="56">
        <f t="shared" ca="1" si="29"/>
        <v>253.20870606161878</v>
      </c>
      <c r="K56" s="56">
        <f t="shared" ca="1" si="29"/>
        <v>254.50514980179955</v>
      </c>
      <c r="L56" s="56">
        <f t="shared" ca="1" si="29"/>
        <v>261.85002691280511</v>
      </c>
      <c r="M56" s="56">
        <f t="shared" ca="1" si="29"/>
        <v>268.67872135930804</v>
      </c>
      <c r="N56" s="56">
        <f t="shared" ca="1" si="29"/>
        <v>266.65023266203497</v>
      </c>
      <c r="O56" s="56">
        <f t="shared" ca="1" si="29"/>
        <v>264.55868302554302</v>
      </c>
      <c r="P56" s="56">
        <f t="shared" ca="1" si="29"/>
        <v>268.6560221572206</v>
      </c>
      <c r="Q56" s="56">
        <f t="shared" ca="1" si="29"/>
        <v>272.39104949097458</v>
      </c>
      <c r="R56" s="57">
        <f t="shared" ca="1" si="29"/>
        <v>275.77912655944886</v>
      </c>
    </row>
    <row r="57" spans="3:18" ht="16" x14ac:dyDescent="0.2">
      <c r="C57" s="24" t="s">
        <v>44</v>
      </c>
      <c r="D57" s="55">
        <f ca="1">INDIRECT(ADDRESS($D47+6,D$1,4,TRUE,"Heavy Bus"))</f>
        <v>13.259233392712881</v>
      </c>
      <c r="E57" s="56">
        <f t="shared" ref="E57:R57" ca="1" si="30">INDIRECT(ADDRESS($D47+6,E$1,4,TRUE,"Heavy Bus"))</f>
        <v>14.756134418666809</v>
      </c>
      <c r="F57" s="56">
        <f t="shared" ca="1" si="30"/>
        <v>14.472403850445561</v>
      </c>
      <c r="G57" s="56">
        <f t="shared" ca="1" si="30"/>
        <v>15.451537176180921</v>
      </c>
      <c r="H57" s="56">
        <f t="shared" ca="1" si="30"/>
        <v>15.704149949548299</v>
      </c>
      <c r="I57" s="56">
        <f t="shared" ca="1" si="30"/>
        <v>15.192158209388204</v>
      </c>
      <c r="J57" s="56">
        <f t="shared" ca="1" si="30"/>
        <v>18.29087430637912</v>
      </c>
      <c r="K57" s="56">
        <f t="shared" ca="1" si="30"/>
        <v>19.750253391460799</v>
      </c>
      <c r="L57" s="56">
        <f t="shared" ca="1" si="30"/>
        <v>21.823594751277017</v>
      </c>
      <c r="M57" s="56">
        <f t="shared" ca="1" si="30"/>
        <v>23.650271382791892</v>
      </c>
      <c r="N57" s="56">
        <f t="shared" ca="1" si="30"/>
        <v>25.898958658213807</v>
      </c>
      <c r="O57" s="56">
        <f t="shared" ca="1" si="30"/>
        <v>28.48870280301038</v>
      </c>
      <c r="P57" s="56">
        <f t="shared" ca="1" si="30"/>
        <v>31.809052329068319</v>
      </c>
      <c r="Q57" s="56">
        <f t="shared" ca="1" si="30"/>
        <v>35.610305057495751</v>
      </c>
      <c r="R57" s="57">
        <f t="shared" ca="1" si="30"/>
        <v>39.98127444558407</v>
      </c>
    </row>
    <row r="58" spans="3:18" ht="17" thickBot="1" x14ac:dyDescent="0.25">
      <c r="C58" s="24" t="s">
        <v>42</v>
      </c>
      <c r="D58" s="55">
        <f ca="1">INDIRECT(ADDRESS($D47+6,D$1,4,TRUE,"Motorcycle"))</f>
        <v>25.767043995276101</v>
      </c>
      <c r="E58" s="56">
        <f t="shared" ref="E58:R58" ca="1" si="31">INDIRECT(ADDRESS($D47+6,E$1,4,TRUE,"Motorcycle"))</f>
        <v>27.192047927332954</v>
      </c>
      <c r="F58" s="56">
        <f t="shared" ca="1" si="31"/>
        <v>26.84427444526807</v>
      </c>
      <c r="G58" s="56">
        <f t="shared" ca="1" si="31"/>
        <v>27.791948080932613</v>
      </c>
      <c r="H58" s="56">
        <f t="shared" ca="1" si="31"/>
        <v>29.937966164015663</v>
      </c>
      <c r="I58" s="56">
        <f t="shared" ca="1" si="31"/>
        <v>29.817661276087755</v>
      </c>
      <c r="J58" s="56">
        <f t="shared" ca="1" si="31"/>
        <v>29.929635657722667</v>
      </c>
      <c r="K58" s="56">
        <f t="shared" ca="1" si="31"/>
        <v>31.396002601174423</v>
      </c>
      <c r="L58" s="56">
        <f t="shared" ca="1" si="31"/>
        <v>32.002621484836034</v>
      </c>
      <c r="M58" s="56">
        <f t="shared" ca="1" si="31"/>
        <v>32.289169574428747</v>
      </c>
      <c r="N58" s="56">
        <f t="shared" ca="1" si="31"/>
        <v>31.994492489372824</v>
      </c>
      <c r="O58" s="56">
        <f t="shared" ca="1" si="31"/>
        <v>31.549969821042673</v>
      </c>
      <c r="P58" s="56">
        <f t="shared" ca="1" si="31"/>
        <v>32.225641187612361</v>
      </c>
      <c r="Q58" s="56">
        <f t="shared" ca="1" si="31"/>
        <v>32.812268383153487</v>
      </c>
      <c r="R58" s="57">
        <f t="shared" ca="1" si="31"/>
        <v>33.338954785051151</v>
      </c>
    </row>
    <row r="59" spans="3:18" ht="19" thickTop="1" thickBot="1" x14ac:dyDescent="0.25">
      <c r="C59" s="31" t="s">
        <v>45</v>
      </c>
      <c r="D59" s="61">
        <f ca="1">SUM(D52:D58)</f>
        <v>2620.44366465745</v>
      </c>
      <c r="E59" s="62">
        <f t="shared" ref="E59:R59" ca="1" si="32">SUM(E52:E58)</f>
        <v>2727.3152539380135</v>
      </c>
      <c r="F59" s="62">
        <f t="shared" ca="1" si="32"/>
        <v>2747.6451909949128</v>
      </c>
      <c r="G59" s="62">
        <f t="shared" ca="1" si="32"/>
        <v>2850.8906880791264</v>
      </c>
      <c r="H59" s="62">
        <f t="shared" ca="1" si="32"/>
        <v>3238.8697888428328</v>
      </c>
      <c r="I59" s="62">
        <f t="shared" ca="1" si="32"/>
        <v>3191.419851234788</v>
      </c>
      <c r="J59" s="62">
        <f t="shared" ca="1" si="32"/>
        <v>3228.1561593091228</v>
      </c>
      <c r="K59" s="62">
        <f t="shared" ca="1" si="32"/>
        <v>3503.7057123235654</v>
      </c>
      <c r="L59" s="62">
        <f t="shared" ca="1" si="32"/>
        <v>3703.8369631630521</v>
      </c>
      <c r="M59" s="62">
        <f t="shared" ca="1" si="32"/>
        <v>3871.2775161847526</v>
      </c>
      <c r="N59" s="62">
        <f t="shared" ca="1" si="32"/>
        <v>4000.1807873094072</v>
      </c>
      <c r="O59" s="62">
        <f t="shared" ca="1" si="32"/>
        <v>4126.1090770981637</v>
      </c>
      <c r="P59" s="62">
        <f t="shared" ca="1" si="32"/>
        <v>4256.5334426062673</v>
      </c>
      <c r="Q59" s="62">
        <f t="shared" ca="1" si="32"/>
        <v>4375.2469120395326</v>
      </c>
      <c r="R59" s="63">
        <f t="shared" ca="1" si="32"/>
        <v>4481.153981737305</v>
      </c>
    </row>
    <row r="60" spans="3:18" ht="14" thickTop="1" x14ac:dyDescent="0.15">
      <c r="M60"/>
      <c r="O60" s="121"/>
    </row>
    <row r="61" spans="3:18" ht="14" thickBot="1" x14ac:dyDescent="0.2">
      <c r="M61"/>
      <c r="O61" s="121"/>
    </row>
    <row r="62" spans="3:18" ht="18" thickTop="1" thickBot="1" x14ac:dyDescent="0.25">
      <c r="C62" s="180" t="str">
        <f ca="1">INDIRECT(ADDRESS(D62+6,3,4,TRUE,"Car+SUV"))</f>
        <v>Gisborne</v>
      </c>
      <c r="D62" s="182">
        <v>5</v>
      </c>
      <c r="E62" t="s">
        <v>170</v>
      </c>
      <c r="M62"/>
      <c r="O62" s="121"/>
    </row>
    <row r="63" spans="3:18" ht="15" thickTop="1" thickBot="1" x14ac:dyDescent="0.2">
      <c r="M63"/>
      <c r="O63" s="121"/>
    </row>
    <row r="64" spans="3:18" ht="17" thickTop="1" x14ac:dyDescent="0.2">
      <c r="C64" s="32" t="s">
        <v>47</v>
      </c>
      <c r="D64" s="33"/>
      <c r="E64" s="33"/>
      <c r="F64" s="33"/>
      <c r="G64" s="33"/>
      <c r="H64" s="33"/>
      <c r="I64" s="33"/>
      <c r="J64" s="33"/>
      <c r="K64" s="34"/>
      <c r="L64" s="34"/>
      <c r="M64" s="34"/>
      <c r="N64" s="34"/>
      <c r="O64" s="34"/>
      <c r="P64" s="34"/>
      <c r="Q64" s="34"/>
      <c r="R64" s="35"/>
    </row>
    <row r="65" spans="3:18" ht="14" thickBot="1" x14ac:dyDescent="0.2">
      <c r="C65" s="36"/>
      <c r="D65" s="37" t="s">
        <v>25</v>
      </c>
      <c r="E65" s="37" t="s">
        <v>37</v>
      </c>
      <c r="F65" s="37" t="s">
        <v>38</v>
      </c>
      <c r="G65" s="37" t="s">
        <v>177</v>
      </c>
      <c r="H65" s="37" t="s">
        <v>178</v>
      </c>
      <c r="I65" s="37" t="s">
        <v>26</v>
      </c>
      <c r="J65" s="37"/>
      <c r="K65" s="37" t="s">
        <v>27</v>
      </c>
      <c r="L65" s="37" t="s">
        <v>28</v>
      </c>
      <c r="M65" s="37" t="s">
        <v>29</v>
      </c>
      <c r="N65" s="37" t="s">
        <v>30</v>
      </c>
      <c r="O65" s="37" t="s">
        <v>31</v>
      </c>
      <c r="P65" s="37" t="s">
        <v>174</v>
      </c>
      <c r="Q65" s="37" t="s">
        <v>175</v>
      </c>
      <c r="R65" s="38" t="s">
        <v>176</v>
      </c>
    </row>
    <row r="66" spans="3:18" ht="15" thickTop="1" thickBot="1" x14ac:dyDescent="0.2">
      <c r="C66" s="70"/>
      <c r="D66" s="71" t="s">
        <v>39</v>
      </c>
      <c r="E66" s="65" t="s">
        <v>39</v>
      </c>
      <c r="F66" s="65" t="s">
        <v>39</v>
      </c>
      <c r="G66" s="65" t="s">
        <v>39</v>
      </c>
      <c r="H66" s="65" t="s">
        <v>39</v>
      </c>
      <c r="I66" s="65" t="s">
        <v>39</v>
      </c>
      <c r="J66" s="65"/>
      <c r="K66" s="65" t="s">
        <v>32</v>
      </c>
      <c r="L66" s="65" t="s">
        <v>32</v>
      </c>
      <c r="M66" s="65" t="s">
        <v>32</v>
      </c>
      <c r="N66" s="65" t="s">
        <v>32</v>
      </c>
      <c r="O66" s="65" t="s">
        <v>32</v>
      </c>
      <c r="P66" s="65" t="s">
        <v>32</v>
      </c>
      <c r="Q66" s="65" t="s">
        <v>32</v>
      </c>
      <c r="R66" s="66" t="s">
        <v>32</v>
      </c>
    </row>
    <row r="67" spans="3:18" ht="17" thickTop="1" x14ac:dyDescent="0.2">
      <c r="C67" s="24" t="s">
        <v>113</v>
      </c>
      <c r="D67" s="55">
        <f ca="1">INDIRECT(ADDRESS($D62+6,D$1,4,TRUE,"Car+SUV"))-D69</f>
        <v>240.22563769102891</v>
      </c>
      <c r="E67" s="53">
        <f t="shared" ref="E67:R67" ca="1" si="33">INDIRECT(ADDRESS($D62+6,E$1,4,TRUE,"Car+SUV"))-E69</f>
        <v>239.52155785475452</v>
      </c>
      <c r="F67" s="53">
        <f t="shared" ca="1" si="33"/>
        <v>249.44077771821748</v>
      </c>
      <c r="G67" s="53">
        <f t="shared" ca="1" si="33"/>
        <v>257.0827933116575</v>
      </c>
      <c r="H67" s="53">
        <f t="shared" ca="1" si="33"/>
        <v>250.12286792638457</v>
      </c>
      <c r="I67" s="53">
        <f t="shared" ca="1" si="33"/>
        <v>258.56607090879896</v>
      </c>
      <c r="J67" s="53">
        <f t="shared" ca="1" si="33"/>
        <v>253.72173990466246</v>
      </c>
      <c r="K67" s="53">
        <f t="shared" ca="1" si="33"/>
        <v>253.90322992422435</v>
      </c>
      <c r="L67" s="53">
        <f t="shared" ca="1" si="33"/>
        <v>248.80997956834844</v>
      </c>
      <c r="M67" s="53">
        <f t="shared" ca="1" si="33"/>
        <v>241.48020587959545</v>
      </c>
      <c r="N67" s="53">
        <f t="shared" ca="1" si="33"/>
        <v>231.39944244558674</v>
      </c>
      <c r="O67" s="53">
        <f t="shared" ca="1" si="33"/>
        <v>220.83264954050298</v>
      </c>
      <c r="P67" s="53">
        <f t="shared" ca="1" si="33"/>
        <v>209.98615055555817</v>
      </c>
      <c r="Q67" s="53">
        <f t="shared" ca="1" si="33"/>
        <v>198.60609797614831</v>
      </c>
      <c r="R67" s="54">
        <f t="shared" ca="1" si="33"/>
        <v>186.84097705488097</v>
      </c>
    </row>
    <row r="68" spans="3:18" ht="16" x14ac:dyDescent="0.2">
      <c r="C68" s="24" t="s">
        <v>114</v>
      </c>
      <c r="D68" s="55">
        <f ca="1">INDIRECT(ADDRESS($D62+6,D$1,4,TRUE,"Van+Ute"))-D70</f>
        <v>96.113292757727308</v>
      </c>
      <c r="E68" s="56">
        <f t="shared" ref="E68:R68" ca="1" si="34">INDIRECT(ADDRESS($D62+6,E$1,4,TRUE,"Van+Ute"))-E70</f>
        <v>101.56564463205567</v>
      </c>
      <c r="F68" s="56">
        <f t="shared" ca="1" si="34"/>
        <v>109.27510793843869</v>
      </c>
      <c r="G68" s="56">
        <f t="shared" ca="1" si="34"/>
        <v>114.88663080449018</v>
      </c>
      <c r="H68" s="56">
        <f t="shared" ca="1" si="34"/>
        <v>114.29869694523373</v>
      </c>
      <c r="I68" s="56">
        <f t="shared" ca="1" si="34"/>
        <v>115.48731342848865</v>
      </c>
      <c r="J68" s="56">
        <f t="shared" ca="1" si="34"/>
        <v>124.15754190131723</v>
      </c>
      <c r="K68" s="56">
        <f t="shared" ca="1" si="34"/>
        <v>136.70772346378209</v>
      </c>
      <c r="L68" s="56">
        <f t="shared" ca="1" si="34"/>
        <v>140.13628779729589</v>
      </c>
      <c r="M68" s="56">
        <f t="shared" ca="1" si="34"/>
        <v>141.24684668248727</v>
      </c>
      <c r="N68" s="56">
        <f t="shared" ca="1" si="34"/>
        <v>140.878441235157</v>
      </c>
      <c r="O68" s="56">
        <f t="shared" ca="1" si="34"/>
        <v>140.50033940766718</v>
      </c>
      <c r="P68" s="56">
        <f t="shared" ca="1" si="34"/>
        <v>140.01049792006785</v>
      </c>
      <c r="Q68" s="56">
        <f t="shared" ca="1" si="34"/>
        <v>138.93319935228712</v>
      </c>
      <c r="R68" s="57">
        <f t="shared" ca="1" si="34"/>
        <v>137.12391485741881</v>
      </c>
    </row>
    <row r="69" spans="3:18" ht="16" x14ac:dyDescent="0.2">
      <c r="C69" s="24" t="s">
        <v>115</v>
      </c>
      <c r="D69" s="55">
        <f ca="1">INDIRECT(ADDRESS($D62+130,D$1,4,TRUE,"Car+SUV"))</f>
        <v>1.0386914659164255</v>
      </c>
      <c r="E69" s="56">
        <f t="shared" ref="E69:R69" ca="1" si="35">INDIRECT(ADDRESS($D62+130,E$1,4,TRUE,"Car+SUV"))</f>
        <v>1.0940104564315674</v>
      </c>
      <c r="F69" s="56">
        <f t="shared" ca="1" si="35"/>
        <v>1.058447387962798</v>
      </c>
      <c r="G69" s="56">
        <f t="shared" ca="1" si="35"/>
        <v>1.0888881139198701</v>
      </c>
      <c r="H69" s="56">
        <f t="shared" ca="1" si="35"/>
        <v>1.0421925887306627</v>
      </c>
      <c r="I69" s="56">
        <f t="shared" ca="1" si="35"/>
        <v>0.96640419101137454</v>
      </c>
      <c r="J69" s="56">
        <f t="shared" ca="1" si="35"/>
        <v>0.91588607192337279</v>
      </c>
      <c r="K69" s="56">
        <f t="shared" ca="1" si="35"/>
        <v>1.0353670618076951</v>
      </c>
      <c r="L69" s="56">
        <f t="shared" ca="1" si="35"/>
        <v>12.70222144572822</v>
      </c>
      <c r="M69" s="56">
        <f t="shared" ca="1" si="35"/>
        <v>24.559131076392855</v>
      </c>
      <c r="N69" s="56">
        <f t="shared" ca="1" si="35"/>
        <v>36.218046454747345</v>
      </c>
      <c r="O69" s="56">
        <f t="shared" ca="1" si="35"/>
        <v>47.663946844216028</v>
      </c>
      <c r="P69" s="56">
        <f t="shared" ca="1" si="35"/>
        <v>58.809159244210186</v>
      </c>
      <c r="Q69" s="56">
        <f t="shared" ca="1" si="35"/>
        <v>69.556950194106093</v>
      </c>
      <c r="R69" s="57">
        <f t="shared" ca="1" si="35"/>
        <v>79.894028337230893</v>
      </c>
    </row>
    <row r="70" spans="3:18" ht="16" x14ac:dyDescent="0.2">
      <c r="C70" s="24" t="s">
        <v>116</v>
      </c>
      <c r="D70" s="55">
        <f ca="1">INDIRECT(ADDRESS($D62+130,D$1,4,TRUE,"Van+Ute"))</f>
        <v>0.46643296750043733</v>
      </c>
      <c r="E70" s="56">
        <f t="shared" ref="E70:R70" ca="1" si="36">INDIRECT(ADDRESS($D62+130,E$1,4,TRUE,"Van+Ute"))</f>
        <v>0.48574461475523228</v>
      </c>
      <c r="F70" s="56">
        <f t="shared" ca="1" si="36"/>
        <v>0.60865303204104837</v>
      </c>
      <c r="G70" s="56">
        <f t="shared" ca="1" si="36"/>
        <v>0.64895256898076514</v>
      </c>
      <c r="H70" s="56">
        <f t="shared" ca="1" si="36"/>
        <v>0.6094854216193395</v>
      </c>
      <c r="I70" s="56">
        <f t="shared" ca="1" si="36"/>
        <v>0.47804102982751895</v>
      </c>
      <c r="J70" s="56">
        <f t="shared" ca="1" si="36"/>
        <v>0.5464272936995388</v>
      </c>
      <c r="K70" s="56">
        <f t="shared" ca="1" si="36"/>
        <v>0.61771091286619706</v>
      </c>
      <c r="L70" s="56">
        <f t="shared" ca="1" si="36"/>
        <v>4.7565763965748129</v>
      </c>
      <c r="M70" s="56">
        <f t="shared" ca="1" si="36"/>
        <v>8.9588638034446753</v>
      </c>
      <c r="N70" s="56">
        <f t="shared" ca="1" si="36"/>
        <v>13.090728782936015</v>
      </c>
      <c r="O70" s="56">
        <f t="shared" ca="1" si="36"/>
        <v>17.150608796678252</v>
      </c>
      <c r="P70" s="56">
        <f t="shared" ca="1" si="36"/>
        <v>21.100326999818481</v>
      </c>
      <c r="Q70" s="56">
        <f t="shared" ca="1" si="36"/>
        <v>24.913272887592999</v>
      </c>
      <c r="R70" s="57">
        <f t="shared" ca="1" si="36"/>
        <v>28.585367689548978</v>
      </c>
    </row>
    <row r="71" spans="3:18" ht="16" x14ac:dyDescent="0.2">
      <c r="C71" s="24" t="s">
        <v>43</v>
      </c>
      <c r="D71" s="55">
        <f ca="1">INDIRECT(ADDRESS($D62+6,D$1,4,TRUE,"Heavy Truck"))</f>
        <v>33.915973005218945</v>
      </c>
      <c r="E71" s="56">
        <f t="shared" ref="E71:R71" ca="1" si="37">INDIRECT(ADDRESS($D62+6,E$1,4,TRUE,"Heavy Truck"))</f>
        <v>36.059626125440786</v>
      </c>
      <c r="F71" s="56">
        <f t="shared" ca="1" si="37"/>
        <v>36.934309376738085</v>
      </c>
      <c r="G71" s="56">
        <f t="shared" ca="1" si="37"/>
        <v>34.474453336572367</v>
      </c>
      <c r="H71" s="56">
        <f t="shared" ca="1" si="37"/>
        <v>37.903907769942656</v>
      </c>
      <c r="I71" s="56">
        <f t="shared" ca="1" si="37"/>
        <v>37.511559866784808</v>
      </c>
      <c r="J71" s="56">
        <f t="shared" ca="1" si="37"/>
        <v>40.423259817139218</v>
      </c>
      <c r="K71" s="56">
        <f t="shared" ca="1" si="37"/>
        <v>40.071301806257495</v>
      </c>
      <c r="L71" s="56">
        <f t="shared" ca="1" si="37"/>
        <v>39.908454487210328</v>
      </c>
      <c r="M71" s="56">
        <f t="shared" ca="1" si="37"/>
        <v>39.72932139837679</v>
      </c>
      <c r="N71" s="56">
        <f t="shared" ca="1" si="37"/>
        <v>34.622091798088263</v>
      </c>
      <c r="O71" s="56">
        <f t="shared" ca="1" si="37"/>
        <v>29.742337536613</v>
      </c>
      <c r="P71" s="56">
        <f t="shared" ca="1" si="37"/>
        <v>32.40022087222841</v>
      </c>
      <c r="Q71" s="56">
        <f t="shared" ca="1" si="37"/>
        <v>34.909138607337887</v>
      </c>
      <c r="R71" s="57">
        <f t="shared" ca="1" si="37"/>
        <v>37.274816305695282</v>
      </c>
    </row>
    <row r="72" spans="3:18" ht="16" x14ac:dyDescent="0.2">
      <c r="C72" s="24" t="s">
        <v>44</v>
      </c>
      <c r="D72" s="55">
        <f ca="1">INDIRECT(ADDRESS($D62+6,D$1,4,TRUE,"Heavy Bus"))</f>
        <v>1.5184457280733668</v>
      </c>
      <c r="E72" s="56">
        <f t="shared" ref="E72:R72" ca="1" si="38">INDIRECT(ADDRESS($D62+6,E$1,4,TRUE,"Heavy Bus"))</f>
        <v>1.9072379251640335</v>
      </c>
      <c r="F72" s="56">
        <f t="shared" ca="1" si="38"/>
        <v>2.0051713428473192</v>
      </c>
      <c r="G72" s="56">
        <f t="shared" ca="1" si="38"/>
        <v>2.1004346546201038</v>
      </c>
      <c r="H72" s="56">
        <f t="shared" ca="1" si="38"/>
        <v>1.8437925209266235</v>
      </c>
      <c r="I72" s="56">
        <f t="shared" ca="1" si="38"/>
        <v>1.599253794013906</v>
      </c>
      <c r="J72" s="56">
        <f t="shared" ca="1" si="38"/>
        <v>1.7599314168397928</v>
      </c>
      <c r="K72" s="56">
        <f t="shared" ca="1" si="38"/>
        <v>2.0092622520456902</v>
      </c>
      <c r="L72" s="56">
        <f t="shared" ca="1" si="38"/>
        <v>2.363417028727604</v>
      </c>
      <c r="M72" s="56">
        <f t="shared" ca="1" si="38"/>
        <v>2.6967244183389698</v>
      </c>
      <c r="N72" s="56">
        <f t="shared" ca="1" si="38"/>
        <v>3.0869202685988952</v>
      </c>
      <c r="O72" s="56">
        <f t="shared" ca="1" si="38"/>
        <v>3.5399163075227942</v>
      </c>
      <c r="P72" s="56">
        <f t="shared" ca="1" si="38"/>
        <v>4.072822804789344</v>
      </c>
      <c r="Q72" s="56">
        <f t="shared" ca="1" si="38"/>
        <v>4.6902559365660048</v>
      </c>
      <c r="R72" s="57">
        <f t="shared" ca="1" si="38"/>
        <v>5.4059742625659339</v>
      </c>
    </row>
    <row r="73" spans="3:18" ht="17" thickBot="1" x14ac:dyDescent="0.25">
      <c r="C73" s="24" t="s">
        <v>42</v>
      </c>
      <c r="D73" s="55">
        <f ca="1">INDIRECT(ADDRESS($D62+6,D$1,4,TRUE,"Motorcycle"))</f>
        <v>2.7884785044479377</v>
      </c>
      <c r="E73" s="56">
        <f t="shared" ref="E73:R73" ca="1" si="39">INDIRECT(ADDRESS($D62+6,E$1,4,TRUE,"Motorcycle"))</f>
        <v>2.7601540462194354</v>
      </c>
      <c r="F73" s="56">
        <f t="shared" ca="1" si="39"/>
        <v>2.908456882893673</v>
      </c>
      <c r="G73" s="56">
        <f t="shared" ca="1" si="39"/>
        <v>3.0386461481188856</v>
      </c>
      <c r="H73" s="56">
        <f t="shared" ca="1" si="39"/>
        <v>3.1917678125708666</v>
      </c>
      <c r="I73" s="56">
        <f t="shared" ca="1" si="39"/>
        <v>3.0512692047295351</v>
      </c>
      <c r="J73" s="56">
        <f t="shared" ca="1" si="39"/>
        <v>2.802172664967614</v>
      </c>
      <c r="K73" s="56">
        <f t="shared" ca="1" si="39"/>
        <v>2.8714348782583916</v>
      </c>
      <c r="L73" s="56">
        <f t="shared" ca="1" si="39"/>
        <v>2.8600632192636839</v>
      </c>
      <c r="M73" s="56">
        <f t="shared" ca="1" si="39"/>
        <v>2.820874389506121</v>
      </c>
      <c r="N73" s="56">
        <f t="shared" ca="1" si="39"/>
        <v>2.72926287636106</v>
      </c>
      <c r="O73" s="56">
        <f t="shared" ca="1" si="39"/>
        <v>2.6282852710080564</v>
      </c>
      <c r="P73" s="56">
        <f t="shared" ca="1" si="39"/>
        <v>2.621673058290098</v>
      </c>
      <c r="Q73" s="56">
        <f t="shared" ca="1" si="39"/>
        <v>2.6068535263757169</v>
      </c>
      <c r="R73" s="57">
        <f t="shared" ca="1" si="39"/>
        <v>2.5866386670034562</v>
      </c>
    </row>
    <row r="74" spans="3:18" ht="19" thickTop="1" thickBot="1" x14ac:dyDescent="0.25">
      <c r="C74" s="31" t="s">
        <v>45</v>
      </c>
      <c r="D74" s="61">
        <f ca="1">SUM(D67:D73)</f>
        <v>376.06695211991337</v>
      </c>
      <c r="E74" s="62">
        <f t="shared" ref="E74:R74" ca="1" si="40">SUM(E67:E73)</f>
        <v>383.39397565482125</v>
      </c>
      <c r="F74" s="62">
        <f t="shared" ca="1" si="40"/>
        <v>402.2309236791391</v>
      </c>
      <c r="G74" s="62">
        <f t="shared" ca="1" si="40"/>
        <v>413.3207989383597</v>
      </c>
      <c r="H74" s="62">
        <f t="shared" ca="1" si="40"/>
        <v>409.01271098540843</v>
      </c>
      <c r="I74" s="62">
        <f t="shared" ca="1" si="40"/>
        <v>417.65991242365476</v>
      </c>
      <c r="J74" s="62">
        <f t="shared" ca="1" si="40"/>
        <v>424.32695907054921</v>
      </c>
      <c r="K74" s="62">
        <f t="shared" ca="1" si="40"/>
        <v>437.21603029924194</v>
      </c>
      <c r="L74" s="62">
        <f t="shared" ca="1" si="40"/>
        <v>451.536999943149</v>
      </c>
      <c r="M74" s="62">
        <f t="shared" ca="1" si="40"/>
        <v>461.49196764814212</v>
      </c>
      <c r="N74" s="62">
        <f t="shared" ca="1" si="40"/>
        <v>462.02493386147535</v>
      </c>
      <c r="O74" s="62">
        <f t="shared" ca="1" si="40"/>
        <v>462.05808370420823</v>
      </c>
      <c r="P74" s="62">
        <f t="shared" ca="1" si="40"/>
        <v>469.00085145496251</v>
      </c>
      <c r="Q74" s="62">
        <f t="shared" ca="1" si="40"/>
        <v>474.21576848041411</v>
      </c>
      <c r="R74" s="63">
        <f t="shared" ca="1" si="40"/>
        <v>477.7117171743443</v>
      </c>
    </row>
    <row r="75" spans="3:18" ht="14" thickTop="1" x14ac:dyDescent="0.15">
      <c r="M75"/>
      <c r="O75" s="121"/>
    </row>
    <row r="76" spans="3:18" ht="14" thickBot="1" x14ac:dyDescent="0.2">
      <c r="M76"/>
      <c r="O76" s="121"/>
    </row>
    <row r="77" spans="3:18" ht="18" thickTop="1" thickBot="1" x14ac:dyDescent="0.25">
      <c r="C77" s="180" t="str">
        <f ca="1">INDIRECT(ADDRESS(D77+6,3,4,TRUE,"Car+SUV"))</f>
        <v>Hawke’s Bay</v>
      </c>
      <c r="D77" s="182">
        <v>6</v>
      </c>
      <c r="E77" t="s">
        <v>170</v>
      </c>
      <c r="M77"/>
      <c r="O77" s="121"/>
    </row>
    <row r="78" spans="3:18" ht="15" thickTop="1" thickBot="1" x14ac:dyDescent="0.2">
      <c r="M78"/>
      <c r="O78" s="121"/>
    </row>
    <row r="79" spans="3:18" ht="17" thickTop="1" x14ac:dyDescent="0.2">
      <c r="C79" s="32" t="s">
        <v>47</v>
      </c>
      <c r="D79" s="33"/>
      <c r="E79" s="33"/>
      <c r="F79" s="33"/>
      <c r="G79" s="33"/>
      <c r="H79" s="33"/>
      <c r="I79" s="33"/>
      <c r="J79" s="33"/>
      <c r="K79" s="34"/>
      <c r="L79" s="34"/>
      <c r="M79" s="34"/>
      <c r="N79" s="34"/>
      <c r="O79" s="34"/>
      <c r="P79" s="34"/>
      <c r="Q79" s="34"/>
      <c r="R79" s="35"/>
    </row>
    <row r="80" spans="3:18" ht="14" thickBot="1" x14ac:dyDescent="0.2">
      <c r="C80" s="36"/>
      <c r="D80" s="37" t="s">
        <v>25</v>
      </c>
      <c r="E80" s="37" t="s">
        <v>37</v>
      </c>
      <c r="F80" s="37" t="s">
        <v>38</v>
      </c>
      <c r="G80" s="37" t="s">
        <v>177</v>
      </c>
      <c r="H80" s="37" t="s">
        <v>178</v>
      </c>
      <c r="I80" s="37" t="s">
        <v>26</v>
      </c>
      <c r="J80" s="37"/>
      <c r="K80" s="37" t="s">
        <v>27</v>
      </c>
      <c r="L80" s="37" t="s">
        <v>28</v>
      </c>
      <c r="M80" s="37" t="s">
        <v>29</v>
      </c>
      <c r="N80" s="37" t="s">
        <v>30</v>
      </c>
      <c r="O80" s="37" t="s">
        <v>31</v>
      </c>
      <c r="P80" s="37" t="s">
        <v>174</v>
      </c>
      <c r="Q80" s="37" t="s">
        <v>175</v>
      </c>
      <c r="R80" s="38" t="s">
        <v>176</v>
      </c>
    </row>
    <row r="81" spans="3:18" ht="15" thickTop="1" thickBot="1" x14ac:dyDescent="0.2">
      <c r="C81" s="70"/>
      <c r="D81" s="71" t="s">
        <v>39</v>
      </c>
      <c r="E81" s="65" t="s">
        <v>39</v>
      </c>
      <c r="F81" s="65" t="s">
        <v>39</v>
      </c>
      <c r="G81" s="65" t="s">
        <v>39</v>
      </c>
      <c r="H81" s="65" t="s">
        <v>39</v>
      </c>
      <c r="I81" s="65" t="s">
        <v>39</v>
      </c>
      <c r="J81" s="65"/>
      <c r="K81" s="65" t="s">
        <v>32</v>
      </c>
      <c r="L81" s="65" t="s">
        <v>32</v>
      </c>
      <c r="M81" s="65" t="s">
        <v>32</v>
      </c>
      <c r="N81" s="65" t="s">
        <v>32</v>
      </c>
      <c r="O81" s="65" t="s">
        <v>32</v>
      </c>
      <c r="P81" s="65" t="s">
        <v>32</v>
      </c>
      <c r="Q81" s="65" t="s">
        <v>32</v>
      </c>
      <c r="R81" s="66" t="s">
        <v>32</v>
      </c>
    </row>
    <row r="82" spans="3:18" ht="17" thickTop="1" x14ac:dyDescent="0.2">
      <c r="C82" s="24" t="s">
        <v>113</v>
      </c>
      <c r="D82" s="55">
        <f ca="1">INDIRECT(ADDRESS($D77+6,D$1,4,TRUE,"Car+SUV"))-D84</f>
        <v>1027.0527349657843</v>
      </c>
      <c r="E82" s="53">
        <f t="shared" ref="E82:R82" ca="1" si="41">INDIRECT(ADDRESS($D77+6,E$1,4,TRUE,"Car+SUV"))-E84</f>
        <v>1021.3641080020416</v>
      </c>
      <c r="F82" s="53">
        <f t="shared" ca="1" si="41"/>
        <v>1067.0807738979126</v>
      </c>
      <c r="G82" s="53">
        <f t="shared" ca="1" si="41"/>
        <v>1117.2143409278385</v>
      </c>
      <c r="H82" s="53">
        <f t="shared" ca="1" si="41"/>
        <v>1154.62888646752</v>
      </c>
      <c r="I82" s="53">
        <f t="shared" ca="1" si="41"/>
        <v>1164.7616707801419</v>
      </c>
      <c r="J82" s="53">
        <f t="shared" ca="1" si="41"/>
        <v>1183.6047361070662</v>
      </c>
      <c r="K82" s="53">
        <f t="shared" ca="1" si="41"/>
        <v>1229.1799186620292</v>
      </c>
      <c r="L82" s="53">
        <f t="shared" ca="1" si="41"/>
        <v>1210.9840892848708</v>
      </c>
      <c r="M82" s="53">
        <f t="shared" ca="1" si="41"/>
        <v>1179.9112854348459</v>
      </c>
      <c r="N82" s="53">
        <f t="shared" ca="1" si="41"/>
        <v>1137.0597171290858</v>
      </c>
      <c r="O82" s="53">
        <f t="shared" ca="1" si="41"/>
        <v>1090.9449043240379</v>
      </c>
      <c r="P82" s="53">
        <f t="shared" ca="1" si="41"/>
        <v>1043.2421766526388</v>
      </c>
      <c r="Q82" s="53">
        <f t="shared" ca="1" si="41"/>
        <v>992.51825237542585</v>
      </c>
      <c r="R82" s="54">
        <f t="shared" ca="1" si="41"/>
        <v>939.36696974121639</v>
      </c>
    </row>
    <row r="83" spans="3:18" ht="16" x14ac:dyDescent="0.2">
      <c r="C83" s="24" t="s">
        <v>114</v>
      </c>
      <c r="D83" s="55">
        <f ca="1">INDIRECT(ADDRESS($D77+6,D$1,4,TRUE,"Van+Ute"))-D85</f>
        <v>264.69231182264048</v>
      </c>
      <c r="E83" s="56">
        <f t="shared" ref="E83:R83" ca="1" si="42">INDIRECT(ADDRESS($D77+6,E$1,4,TRUE,"Van+Ute"))-E85</f>
        <v>270.89704809958272</v>
      </c>
      <c r="F83" s="56">
        <f t="shared" ca="1" si="42"/>
        <v>290.33065813878881</v>
      </c>
      <c r="G83" s="56">
        <f t="shared" ca="1" si="42"/>
        <v>310.69886608887811</v>
      </c>
      <c r="H83" s="56">
        <f t="shared" ca="1" si="42"/>
        <v>329.01639632883621</v>
      </c>
      <c r="I83" s="56">
        <f t="shared" ca="1" si="42"/>
        <v>351.56196688460079</v>
      </c>
      <c r="J83" s="56">
        <f t="shared" ca="1" si="42"/>
        <v>384.31990127473063</v>
      </c>
      <c r="K83" s="56">
        <f t="shared" ca="1" si="42"/>
        <v>433.2616156541294</v>
      </c>
      <c r="L83" s="56">
        <f t="shared" ca="1" si="42"/>
        <v>448.48968574149001</v>
      </c>
      <c r="M83" s="56">
        <f t="shared" ca="1" si="42"/>
        <v>455.33732964267324</v>
      </c>
      <c r="N83" s="56">
        <f t="shared" ca="1" si="42"/>
        <v>458.18646263292953</v>
      </c>
      <c r="O83" s="56">
        <f t="shared" ca="1" si="42"/>
        <v>460.83818679957722</v>
      </c>
      <c r="P83" s="56">
        <f t="shared" ca="1" si="42"/>
        <v>463.16164098506931</v>
      </c>
      <c r="Q83" s="56">
        <f t="shared" ca="1" si="42"/>
        <v>463.44929805752543</v>
      </c>
      <c r="R83" s="57">
        <f t="shared" ca="1" si="42"/>
        <v>461.10391429306179</v>
      </c>
    </row>
    <row r="84" spans="3:18" ht="16" x14ac:dyDescent="0.2">
      <c r="C84" s="24" t="s">
        <v>115</v>
      </c>
      <c r="D84" s="55">
        <f ca="1">INDIRECT(ADDRESS($D77+130,D$1,4,TRUE,"Car+SUV"))</f>
        <v>4.9682297678799188</v>
      </c>
      <c r="E84" s="56">
        <f t="shared" ref="E84:R84" ca="1" si="43">INDIRECT(ADDRESS($D77+130,E$1,4,TRUE,"Car+SUV"))</f>
        <v>4.8118020460864983</v>
      </c>
      <c r="F84" s="56">
        <f t="shared" ca="1" si="43"/>
        <v>5.1180066908698345</v>
      </c>
      <c r="G84" s="56">
        <f t="shared" ca="1" si="43"/>
        <v>5.5925669427783271</v>
      </c>
      <c r="H84" s="56">
        <f t="shared" ca="1" si="43"/>
        <v>6.600006505389028</v>
      </c>
      <c r="I84" s="56">
        <f t="shared" ca="1" si="43"/>
        <v>6.9647220185582528</v>
      </c>
      <c r="J84" s="56">
        <f t="shared" ca="1" si="43"/>
        <v>7.5703703259138599</v>
      </c>
      <c r="K84" s="56">
        <f t="shared" ca="1" si="43"/>
        <v>8.5583709548216635</v>
      </c>
      <c r="L84" s="56">
        <f t="shared" ca="1" si="43"/>
        <v>61.551601072114238</v>
      </c>
      <c r="M84" s="56">
        <f t="shared" ca="1" si="43"/>
        <v>115.51109555083542</v>
      </c>
      <c r="N84" s="56">
        <f t="shared" ca="1" si="43"/>
        <v>168.99039485010937</v>
      </c>
      <c r="O84" s="56">
        <f t="shared" ca="1" si="43"/>
        <v>221.73562154347121</v>
      </c>
      <c r="P84" s="56">
        <f t="shared" ca="1" si="43"/>
        <v>273.31056255811899</v>
      </c>
      <c r="Q84" s="56">
        <f t="shared" ca="1" si="43"/>
        <v>323.3734753288183</v>
      </c>
      <c r="R84" s="57">
        <f t="shared" ca="1" si="43"/>
        <v>371.85944146904251</v>
      </c>
    </row>
    <row r="85" spans="3:18" ht="16" x14ac:dyDescent="0.2">
      <c r="C85" s="24" t="s">
        <v>116</v>
      </c>
      <c r="D85" s="55">
        <f ca="1">INDIRECT(ADDRESS($D77+130,D$1,4,TRUE,"Van+Ute"))</f>
        <v>2.4511503593819159</v>
      </c>
      <c r="E85" s="56">
        <f t="shared" ref="E85:R85" ca="1" si="44">INDIRECT(ADDRESS($D77+130,E$1,4,TRUE,"Van+Ute"))</f>
        <v>2.2718274547835779</v>
      </c>
      <c r="F85" s="56">
        <f t="shared" ca="1" si="44"/>
        <v>2.197500164416577</v>
      </c>
      <c r="G85" s="56">
        <f t="shared" ca="1" si="44"/>
        <v>2.3410573730877977</v>
      </c>
      <c r="H85" s="56">
        <f t="shared" ca="1" si="44"/>
        <v>2.197966981800124</v>
      </c>
      <c r="I85" s="56">
        <f t="shared" ca="1" si="44"/>
        <v>2.5501888214914947</v>
      </c>
      <c r="J85" s="56">
        <f t="shared" ca="1" si="44"/>
        <v>2.6674928002289775</v>
      </c>
      <c r="K85" s="56">
        <f t="shared" ca="1" si="44"/>
        <v>3.015624324946049</v>
      </c>
      <c r="L85" s="56">
        <f t="shared" ca="1" si="44"/>
        <v>14.565874127022258</v>
      </c>
      <c r="M85" s="56">
        <f t="shared" ca="1" si="44"/>
        <v>26.30687878840526</v>
      </c>
      <c r="N85" s="56">
        <f t="shared" ca="1" si="44"/>
        <v>37.942878328939109</v>
      </c>
      <c r="O85" s="56">
        <f t="shared" ca="1" si="44"/>
        <v>49.434211495980236</v>
      </c>
      <c r="P85" s="56">
        <f t="shared" ca="1" si="44"/>
        <v>60.65445193006385</v>
      </c>
      <c r="Q85" s="56">
        <f t="shared" ca="1" si="44"/>
        <v>71.563844451490723</v>
      </c>
      <c r="R85" s="57">
        <f t="shared" ca="1" si="44"/>
        <v>82.151166368744214</v>
      </c>
    </row>
    <row r="86" spans="3:18" ht="16" x14ac:dyDescent="0.2">
      <c r="C86" s="24" t="s">
        <v>43</v>
      </c>
      <c r="D86" s="55">
        <f ca="1">INDIRECT(ADDRESS($D77+6,D$1,4,TRUE,"Heavy Truck"))</f>
        <v>105.40675076508299</v>
      </c>
      <c r="E86" s="56">
        <f t="shared" ref="E86:R86" ca="1" si="45">INDIRECT(ADDRESS($D77+6,E$1,4,TRUE,"Heavy Truck"))</f>
        <v>106.76392106951823</v>
      </c>
      <c r="F86" s="56">
        <f t="shared" ca="1" si="45"/>
        <v>110.27688080452752</v>
      </c>
      <c r="G86" s="56">
        <f t="shared" ca="1" si="45"/>
        <v>111.58416614165577</v>
      </c>
      <c r="H86" s="56">
        <f t="shared" ca="1" si="45"/>
        <v>118.48078788976672</v>
      </c>
      <c r="I86" s="56">
        <f t="shared" ca="1" si="45"/>
        <v>122.3776581796696</v>
      </c>
      <c r="J86" s="56">
        <f t="shared" ca="1" si="45"/>
        <v>126.48576944621682</v>
      </c>
      <c r="K86" s="56">
        <f t="shared" ca="1" si="45"/>
        <v>126.63582819184096</v>
      </c>
      <c r="L86" s="56">
        <f t="shared" ca="1" si="45"/>
        <v>129.10474265115039</v>
      </c>
      <c r="M86" s="56">
        <f t="shared" ca="1" si="45"/>
        <v>131.37522388742002</v>
      </c>
      <c r="N86" s="56">
        <f t="shared" ca="1" si="45"/>
        <v>128.31250019772827</v>
      </c>
      <c r="O86" s="56">
        <f t="shared" ca="1" si="45"/>
        <v>125.32094944969286</v>
      </c>
      <c r="P86" s="56">
        <f t="shared" ca="1" si="45"/>
        <v>125.57143834963045</v>
      </c>
      <c r="Q86" s="56">
        <f t="shared" ca="1" si="45"/>
        <v>125.73356831484558</v>
      </c>
      <c r="R86" s="57">
        <f t="shared" ca="1" si="45"/>
        <v>125.81153984078874</v>
      </c>
    </row>
    <row r="87" spans="3:18" ht="16" x14ac:dyDescent="0.2">
      <c r="C87" s="24" t="s">
        <v>44</v>
      </c>
      <c r="D87" s="55">
        <f ca="1">INDIRECT(ADDRESS($D77+6,D$1,4,TRUE,"Heavy Bus"))</f>
        <v>5.3007389387002126</v>
      </c>
      <c r="E87" s="56">
        <f t="shared" ref="E87:R87" ca="1" si="46">INDIRECT(ADDRESS($D77+6,E$1,4,TRUE,"Heavy Bus"))</f>
        <v>5.7748539322517694</v>
      </c>
      <c r="F87" s="56">
        <f t="shared" ca="1" si="46"/>
        <v>5.4696381884381386</v>
      </c>
      <c r="G87" s="56">
        <f t="shared" ca="1" si="46"/>
        <v>5.461851902141678</v>
      </c>
      <c r="H87" s="56">
        <f t="shared" ca="1" si="46"/>
        <v>5.410971667425196</v>
      </c>
      <c r="I87" s="56">
        <f t="shared" ca="1" si="46"/>
        <v>5.3806646264228695</v>
      </c>
      <c r="J87" s="56">
        <f t="shared" ca="1" si="46"/>
        <v>5.94404401345097</v>
      </c>
      <c r="K87" s="56">
        <f t="shared" ca="1" si="46"/>
        <v>6.3526087091268693</v>
      </c>
      <c r="L87" s="56">
        <f t="shared" ca="1" si="46"/>
        <v>6.969285465353626</v>
      </c>
      <c r="M87" s="56">
        <f t="shared" ca="1" si="46"/>
        <v>7.508782065462567</v>
      </c>
      <c r="N87" s="56">
        <f t="shared" ca="1" si="46"/>
        <v>8.1877949812926207</v>
      </c>
      <c r="O87" s="56">
        <f t="shared" ca="1" si="46"/>
        <v>8.9800542830419268</v>
      </c>
      <c r="P87" s="56">
        <f t="shared" ca="1" si="46"/>
        <v>10.001390407108913</v>
      </c>
      <c r="Q87" s="56">
        <f t="shared" ca="1" si="46"/>
        <v>11.179582078288801</v>
      </c>
      <c r="R87" s="57">
        <f t="shared" ca="1" si="46"/>
        <v>12.543563871862286</v>
      </c>
    </row>
    <row r="88" spans="3:18" ht="17" thickBot="1" x14ac:dyDescent="0.25">
      <c r="C88" s="24" t="s">
        <v>42</v>
      </c>
      <c r="D88" s="55">
        <f ca="1">INDIRECT(ADDRESS($D77+6,D$1,4,TRUE,"Motorcycle"))</f>
        <v>13.396909433695859</v>
      </c>
      <c r="E88" s="56">
        <f t="shared" ref="E88:R88" ca="1" si="47">INDIRECT(ADDRESS($D77+6,E$1,4,TRUE,"Motorcycle"))</f>
        <v>12.994284016766002</v>
      </c>
      <c r="F88" s="56">
        <f t="shared" ca="1" si="47"/>
        <v>13.325722064347435</v>
      </c>
      <c r="G88" s="56">
        <f t="shared" ca="1" si="47"/>
        <v>13.926317234083857</v>
      </c>
      <c r="H88" s="56">
        <f t="shared" ca="1" si="47"/>
        <v>13.680742605734771</v>
      </c>
      <c r="I88" s="56">
        <f t="shared" ca="1" si="47"/>
        <v>13.901547731508426</v>
      </c>
      <c r="J88" s="56">
        <f t="shared" ca="1" si="47"/>
        <v>14.313138565403021</v>
      </c>
      <c r="K88" s="56">
        <f t="shared" ca="1" si="47"/>
        <v>14.68469502825409</v>
      </c>
      <c r="L88" s="56">
        <f t="shared" ca="1" si="47"/>
        <v>14.666836915589993</v>
      </c>
      <c r="M88" s="56">
        <f t="shared" ca="1" si="47"/>
        <v>14.489619424398787</v>
      </c>
      <c r="N88" s="56">
        <f t="shared" ca="1" si="47"/>
        <v>14.063386867847235</v>
      </c>
      <c r="O88" s="56">
        <f t="shared" ca="1" si="47"/>
        <v>13.57679553071112</v>
      </c>
      <c r="P88" s="56">
        <f t="shared" ca="1" si="47"/>
        <v>13.576365691106734</v>
      </c>
      <c r="Q88" s="56">
        <f t="shared" ca="1" si="47"/>
        <v>13.533241958452292</v>
      </c>
      <c r="R88" s="57">
        <f t="shared" ca="1" si="47"/>
        <v>13.461740129999383</v>
      </c>
    </row>
    <row r="89" spans="3:18" ht="19" thickTop="1" thickBot="1" x14ac:dyDescent="0.25">
      <c r="C89" s="31" t="s">
        <v>45</v>
      </c>
      <c r="D89" s="61">
        <f ca="1">SUM(D82:D88)</f>
        <v>1423.2688260531656</v>
      </c>
      <c r="E89" s="62">
        <f t="shared" ref="E89:R89" ca="1" si="48">SUM(E82:E88)</f>
        <v>1424.8778446210301</v>
      </c>
      <c r="F89" s="62">
        <f t="shared" ca="1" si="48"/>
        <v>1493.7991799493011</v>
      </c>
      <c r="G89" s="62">
        <f t="shared" ca="1" si="48"/>
        <v>1566.819166610464</v>
      </c>
      <c r="H89" s="62">
        <f t="shared" ca="1" si="48"/>
        <v>1630.0157584464723</v>
      </c>
      <c r="I89" s="62">
        <f t="shared" ca="1" si="48"/>
        <v>1667.4984190423934</v>
      </c>
      <c r="J89" s="62">
        <f t="shared" ca="1" si="48"/>
        <v>1724.9054525330107</v>
      </c>
      <c r="K89" s="62">
        <f t="shared" ca="1" si="48"/>
        <v>1821.6886615251481</v>
      </c>
      <c r="L89" s="62">
        <f t="shared" ca="1" si="48"/>
        <v>1886.3321152575911</v>
      </c>
      <c r="M89" s="62">
        <f t="shared" ca="1" si="48"/>
        <v>1930.4402147940414</v>
      </c>
      <c r="N89" s="62">
        <f t="shared" ca="1" si="48"/>
        <v>1952.7431349879319</v>
      </c>
      <c r="O89" s="62">
        <f t="shared" ca="1" si="48"/>
        <v>1970.8307234265121</v>
      </c>
      <c r="P89" s="62">
        <f t="shared" ca="1" si="48"/>
        <v>1989.518026573737</v>
      </c>
      <c r="Q89" s="62">
        <f t="shared" ca="1" si="48"/>
        <v>2001.3512625648468</v>
      </c>
      <c r="R89" s="63">
        <f t="shared" ca="1" si="48"/>
        <v>2006.2983357147152</v>
      </c>
    </row>
    <row r="90" spans="3:18" ht="14" thickTop="1" x14ac:dyDescent="0.15">
      <c r="M90"/>
      <c r="O90" s="121"/>
    </row>
    <row r="91" spans="3:18" ht="14" thickBot="1" x14ac:dyDescent="0.2">
      <c r="M91"/>
      <c r="O91" s="121"/>
    </row>
    <row r="92" spans="3:18" ht="18" thickTop="1" thickBot="1" x14ac:dyDescent="0.25">
      <c r="C92" s="180" t="str">
        <f ca="1">INDIRECT(ADDRESS(D92+6,3,4,TRUE,"Car+SUV"))</f>
        <v>Taranaki</v>
      </c>
      <c r="D92" s="182">
        <v>7</v>
      </c>
      <c r="E92" t="s">
        <v>170</v>
      </c>
      <c r="M92"/>
      <c r="O92" s="121"/>
    </row>
    <row r="93" spans="3:18" ht="15" thickTop="1" thickBot="1" x14ac:dyDescent="0.2">
      <c r="M93"/>
      <c r="O93" s="121"/>
    </row>
    <row r="94" spans="3:18" ht="17" thickTop="1" x14ac:dyDescent="0.2">
      <c r="C94" s="32" t="s">
        <v>47</v>
      </c>
      <c r="D94" s="33"/>
      <c r="E94" s="33"/>
      <c r="F94" s="33"/>
      <c r="G94" s="33"/>
      <c r="H94" s="33"/>
      <c r="I94" s="33"/>
      <c r="J94" s="33"/>
      <c r="K94" s="34"/>
      <c r="L94" s="34"/>
      <c r="M94" s="34"/>
      <c r="N94" s="34"/>
      <c r="O94" s="34"/>
      <c r="P94" s="34"/>
      <c r="Q94" s="34"/>
      <c r="R94" s="35"/>
    </row>
    <row r="95" spans="3:18" ht="14" thickBot="1" x14ac:dyDescent="0.2">
      <c r="C95" s="36"/>
      <c r="D95" s="37" t="s">
        <v>25</v>
      </c>
      <c r="E95" s="37" t="s">
        <v>37</v>
      </c>
      <c r="F95" s="37" t="s">
        <v>38</v>
      </c>
      <c r="G95" s="37" t="s">
        <v>177</v>
      </c>
      <c r="H95" s="37" t="s">
        <v>178</v>
      </c>
      <c r="I95" s="37" t="s">
        <v>26</v>
      </c>
      <c r="J95" s="37"/>
      <c r="K95" s="37" t="s">
        <v>27</v>
      </c>
      <c r="L95" s="37" t="s">
        <v>28</v>
      </c>
      <c r="M95" s="37" t="s">
        <v>29</v>
      </c>
      <c r="N95" s="37" t="s">
        <v>30</v>
      </c>
      <c r="O95" s="37" t="s">
        <v>31</v>
      </c>
      <c r="P95" s="37" t="s">
        <v>174</v>
      </c>
      <c r="Q95" s="37" t="s">
        <v>175</v>
      </c>
      <c r="R95" s="38" t="s">
        <v>176</v>
      </c>
    </row>
    <row r="96" spans="3:18" ht="15" thickTop="1" thickBot="1" x14ac:dyDescent="0.2">
      <c r="C96" s="70"/>
      <c r="D96" s="71" t="s">
        <v>39</v>
      </c>
      <c r="E96" s="65" t="s">
        <v>39</v>
      </c>
      <c r="F96" s="65" t="s">
        <v>39</v>
      </c>
      <c r="G96" s="65" t="s">
        <v>39</v>
      </c>
      <c r="H96" s="65" t="s">
        <v>39</v>
      </c>
      <c r="I96" s="65" t="s">
        <v>39</v>
      </c>
      <c r="J96" s="65"/>
      <c r="K96" s="65" t="s">
        <v>32</v>
      </c>
      <c r="L96" s="65" t="s">
        <v>32</v>
      </c>
      <c r="M96" s="65" t="s">
        <v>32</v>
      </c>
      <c r="N96" s="65" t="s">
        <v>32</v>
      </c>
      <c r="O96" s="65" t="s">
        <v>32</v>
      </c>
      <c r="P96" s="65" t="s">
        <v>32</v>
      </c>
      <c r="Q96" s="65" t="s">
        <v>32</v>
      </c>
      <c r="R96" s="66" t="s">
        <v>32</v>
      </c>
    </row>
    <row r="97" spans="3:18" ht="17" thickTop="1" x14ac:dyDescent="0.2">
      <c r="C97" s="24" t="s">
        <v>113</v>
      </c>
      <c r="D97" s="55">
        <f ca="1">INDIRECT(ADDRESS($D92+6,D$1,4,TRUE,"Car+SUV"))-D99</f>
        <v>719.70932019671011</v>
      </c>
      <c r="E97" s="53">
        <f t="shared" ref="E97:R97" ca="1" si="49">INDIRECT(ADDRESS($D92+6,E$1,4,TRUE,"Car+SUV"))-E99</f>
        <v>737.78468305555111</v>
      </c>
      <c r="F97" s="53">
        <f t="shared" ca="1" si="49"/>
        <v>762.06601452642144</v>
      </c>
      <c r="G97" s="53">
        <f t="shared" ca="1" si="49"/>
        <v>790.48844972816812</v>
      </c>
      <c r="H97" s="53">
        <f t="shared" ca="1" si="49"/>
        <v>813.12204080963784</v>
      </c>
      <c r="I97" s="53">
        <f t="shared" ca="1" si="49"/>
        <v>836.55408321097252</v>
      </c>
      <c r="J97" s="53">
        <f t="shared" ca="1" si="49"/>
        <v>794.06392048976284</v>
      </c>
      <c r="K97" s="53">
        <f t="shared" ca="1" si="49"/>
        <v>826.71960546651894</v>
      </c>
      <c r="L97" s="53">
        <f t="shared" ca="1" si="49"/>
        <v>819.44396836389626</v>
      </c>
      <c r="M97" s="53">
        <f t="shared" ca="1" si="49"/>
        <v>804.55701124795223</v>
      </c>
      <c r="N97" s="53">
        <f t="shared" ca="1" si="49"/>
        <v>782.25512875809977</v>
      </c>
      <c r="O97" s="53">
        <f t="shared" ca="1" si="49"/>
        <v>757.97476157768733</v>
      </c>
      <c r="P97" s="53">
        <f t="shared" ca="1" si="49"/>
        <v>731.72695668416713</v>
      </c>
      <c r="Q97" s="53">
        <f t="shared" ca="1" si="49"/>
        <v>702.57061821537195</v>
      </c>
      <c r="R97" s="54">
        <f t="shared" ca="1" si="49"/>
        <v>670.94774021205899</v>
      </c>
    </row>
    <row r="98" spans="3:18" ht="16" x14ac:dyDescent="0.2">
      <c r="C98" s="24" t="s">
        <v>114</v>
      </c>
      <c r="D98" s="55">
        <f ca="1">INDIRECT(ADDRESS($D92+6,D$1,4,TRUE,"Van+Ute"))-D100</f>
        <v>177.76887993560109</v>
      </c>
      <c r="E98" s="56">
        <f t="shared" ref="E98:R98" ca="1" si="50">INDIRECT(ADDRESS($D92+6,E$1,4,TRUE,"Van+Ute"))-E100</f>
        <v>186.97842401370514</v>
      </c>
      <c r="F98" s="56">
        <f t="shared" ca="1" si="50"/>
        <v>200.16013097579113</v>
      </c>
      <c r="G98" s="56">
        <f t="shared" ca="1" si="50"/>
        <v>210.3151697294883</v>
      </c>
      <c r="H98" s="56">
        <f t="shared" ca="1" si="50"/>
        <v>216.34403616748565</v>
      </c>
      <c r="I98" s="56">
        <f t="shared" ca="1" si="50"/>
        <v>237.1924186899937</v>
      </c>
      <c r="J98" s="56">
        <f t="shared" ca="1" si="50"/>
        <v>237.62780801014503</v>
      </c>
      <c r="K98" s="56">
        <f t="shared" ca="1" si="50"/>
        <v>263.38760975363732</v>
      </c>
      <c r="L98" s="56">
        <f t="shared" ca="1" si="50"/>
        <v>273.56855729413485</v>
      </c>
      <c r="M98" s="56">
        <f t="shared" ca="1" si="50"/>
        <v>279.3472730481493</v>
      </c>
      <c r="N98" s="56">
        <f t="shared" ca="1" si="50"/>
        <v>283.12668193177058</v>
      </c>
      <c r="O98" s="56">
        <f t="shared" ca="1" si="50"/>
        <v>287.17202181845971</v>
      </c>
      <c r="P98" s="56">
        <f t="shared" ca="1" si="50"/>
        <v>291.0448763814951</v>
      </c>
      <c r="Q98" s="56">
        <f t="shared" ca="1" si="50"/>
        <v>293.71790429776001</v>
      </c>
      <c r="R98" s="57">
        <f t="shared" ca="1" si="50"/>
        <v>294.81123995910463</v>
      </c>
    </row>
    <row r="99" spans="3:18" ht="16" x14ac:dyDescent="0.2">
      <c r="C99" s="24" t="s">
        <v>115</v>
      </c>
      <c r="D99" s="55">
        <f ca="1">INDIRECT(ADDRESS($D92+130,D$1,4,TRUE,"Car+SUV"))</f>
        <v>2.9741262112277385</v>
      </c>
      <c r="E99" s="56">
        <f t="shared" ref="E99:R99" ca="1" si="51">INDIRECT(ADDRESS($D92+130,E$1,4,TRUE,"Car+SUV"))</f>
        <v>3.21142605893656</v>
      </c>
      <c r="F99" s="56">
        <f t="shared" ca="1" si="51"/>
        <v>3.0398365671850045</v>
      </c>
      <c r="G99" s="56">
        <f t="shared" ca="1" si="51"/>
        <v>3.1589092859591887</v>
      </c>
      <c r="H99" s="56">
        <f t="shared" ca="1" si="51"/>
        <v>3.5220969826324331</v>
      </c>
      <c r="I99" s="56">
        <f t="shared" ca="1" si="51"/>
        <v>3.5552669180090497</v>
      </c>
      <c r="J99" s="56">
        <f t="shared" ca="1" si="51"/>
        <v>3.6268625186312407</v>
      </c>
      <c r="K99" s="56">
        <f t="shared" ca="1" si="51"/>
        <v>4.126422387118442</v>
      </c>
      <c r="L99" s="56">
        <f t="shared" ca="1" si="51"/>
        <v>43.798303709461422</v>
      </c>
      <c r="M99" s="56">
        <f t="shared" ca="1" si="51"/>
        <v>85.078353421864819</v>
      </c>
      <c r="N99" s="56">
        <f t="shared" ca="1" si="51"/>
        <v>127.0425574958677</v>
      </c>
      <c r="O99" s="56">
        <f t="shared" ca="1" si="51"/>
        <v>169.64467897411686</v>
      </c>
      <c r="P99" s="56">
        <f t="shared" ca="1" si="51"/>
        <v>212.47814134513413</v>
      </c>
      <c r="Q99" s="56">
        <f t="shared" ca="1" si="51"/>
        <v>255.18482867002177</v>
      </c>
      <c r="R99" s="57">
        <f t="shared" ca="1" si="51"/>
        <v>297.6743208073824</v>
      </c>
    </row>
    <row r="100" spans="3:18" ht="16" x14ac:dyDescent="0.2">
      <c r="C100" s="24" t="s">
        <v>116</v>
      </c>
      <c r="D100" s="55">
        <f ca="1">INDIRECT(ADDRESS($D92+130,D$1,4,TRUE,"Van+Ute"))</f>
        <v>0.68053476523643142</v>
      </c>
      <c r="E100" s="56">
        <f t="shared" ref="E100:R100" ca="1" si="52">INDIRECT(ADDRESS($D92+130,E$1,4,TRUE,"Van+Ute"))</f>
        <v>0.80386093039357254</v>
      </c>
      <c r="F100" s="56">
        <f t="shared" ca="1" si="52"/>
        <v>0.84075801682457829</v>
      </c>
      <c r="G100" s="56">
        <f t="shared" ca="1" si="52"/>
        <v>0.8546097466833229</v>
      </c>
      <c r="H100" s="56">
        <f t="shared" ca="1" si="52"/>
        <v>0.95416697611616907</v>
      </c>
      <c r="I100" s="56">
        <f t="shared" ca="1" si="52"/>
        <v>0.94469756651081149</v>
      </c>
      <c r="J100" s="56">
        <f t="shared" ca="1" si="52"/>
        <v>0.99872704126093381</v>
      </c>
      <c r="K100" s="56">
        <f t="shared" ca="1" si="52"/>
        <v>1.1362905543039412</v>
      </c>
      <c r="L100" s="56">
        <f t="shared" ca="1" si="52"/>
        <v>9.2934506213975965</v>
      </c>
      <c r="M100" s="56">
        <f t="shared" ca="1" si="52"/>
        <v>17.776032122878885</v>
      </c>
      <c r="N100" s="56">
        <f t="shared" ca="1" si="52"/>
        <v>26.398731554953393</v>
      </c>
      <c r="O100" s="56">
        <f t="shared" ca="1" si="52"/>
        <v>35.155949760381795</v>
      </c>
      <c r="P100" s="56">
        <f t="shared" ca="1" si="52"/>
        <v>43.955316622082357</v>
      </c>
      <c r="Q100" s="56">
        <f t="shared" ca="1" si="52"/>
        <v>52.73234424410915</v>
      </c>
      <c r="R100" s="57">
        <f t="shared" ca="1" si="52"/>
        <v>61.469163415285394</v>
      </c>
    </row>
    <row r="101" spans="3:18" ht="16" x14ac:dyDescent="0.2">
      <c r="C101" s="24" t="s">
        <v>43</v>
      </c>
      <c r="D101" s="55">
        <f ca="1">INDIRECT(ADDRESS($D92+6,D$1,4,TRUE,"Heavy Truck"))</f>
        <v>84.096097549876319</v>
      </c>
      <c r="E101" s="56">
        <f t="shared" ref="E101:R101" ca="1" si="53">INDIRECT(ADDRESS($D92+6,E$1,4,TRUE,"Heavy Truck"))</f>
        <v>87.906568292027828</v>
      </c>
      <c r="F101" s="56">
        <f t="shared" ca="1" si="53"/>
        <v>95.017511822066183</v>
      </c>
      <c r="G101" s="56">
        <f t="shared" ca="1" si="53"/>
        <v>97.182869967109781</v>
      </c>
      <c r="H101" s="56">
        <f t="shared" ca="1" si="53"/>
        <v>95.754915641963777</v>
      </c>
      <c r="I101" s="56">
        <f t="shared" ca="1" si="53"/>
        <v>92.970199440918265</v>
      </c>
      <c r="J101" s="56">
        <f t="shared" ca="1" si="53"/>
        <v>89.744744126569302</v>
      </c>
      <c r="K101" s="56">
        <f t="shared" ca="1" si="53"/>
        <v>88.717389278642244</v>
      </c>
      <c r="L101" s="56">
        <f t="shared" ca="1" si="53"/>
        <v>88.526144550381431</v>
      </c>
      <c r="M101" s="56">
        <f t="shared" ca="1" si="53"/>
        <v>88.290503960623724</v>
      </c>
      <c r="N101" s="56">
        <f t="shared" ca="1" si="53"/>
        <v>86.187555768604128</v>
      </c>
      <c r="O101" s="56">
        <f t="shared" ca="1" si="53"/>
        <v>84.134638622633659</v>
      </c>
      <c r="P101" s="56">
        <f t="shared" ca="1" si="53"/>
        <v>83.566658798455052</v>
      </c>
      <c r="Q101" s="56">
        <f t="shared" ca="1" si="53"/>
        <v>82.975620494789254</v>
      </c>
      <c r="R101" s="57">
        <f t="shared" ca="1" si="53"/>
        <v>82.363004080333369</v>
      </c>
    </row>
    <row r="102" spans="3:18" ht="16" x14ac:dyDescent="0.2">
      <c r="C102" s="24" t="s">
        <v>44</v>
      </c>
      <c r="D102" s="55">
        <f ca="1">INDIRECT(ADDRESS($D92+6,D$1,4,TRUE,"Heavy Bus"))</f>
        <v>3.203949144786765</v>
      </c>
      <c r="E102" s="56">
        <f t="shared" ref="E102:R102" ca="1" si="54">INDIRECT(ADDRESS($D92+6,E$1,4,TRUE,"Heavy Bus"))</f>
        <v>3.5740403432055636</v>
      </c>
      <c r="F102" s="56">
        <f t="shared" ca="1" si="54"/>
        <v>3.8117059405101812</v>
      </c>
      <c r="G102" s="56">
        <f t="shared" ca="1" si="54"/>
        <v>3.4933687028547404</v>
      </c>
      <c r="H102" s="56">
        <f t="shared" ca="1" si="54"/>
        <v>3.5737925857278485</v>
      </c>
      <c r="I102" s="56">
        <f t="shared" ca="1" si="54"/>
        <v>3.2208145687528273</v>
      </c>
      <c r="J102" s="56">
        <f t="shared" ca="1" si="54"/>
        <v>3.5686832916507809</v>
      </c>
      <c r="K102" s="56">
        <f t="shared" ca="1" si="54"/>
        <v>3.9093063505339125</v>
      </c>
      <c r="L102" s="56">
        <f t="shared" ca="1" si="54"/>
        <v>4.4072731335466271</v>
      </c>
      <c r="M102" s="56">
        <f t="shared" ca="1" si="54"/>
        <v>4.8604332221586741</v>
      </c>
      <c r="N102" s="56">
        <f t="shared" ca="1" si="54"/>
        <v>5.4093768797219131</v>
      </c>
      <c r="O102" s="56">
        <f t="shared" ca="1" si="54"/>
        <v>6.0465654220762159</v>
      </c>
      <c r="P102" s="56">
        <f t="shared" ca="1" si="54"/>
        <v>6.8310668904483069</v>
      </c>
      <c r="Q102" s="56">
        <f t="shared" ca="1" si="54"/>
        <v>7.7351557214609734</v>
      </c>
      <c r="R102" s="57">
        <f t="shared" ca="1" si="54"/>
        <v>8.7796641143430172</v>
      </c>
    </row>
    <row r="103" spans="3:18" ht="17" thickBot="1" x14ac:dyDescent="0.25">
      <c r="C103" s="24" t="s">
        <v>42</v>
      </c>
      <c r="D103" s="55">
        <f ca="1">INDIRECT(ADDRESS($D92+6,D$1,4,TRUE,"Motorcycle"))</f>
        <v>12.428778271332048</v>
      </c>
      <c r="E103" s="56">
        <f t="shared" ref="E103:R103" ca="1" si="55">INDIRECT(ADDRESS($D92+6,E$1,4,TRUE,"Motorcycle"))</f>
        <v>12.528740840905686</v>
      </c>
      <c r="F103" s="56">
        <f t="shared" ca="1" si="55"/>
        <v>12.593895910580988</v>
      </c>
      <c r="G103" s="56">
        <f t="shared" ca="1" si="55"/>
        <v>13.49188249984538</v>
      </c>
      <c r="H103" s="56">
        <f t="shared" ca="1" si="55"/>
        <v>13.001290265147537</v>
      </c>
      <c r="I103" s="56">
        <f t="shared" ca="1" si="55"/>
        <v>12.612643343408967</v>
      </c>
      <c r="J103" s="56">
        <f t="shared" ca="1" si="55"/>
        <v>12.257460316141954</v>
      </c>
      <c r="K103" s="56">
        <f t="shared" ca="1" si="55"/>
        <v>12.658187808446284</v>
      </c>
      <c r="L103" s="56">
        <f t="shared" ca="1" si="55"/>
        <v>12.761824805658637</v>
      </c>
      <c r="M103" s="56">
        <f t="shared" ca="1" si="55"/>
        <v>12.741191423485068</v>
      </c>
      <c r="N103" s="56">
        <f t="shared" ca="1" si="55"/>
        <v>12.516267693632008</v>
      </c>
      <c r="O103" s="56">
        <f t="shared" ca="1" si="55"/>
        <v>12.247378043050162</v>
      </c>
      <c r="P103" s="56">
        <f t="shared" ca="1" si="55"/>
        <v>12.413387149700748</v>
      </c>
      <c r="Q103" s="56">
        <f t="shared" ca="1" si="55"/>
        <v>12.542079411093463</v>
      </c>
      <c r="R103" s="57">
        <f t="shared" ca="1" si="55"/>
        <v>12.645320145635434</v>
      </c>
    </row>
    <row r="104" spans="3:18" ht="19" thickTop="1" thickBot="1" x14ac:dyDescent="0.25">
      <c r="C104" s="31" t="s">
        <v>45</v>
      </c>
      <c r="D104" s="61">
        <f ca="1">SUM(D97:D103)</f>
        <v>1000.8616860747704</v>
      </c>
      <c r="E104" s="62">
        <f t="shared" ref="E104:R104" ca="1" si="56">SUM(E97:E103)</f>
        <v>1032.7877435347255</v>
      </c>
      <c r="F104" s="62">
        <f t="shared" ca="1" si="56"/>
        <v>1077.5298537593796</v>
      </c>
      <c r="G104" s="62">
        <f t="shared" ca="1" si="56"/>
        <v>1118.9852596601088</v>
      </c>
      <c r="H104" s="62">
        <f t="shared" ca="1" si="56"/>
        <v>1146.2723394287113</v>
      </c>
      <c r="I104" s="62">
        <f t="shared" ca="1" si="56"/>
        <v>1187.0501237385661</v>
      </c>
      <c r="J104" s="62">
        <f t="shared" ca="1" si="56"/>
        <v>1141.8882057941621</v>
      </c>
      <c r="K104" s="62">
        <f t="shared" ca="1" si="56"/>
        <v>1200.6548115992011</v>
      </c>
      <c r="L104" s="62">
        <f t="shared" ca="1" si="56"/>
        <v>1251.7995224784765</v>
      </c>
      <c r="M104" s="62">
        <f t="shared" ca="1" si="56"/>
        <v>1292.6507984471129</v>
      </c>
      <c r="N104" s="62">
        <f t="shared" ca="1" si="56"/>
        <v>1322.9363000826495</v>
      </c>
      <c r="O104" s="62">
        <f t="shared" ca="1" si="56"/>
        <v>1352.3759942184056</v>
      </c>
      <c r="P104" s="62">
        <f t="shared" ca="1" si="56"/>
        <v>1382.0164038714829</v>
      </c>
      <c r="Q104" s="62">
        <f t="shared" ca="1" si="56"/>
        <v>1407.4585510546065</v>
      </c>
      <c r="R104" s="63">
        <f t="shared" ca="1" si="56"/>
        <v>1428.6904527341433</v>
      </c>
    </row>
    <row r="105" spans="3:18" ht="14" thickTop="1" x14ac:dyDescent="0.15">
      <c r="M105"/>
      <c r="O105" s="121"/>
    </row>
    <row r="106" spans="3:18" ht="14" thickBot="1" x14ac:dyDescent="0.2">
      <c r="M106"/>
      <c r="O106" s="121"/>
    </row>
    <row r="107" spans="3:18" ht="18" thickTop="1" thickBot="1" x14ac:dyDescent="0.25">
      <c r="C107" s="180" t="str">
        <f ca="1">INDIRECT(ADDRESS(D107+6,3,4,TRUE,"Car+SUV"))</f>
        <v>Manawatu</v>
      </c>
      <c r="D107" s="182">
        <v>8</v>
      </c>
      <c r="E107" t="s">
        <v>170</v>
      </c>
      <c r="M107"/>
      <c r="O107" s="121"/>
    </row>
    <row r="108" spans="3:18" ht="15" thickTop="1" thickBot="1" x14ac:dyDescent="0.2">
      <c r="M108"/>
      <c r="O108" s="121"/>
    </row>
    <row r="109" spans="3:18" ht="17" thickTop="1" x14ac:dyDescent="0.2">
      <c r="C109" s="32" t="s">
        <v>47</v>
      </c>
      <c r="D109" s="33"/>
      <c r="E109" s="33"/>
      <c r="F109" s="33"/>
      <c r="G109" s="33"/>
      <c r="H109" s="33"/>
      <c r="I109" s="33"/>
      <c r="J109" s="33"/>
      <c r="K109" s="34"/>
      <c r="L109" s="34"/>
      <c r="M109" s="34"/>
      <c r="N109" s="34"/>
      <c r="O109" s="34"/>
      <c r="P109" s="34"/>
      <c r="Q109" s="34"/>
      <c r="R109" s="35"/>
    </row>
    <row r="110" spans="3:18" ht="14" thickBot="1" x14ac:dyDescent="0.2">
      <c r="C110" s="36"/>
      <c r="D110" s="37" t="s">
        <v>25</v>
      </c>
      <c r="E110" s="37" t="s">
        <v>37</v>
      </c>
      <c r="F110" s="37" t="s">
        <v>38</v>
      </c>
      <c r="G110" s="37" t="s">
        <v>177</v>
      </c>
      <c r="H110" s="37" t="s">
        <v>178</v>
      </c>
      <c r="I110" s="37" t="s">
        <v>26</v>
      </c>
      <c r="J110" s="37"/>
      <c r="K110" s="37" t="s">
        <v>27</v>
      </c>
      <c r="L110" s="37" t="s">
        <v>28</v>
      </c>
      <c r="M110" s="37" t="s">
        <v>29</v>
      </c>
      <c r="N110" s="37" t="s">
        <v>30</v>
      </c>
      <c r="O110" s="37" t="s">
        <v>31</v>
      </c>
      <c r="P110" s="37" t="s">
        <v>174</v>
      </c>
      <c r="Q110" s="37" t="s">
        <v>175</v>
      </c>
      <c r="R110" s="38" t="s">
        <v>176</v>
      </c>
    </row>
    <row r="111" spans="3:18" ht="15" thickTop="1" thickBot="1" x14ac:dyDescent="0.2">
      <c r="C111" s="70"/>
      <c r="D111" s="71" t="s">
        <v>39</v>
      </c>
      <c r="E111" s="65" t="s">
        <v>39</v>
      </c>
      <c r="F111" s="65" t="s">
        <v>39</v>
      </c>
      <c r="G111" s="65" t="s">
        <v>39</v>
      </c>
      <c r="H111" s="65" t="s">
        <v>39</v>
      </c>
      <c r="I111" s="65" t="s">
        <v>39</v>
      </c>
      <c r="J111" s="65"/>
      <c r="K111" s="65" t="s">
        <v>32</v>
      </c>
      <c r="L111" s="65" t="s">
        <v>32</v>
      </c>
      <c r="M111" s="65" t="s">
        <v>32</v>
      </c>
      <c r="N111" s="65" t="s">
        <v>32</v>
      </c>
      <c r="O111" s="65" t="s">
        <v>32</v>
      </c>
      <c r="P111" s="65" t="s">
        <v>32</v>
      </c>
      <c r="Q111" s="65" t="s">
        <v>32</v>
      </c>
      <c r="R111" s="66" t="s">
        <v>32</v>
      </c>
    </row>
    <row r="112" spans="3:18" ht="17" thickTop="1" x14ac:dyDescent="0.2">
      <c r="C112" s="24" t="s">
        <v>113</v>
      </c>
      <c r="D112" s="55">
        <f ca="1">INDIRECT(ADDRESS($D107+6,D$1,4,TRUE,"Car+SUV"))-D114</f>
        <v>1667.5463250831183</v>
      </c>
      <c r="E112" s="53">
        <f t="shared" ref="E112:R112" ca="1" si="57">INDIRECT(ADDRESS($D107+6,E$1,4,TRUE,"Car+SUV"))-E114</f>
        <v>1684.5542922436161</v>
      </c>
      <c r="F112" s="53">
        <f t="shared" ca="1" si="57"/>
        <v>1712.3490956408768</v>
      </c>
      <c r="G112" s="53">
        <f t="shared" ca="1" si="57"/>
        <v>1789.8549012214396</v>
      </c>
      <c r="H112" s="53">
        <f t="shared" ca="1" si="57"/>
        <v>1833.1209435178664</v>
      </c>
      <c r="I112" s="53">
        <f t="shared" ca="1" si="57"/>
        <v>1813.2806046587948</v>
      </c>
      <c r="J112" s="53">
        <f t="shared" ca="1" si="57"/>
        <v>1820.2991753512565</v>
      </c>
      <c r="K112" s="53">
        <f t="shared" ca="1" si="57"/>
        <v>1886.1547076110191</v>
      </c>
      <c r="L112" s="53">
        <f t="shared" ca="1" si="57"/>
        <v>1849.3598493847383</v>
      </c>
      <c r="M112" s="53">
        <f t="shared" ca="1" si="57"/>
        <v>1795.5986340249578</v>
      </c>
      <c r="N112" s="53">
        <f t="shared" ca="1" si="57"/>
        <v>1724.7831839793575</v>
      </c>
      <c r="O112" s="53">
        <f t="shared" ca="1" si="57"/>
        <v>1649.4748512992651</v>
      </c>
      <c r="P112" s="53">
        <f t="shared" ca="1" si="57"/>
        <v>1571.9147649345355</v>
      </c>
      <c r="Q112" s="53">
        <f t="shared" ca="1" si="57"/>
        <v>1490.1146006269073</v>
      </c>
      <c r="R112" s="54">
        <f t="shared" ca="1" si="57"/>
        <v>1405.1117059572935</v>
      </c>
    </row>
    <row r="113" spans="3:18" ht="16" x14ac:dyDescent="0.2">
      <c r="C113" s="24" t="s">
        <v>114</v>
      </c>
      <c r="D113" s="55">
        <f ca="1">INDIRECT(ADDRESS($D107+6,D$1,4,TRUE,"Van+Ute"))-D115</f>
        <v>422.47264033799627</v>
      </c>
      <c r="E113" s="56">
        <f t="shared" ref="E113:R113" ca="1" si="58">INDIRECT(ADDRESS($D107+6,E$1,4,TRUE,"Van+Ute"))-E115</f>
        <v>439.81304487013466</v>
      </c>
      <c r="F113" s="56">
        <f t="shared" ca="1" si="58"/>
        <v>461.7981970337629</v>
      </c>
      <c r="G113" s="56">
        <f t="shared" ca="1" si="58"/>
        <v>498.79709422390221</v>
      </c>
      <c r="H113" s="56">
        <f t="shared" ca="1" si="58"/>
        <v>521.86414254872511</v>
      </c>
      <c r="I113" s="56">
        <f t="shared" ca="1" si="58"/>
        <v>542.25422515238313</v>
      </c>
      <c r="J113" s="56">
        <f t="shared" ca="1" si="58"/>
        <v>572.36773433522262</v>
      </c>
      <c r="K113" s="56">
        <f t="shared" ca="1" si="58"/>
        <v>628.64370083913161</v>
      </c>
      <c r="L113" s="56">
        <f t="shared" ca="1" si="58"/>
        <v>644.61371013883422</v>
      </c>
      <c r="M113" s="56">
        <f t="shared" ca="1" si="58"/>
        <v>649.81543553988877</v>
      </c>
      <c r="N113" s="56">
        <f t="shared" ca="1" si="58"/>
        <v>649.47135978959295</v>
      </c>
      <c r="O113" s="56">
        <f t="shared" ca="1" si="58"/>
        <v>648.81734876195856</v>
      </c>
      <c r="P113" s="56">
        <f t="shared" ca="1" si="58"/>
        <v>647.64788428442921</v>
      </c>
      <c r="Q113" s="56">
        <f t="shared" ca="1" si="58"/>
        <v>643.74244577231184</v>
      </c>
      <c r="R113" s="57">
        <f t="shared" ca="1" si="58"/>
        <v>636.40896951225375</v>
      </c>
    </row>
    <row r="114" spans="3:18" ht="16" x14ac:dyDescent="0.2">
      <c r="C114" s="24" t="s">
        <v>115</v>
      </c>
      <c r="D114" s="55">
        <f ca="1">INDIRECT(ADDRESS($D107+130,D$1,4,TRUE,"Car+SUV"))</f>
        <v>5.7204030860473782</v>
      </c>
      <c r="E114" s="56">
        <f t="shared" ref="E114:R114" ca="1" si="59">INDIRECT(ADDRESS($D107+130,E$1,4,TRUE,"Car+SUV"))</f>
        <v>5.3954913312601098</v>
      </c>
      <c r="F114" s="56">
        <f t="shared" ca="1" si="59"/>
        <v>5.1963250401497838</v>
      </c>
      <c r="G114" s="56">
        <f t="shared" ca="1" si="59"/>
        <v>5.4761196976938251</v>
      </c>
      <c r="H114" s="56">
        <f t="shared" ca="1" si="59"/>
        <v>6.3621550769599597</v>
      </c>
      <c r="I114" s="56">
        <f t="shared" ca="1" si="59"/>
        <v>6.9408726773440916</v>
      </c>
      <c r="J114" s="56">
        <f t="shared" ca="1" si="59"/>
        <v>7.2003101612196785</v>
      </c>
      <c r="K114" s="56">
        <f t="shared" ca="1" si="59"/>
        <v>8.1149997346207794</v>
      </c>
      <c r="L114" s="56">
        <f t="shared" ca="1" si="59"/>
        <v>90.89143760819951</v>
      </c>
      <c r="M114" s="56">
        <f t="shared" ca="1" si="59"/>
        <v>174.94368761876603</v>
      </c>
      <c r="N114" s="56">
        <f t="shared" ca="1" si="59"/>
        <v>258.02554315573616</v>
      </c>
      <c r="O114" s="56">
        <f t="shared" ca="1" si="59"/>
        <v>339.71741554798524</v>
      </c>
      <c r="P114" s="56">
        <f t="shared" ca="1" si="59"/>
        <v>419.45782257570352</v>
      </c>
      <c r="Q114" s="56">
        <f t="shared" ca="1" si="59"/>
        <v>496.55968107289982</v>
      </c>
      <c r="R114" s="57">
        <f t="shared" ca="1" si="59"/>
        <v>570.91998789805268</v>
      </c>
    </row>
    <row r="115" spans="3:18" ht="16" x14ac:dyDescent="0.2">
      <c r="C115" s="24" t="s">
        <v>116</v>
      </c>
      <c r="D115" s="55">
        <f ca="1">INDIRECT(ADDRESS($D107+130,D$1,4,TRUE,"Van+Ute"))</f>
        <v>2.7309031965776076</v>
      </c>
      <c r="E115" s="56">
        <f t="shared" ref="E115:R115" ca="1" si="60">INDIRECT(ADDRESS($D107+130,E$1,4,TRUE,"Van+Ute"))</f>
        <v>2.9807477499217496</v>
      </c>
      <c r="F115" s="56">
        <f t="shared" ca="1" si="60"/>
        <v>2.7141562219919431</v>
      </c>
      <c r="G115" s="56">
        <f t="shared" ca="1" si="60"/>
        <v>2.7545407050458715</v>
      </c>
      <c r="H115" s="56">
        <f t="shared" ca="1" si="60"/>
        <v>3.612925313599197</v>
      </c>
      <c r="I115" s="56">
        <f t="shared" ca="1" si="60"/>
        <v>3.1441746339782757</v>
      </c>
      <c r="J115" s="56">
        <f t="shared" ca="1" si="60"/>
        <v>3.2608528613776393</v>
      </c>
      <c r="K115" s="56">
        <f t="shared" ca="1" si="60"/>
        <v>3.6750944767960547</v>
      </c>
      <c r="L115" s="56">
        <f t="shared" ca="1" si="60"/>
        <v>21.935443255884216</v>
      </c>
      <c r="M115" s="56">
        <f t="shared" ca="1" si="60"/>
        <v>40.446344657375029</v>
      </c>
      <c r="N115" s="56">
        <f t="shared" ca="1" si="60"/>
        <v>58.743935218929799</v>
      </c>
      <c r="O115" s="56">
        <f t="shared" ca="1" si="60"/>
        <v>76.760300997421439</v>
      </c>
      <c r="P115" s="56">
        <f t="shared" ca="1" si="60"/>
        <v>94.32237551075869</v>
      </c>
      <c r="Q115" s="56">
        <f t="shared" ca="1" si="60"/>
        <v>111.33349728766102</v>
      </c>
      <c r="R115" s="57">
        <f t="shared" ca="1" si="60"/>
        <v>127.77572981181302</v>
      </c>
    </row>
    <row r="116" spans="3:18" ht="16" x14ac:dyDescent="0.2">
      <c r="C116" s="24" t="s">
        <v>43</v>
      </c>
      <c r="D116" s="55">
        <f ca="1">INDIRECT(ADDRESS($D107+6,D$1,4,TRUE,"Heavy Truck"))</f>
        <v>189.52653351064563</v>
      </c>
      <c r="E116" s="56">
        <f t="shared" ref="E116:R116" ca="1" si="61">INDIRECT(ADDRESS($D107+6,E$1,4,TRUE,"Heavy Truck"))</f>
        <v>192.89161165616255</v>
      </c>
      <c r="F116" s="56">
        <f t="shared" ca="1" si="61"/>
        <v>199.05709684352797</v>
      </c>
      <c r="G116" s="56">
        <f t="shared" ca="1" si="61"/>
        <v>208.5474490765514</v>
      </c>
      <c r="H116" s="56">
        <f t="shared" ca="1" si="61"/>
        <v>210.09530635285617</v>
      </c>
      <c r="I116" s="56">
        <f t="shared" ca="1" si="61"/>
        <v>211.19843611896437</v>
      </c>
      <c r="J116" s="56">
        <f t="shared" ca="1" si="61"/>
        <v>226.15471584095553</v>
      </c>
      <c r="K116" s="56">
        <f t="shared" ca="1" si="61"/>
        <v>228.03988476671029</v>
      </c>
      <c r="L116" s="56">
        <f t="shared" ca="1" si="61"/>
        <v>232.16093945291641</v>
      </c>
      <c r="M116" s="56">
        <f t="shared" ca="1" si="61"/>
        <v>235.94066659294501</v>
      </c>
      <c r="N116" s="56">
        <f t="shared" ca="1" si="61"/>
        <v>235.2297113880725</v>
      </c>
      <c r="O116" s="56">
        <f t="shared" ca="1" si="61"/>
        <v>234.41065433953986</v>
      </c>
      <c r="P116" s="56">
        <f t="shared" ca="1" si="61"/>
        <v>235.8887055947568</v>
      </c>
      <c r="Q116" s="56">
        <f t="shared" ca="1" si="61"/>
        <v>237.15175558569393</v>
      </c>
      <c r="R116" s="57">
        <f t="shared" ca="1" si="61"/>
        <v>238.20949839546378</v>
      </c>
    </row>
    <row r="117" spans="3:18" ht="16" x14ac:dyDescent="0.2">
      <c r="C117" s="24" t="s">
        <v>44</v>
      </c>
      <c r="D117" s="55">
        <f ca="1">INDIRECT(ADDRESS($D107+6,D$1,4,TRUE,"Heavy Bus"))</f>
        <v>8.1031372449564749</v>
      </c>
      <c r="E117" s="56">
        <f t="shared" ref="E117:R117" ca="1" si="62">INDIRECT(ADDRESS($D107+6,E$1,4,TRUE,"Heavy Bus"))</f>
        <v>8.680327588734146</v>
      </c>
      <c r="F117" s="56">
        <f t="shared" ca="1" si="62"/>
        <v>8.8252999028763366</v>
      </c>
      <c r="G117" s="56">
        <f t="shared" ca="1" si="62"/>
        <v>9.2252425092049108</v>
      </c>
      <c r="H117" s="56">
        <f t="shared" ca="1" si="62"/>
        <v>9.6975881647231397</v>
      </c>
      <c r="I117" s="56">
        <f t="shared" ca="1" si="62"/>
        <v>9.8630643106969487</v>
      </c>
      <c r="J117" s="56">
        <f t="shared" ca="1" si="62"/>
        <v>10.57902813497406</v>
      </c>
      <c r="K117" s="56">
        <f t="shared" ca="1" si="62"/>
        <v>11.293752297018917</v>
      </c>
      <c r="L117" s="56">
        <f t="shared" ca="1" si="62"/>
        <v>12.37654965501709</v>
      </c>
      <c r="M117" s="56">
        <f t="shared" ca="1" si="62"/>
        <v>13.328540977441634</v>
      </c>
      <c r="N117" s="56">
        <f t="shared" ca="1" si="62"/>
        <v>14.531044316973494</v>
      </c>
      <c r="O117" s="56">
        <f t="shared" ca="1" si="62"/>
        <v>15.936842268681708</v>
      </c>
      <c r="P117" s="56">
        <f t="shared" ca="1" si="62"/>
        <v>17.749019853488807</v>
      </c>
      <c r="Q117" s="56">
        <f t="shared" ca="1" si="62"/>
        <v>19.84060868886802</v>
      </c>
      <c r="R117" s="57">
        <f t="shared" ca="1" si="62"/>
        <v>22.263091385621873</v>
      </c>
    </row>
    <row r="118" spans="3:18" ht="17" thickBot="1" x14ac:dyDescent="0.25">
      <c r="C118" s="24" t="s">
        <v>42</v>
      </c>
      <c r="D118" s="55">
        <f ca="1">INDIRECT(ADDRESS($D107+6,D$1,4,TRUE,"Motorcycle"))</f>
        <v>25.885007357844472</v>
      </c>
      <c r="E118" s="56">
        <f t="shared" ref="E118:R118" ca="1" si="63">INDIRECT(ADDRESS($D107+6,E$1,4,TRUE,"Motorcycle"))</f>
        <v>26.871294941996638</v>
      </c>
      <c r="F118" s="56">
        <f t="shared" ca="1" si="63"/>
        <v>26.744921835507391</v>
      </c>
      <c r="G118" s="56">
        <f t="shared" ca="1" si="63"/>
        <v>29.131111746868683</v>
      </c>
      <c r="H118" s="56">
        <f t="shared" ca="1" si="63"/>
        <v>27.613416852924839</v>
      </c>
      <c r="I118" s="56">
        <f t="shared" ca="1" si="63"/>
        <v>26.981833462786341</v>
      </c>
      <c r="J118" s="56">
        <f t="shared" ca="1" si="63"/>
        <v>27.755182864446166</v>
      </c>
      <c r="K118" s="56">
        <f t="shared" ca="1" si="63"/>
        <v>28.407708733419511</v>
      </c>
      <c r="L118" s="56">
        <f t="shared" ca="1" si="63"/>
        <v>28.287108955794693</v>
      </c>
      <c r="M118" s="56">
        <f t="shared" ca="1" si="63"/>
        <v>27.889992075177869</v>
      </c>
      <c r="N118" s="56">
        <f t="shared" ca="1" si="63"/>
        <v>27.027119271628372</v>
      </c>
      <c r="O118" s="56">
        <f t="shared" ca="1" si="63"/>
        <v>26.057354857541096</v>
      </c>
      <c r="P118" s="56">
        <f t="shared" ca="1" si="63"/>
        <v>26.021947301144415</v>
      </c>
      <c r="Q118" s="56">
        <f t="shared" ca="1" si="63"/>
        <v>25.904864655113265</v>
      </c>
      <c r="R118" s="57">
        <f t="shared" ca="1" si="63"/>
        <v>25.733798682145942</v>
      </c>
    </row>
    <row r="119" spans="3:18" ht="19" thickTop="1" thickBot="1" x14ac:dyDescent="0.25">
      <c r="C119" s="31" t="s">
        <v>45</v>
      </c>
      <c r="D119" s="61">
        <f ca="1">SUM(D112:D118)</f>
        <v>2321.9849498171861</v>
      </c>
      <c r="E119" s="62">
        <f t="shared" ref="E119:R119" ca="1" si="64">SUM(E112:E118)</f>
        <v>2361.1868103818256</v>
      </c>
      <c r="F119" s="62">
        <f t="shared" ca="1" si="64"/>
        <v>2416.6850925186932</v>
      </c>
      <c r="G119" s="62">
        <f t="shared" ca="1" si="64"/>
        <v>2543.7864591807061</v>
      </c>
      <c r="H119" s="62">
        <f t="shared" ca="1" si="64"/>
        <v>2612.3664778276548</v>
      </c>
      <c r="I119" s="62">
        <f t="shared" ca="1" si="64"/>
        <v>2613.663211014948</v>
      </c>
      <c r="J119" s="62">
        <f t="shared" ca="1" si="64"/>
        <v>2667.616999549452</v>
      </c>
      <c r="K119" s="62">
        <f t="shared" ca="1" si="64"/>
        <v>2794.3298484587158</v>
      </c>
      <c r="L119" s="62">
        <f t="shared" ca="1" si="64"/>
        <v>2879.6250384513846</v>
      </c>
      <c r="M119" s="62">
        <f t="shared" ca="1" si="64"/>
        <v>2937.9633014865522</v>
      </c>
      <c r="N119" s="62">
        <f t="shared" ca="1" si="64"/>
        <v>2967.8118971202907</v>
      </c>
      <c r="O119" s="62">
        <f t="shared" ca="1" si="64"/>
        <v>2991.1747680723925</v>
      </c>
      <c r="P119" s="62">
        <f t="shared" ca="1" si="64"/>
        <v>3013.0025200548171</v>
      </c>
      <c r="Q119" s="62">
        <f t="shared" ca="1" si="64"/>
        <v>3024.6474536894552</v>
      </c>
      <c r="R119" s="63">
        <f t="shared" ca="1" si="64"/>
        <v>3026.4227816426446</v>
      </c>
    </row>
    <row r="120" spans="3:18" ht="14" thickTop="1" x14ac:dyDescent="0.15">
      <c r="M120"/>
      <c r="O120" s="121"/>
    </row>
    <row r="121" spans="3:18" ht="14" thickBot="1" x14ac:dyDescent="0.2">
      <c r="M121"/>
      <c r="O121" s="121"/>
    </row>
    <row r="122" spans="3:18" ht="18" thickTop="1" thickBot="1" x14ac:dyDescent="0.25">
      <c r="C122" s="180" t="str">
        <f ca="1">INDIRECT(ADDRESS(D122+6,3,4,TRUE,"Car+SUV"))</f>
        <v>Wellington</v>
      </c>
      <c r="D122" s="182">
        <v>9</v>
      </c>
      <c r="E122" t="s">
        <v>170</v>
      </c>
      <c r="M122"/>
      <c r="O122" s="121"/>
    </row>
    <row r="123" spans="3:18" ht="15" thickTop="1" thickBot="1" x14ac:dyDescent="0.2">
      <c r="M123"/>
      <c r="O123" s="121"/>
    </row>
    <row r="124" spans="3:18" ht="17" thickTop="1" x14ac:dyDescent="0.2">
      <c r="C124" s="32" t="s">
        <v>47</v>
      </c>
      <c r="D124" s="33"/>
      <c r="E124" s="33"/>
      <c r="F124" s="33"/>
      <c r="G124" s="33"/>
      <c r="H124" s="33"/>
      <c r="I124" s="33"/>
      <c r="J124" s="33"/>
      <c r="K124" s="34"/>
      <c r="L124" s="34"/>
      <c r="M124" s="34"/>
      <c r="N124" s="34"/>
      <c r="O124" s="34"/>
      <c r="P124" s="34"/>
      <c r="Q124" s="34"/>
      <c r="R124" s="35"/>
    </row>
    <row r="125" spans="3:18" ht="14" thickBot="1" x14ac:dyDescent="0.2">
      <c r="C125" s="36"/>
      <c r="D125" s="37" t="s">
        <v>25</v>
      </c>
      <c r="E125" s="37" t="s">
        <v>37</v>
      </c>
      <c r="F125" s="37" t="s">
        <v>38</v>
      </c>
      <c r="G125" s="37" t="s">
        <v>177</v>
      </c>
      <c r="H125" s="37" t="s">
        <v>178</v>
      </c>
      <c r="I125" s="37" t="s">
        <v>26</v>
      </c>
      <c r="J125" s="37"/>
      <c r="K125" s="37" t="s">
        <v>27</v>
      </c>
      <c r="L125" s="37" t="s">
        <v>28</v>
      </c>
      <c r="M125" s="37" t="s">
        <v>29</v>
      </c>
      <c r="N125" s="37" t="s">
        <v>30</v>
      </c>
      <c r="O125" s="37" t="s">
        <v>31</v>
      </c>
      <c r="P125" s="37" t="s">
        <v>174</v>
      </c>
      <c r="Q125" s="37" t="s">
        <v>175</v>
      </c>
      <c r="R125" s="38" t="s">
        <v>176</v>
      </c>
    </row>
    <row r="126" spans="3:18" ht="15" thickTop="1" thickBot="1" x14ac:dyDescent="0.2">
      <c r="C126" s="70"/>
      <c r="D126" s="71" t="s">
        <v>39</v>
      </c>
      <c r="E126" s="65" t="s">
        <v>39</v>
      </c>
      <c r="F126" s="65" t="s">
        <v>39</v>
      </c>
      <c r="G126" s="65" t="s">
        <v>39</v>
      </c>
      <c r="H126" s="65" t="s">
        <v>39</v>
      </c>
      <c r="I126" s="65" t="s">
        <v>39</v>
      </c>
      <c r="J126" s="65"/>
      <c r="K126" s="65" t="s">
        <v>32</v>
      </c>
      <c r="L126" s="65" t="s">
        <v>32</v>
      </c>
      <c r="M126" s="65" t="s">
        <v>32</v>
      </c>
      <c r="N126" s="65" t="s">
        <v>32</v>
      </c>
      <c r="O126" s="65" t="s">
        <v>32</v>
      </c>
      <c r="P126" s="65" t="s">
        <v>32</v>
      </c>
      <c r="Q126" s="65" t="s">
        <v>32</v>
      </c>
      <c r="R126" s="66" t="s">
        <v>32</v>
      </c>
    </row>
    <row r="127" spans="3:18" ht="17" thickTop="1" x14ac:dyDescent="0.2">
      <c r="C127" s="24" t="s">
        <v>113</v>
      </c>
      <c r="D127" s="55">
        <f ca="1">INDIRECT(ADDRESS($D122+6,D$1,4,TRUE,"Car+SUV"))-D129</f>
        <v>2714.4180307000956</v>
      </c>
      <c r="E127" s="53">
        <f t="shared" ref="E127:R127" ca="1" si="65">INDIRECT(ADDRESS($D122+6,E$1,4,TRUE,"Car+SUV"))-E129</f>
        <v>2760.8021569614457</v>
      </c>
      <c r="F127" s="53">
        <f t="shared" ca="1" si="65"/>
        <v>2956.2935522362964</v>
      </c>
      <c r="G127" s="53">
        <f t="shared" ca="1" si="65"/>
        <v>2883.0864245313724</v>
      </c>
      <c r="H127" s="53">
        <f t="shared" ca="1" si="65"/>
        <v>2863.8012708961887</v>
      </c>
      <c r="I127" s="53">
        <f t="shared" ca="1" si="65"/>
        <v>2964.7916913536124</v>
      </c>
      <c r="J127" s="53">
        <f t="shared" ca="1" si="65"/>
        <v>2935.8420113789534</v>
      </c>
      <c r="K127" s="53">
        <f t="shared" ca="1" si="65"/>
        <v>3089.596803354942</v>
      </c>
      <c r="L127" s="53">
        <f t="shared" ca="1" si="65"/>
        <v>3072.9991837515354</v>
      </c>
      <c r="M127" s="53">
        <f t="shared" ca="1" si="65"/>
        <v>3031.047712710375</v>
      </c>
      <c r="N127" s="53">
        <f t="shared" ca="1" si="65"/>
        <v>2959.4987278759868</v>
      </c>
      <c r="O127" s="53">
        <f t="shared" ca="1" si="65"/>
        <v>2877.3221992653644</v>
      </c>
      <c r="P127" s="53">
        <f t="shared" ca="1" si="65"/>
        <v>2788.6404348999831</v>
      </c>
      <c r="Q127" s="53">
        <f t="shared" ca="1" si="65"/>
        <v>2688.8261898386472</v>
      </c>
      <c r="R127" s="54">
        <f t="shared" ca="1" si="65"/>
        <v>2579.1388798324542</v>
      </c>
    </row>
    <row r="128" spans="3:18" ht="16" x14ac:dyDescent="0.2">
      <c r="C128" s="24" t="s">
        <v>114</v>
      </c>
      <c r="D128" s="55">
        <f ca="1">INDIRECT(ADDRESS($D122+6,D$1,4,TRUE,"Van+Ute"))-D130</f>
        <v>425.97627380850605</v>
      </c>
      <c r="E128" s="56">
        <f t="shared" ref="E128:R128" ca="1" si="66">INDIRECT(ADDRESS($D122+6,E$1,4,TRUE,"Van+Ute"))-E130</f>
        <v>448.19995647975998</v>
      </c>
      <c r="F128" s="56">
        <f t="shared" ca="1" si="66"/>
        <v>494.09690572769551</v>
      </c>
      <c r="G128" s="56">
        <f t="shared" ca="1" si="66"/>
        <v>495.3209966347402</v>
      </c>
      <c r="H128" s="56">
        <f t="shared" ca="1" si="66"/>
        <v>508.95199551590406</v>
      </c>
      <c r="I128" s="56">
        <f t="shared" ca="1" si="66"/>
        <v>563.15602146590686</v>
      </c>
      <c r="J128" s="56">
        <f t="shared" ca="1" si="66"/>
        <v>600.98761185537569</v>
      </c>
      <c r="K128" s="56">
        <f t="shared" ca="1" si="66"/>
        <v>689.31741353925588</v>
      </c>
      <c r="L128" s="56">
        <f t="shared" ca="1" si="66"/>
        <v>727.29594307901061</v>
      </c>
      <c r="M128" s="56">
        <f t="shared" ca="1" si="66"/>
        <v>753.03501158563267</v>
      </c>
      <c r="N128" s="56">
        <f t="shared" ca="1" si="66"/>
        <v>773.40319832503542</v>
      </c>
      <c r="O128" s="56">
        <f t="shared" ca="1" si="66"/>
        <v>794.25660063993985</v>
      </c>
      <c r="P128" s="56">
        <f t="shared" ca="1" si="66"/>
        <v>815.11633598680578</v>
      </c>
      <c r="Q128" s="56">
        <f t="shared" ca="1" si="66"/>
        <v>832.58647095824688</v>
      </c>
      <c r="R128" s="57">
        <f t="shared" ca="1" si="66"/>
        <v>845.21657218799146</v>
      </c>
    </row>
    <row r="129" spans="3:18" ht="16" x14ac:dyDescent="0.2">
      <c r="C129" s="24" t="s">
        <v>115</v>
      </c>
      <c r="D129" s="55">
        <f ca="1">INDIRECT(ADDRESS($D122+130,D$1,4,TRUE,"Car+SUV"))</f>
        <v>46.73105519553264</v>
      </c>
      <c r="E129" s="56">
        <f t="shared" ref="E129:R129" ca="1" si="67">INDIRECT(ADDRESS($D122+130,E$1,4,TRUE,"Car+SUV"))</f>
        <v>47.695912235624945</v>
      </c>
      <c r="F129" s="56">
        <f t="shared" ca="1" si="67"/>
        <v>50.031835643936702</v>
      </c>
      <c r="G129" s="56">
        <f t="shared" ca="1" si="67"/>
        <v>50.754784031948986</v>
      </c>
      <c r="H129" s="56">
        <f t="shared" ca="1" si="67"/>
        <v>51.424565979716277</v>
      </c>
      <c r="I129" s="56">
        <f t="shared" ca="1" si="67"/>
        <v>73.892471139707851</v>
      </c>
      <c r="J129" s="56">
        <f t="shared" ca="1" si="67"/>
        <v>83.66681070203559</v>
      </c>
      <c r="K129" s="56">
        <f t="shared" ca="1" si="67"/>
        <v>95.493206822429201</v>
      </c>
      <c r="L129" s="56">
        <f t="shared" ca="1" si="67"/>
        <v>243.72955182273091</v>
      </c>
      <c r="M129" s="56">
        <f t="shared" ca="1" si="67"/>
        <v>396.73202800711829</v>
      </c>
      <c r="N129" s="56">
        <f t="shared" ca="1" si="67"/>
        <v>551.95747914319099</v>
      </c>
      <c r="O129" s="56">
        <f t="shared" ca="1" si="67"/>
        <v>709.47399081246124</v>
      </c>
      <c r="P129" s="56">
        <f t="shared" ca="1" si="67"/>
        <v>865.88791666631346</v>
      </c>
      <c r="Q129" s="56">
        <f t="shared" ca="1" si="67"/>
        <v>1022.1777464794681</v>
      </c>
      <c r="R129" s="57">
        <f t="shared" ca="1" si="67"/>
        <v>1178.1373249915205</v>
      </c>
    </row>
    <row r="130" spans="3:18" ht="16" x14ac:dyDescent="0.2">
      <c r="C130" s="24" t="s">
        <v>116</v>
      </c>
      <c r="D130" s="55">
        <f ca="1">INDIRECT(ADDRESS($D122+130,D$1,4,TRUE,"Van+Ute"))</f>
        <v>5.4098485066248028</v>
      </c>
      <c r="E130" s="56">
        <f t="shared" ref="E130:R130" ca="1" si="68">INDIRECT(ADDRESS($D122+130,E$1,4,TRUE,"Van+Ute"))</f>
        <v>5.4074270602940286</v>
      </c>
      <c r="F130" s="56">
        <f t="shared" ca="1" si="68"/>
        <v>5.6698621525705484</v>
      </c>
      <c r="G130" s="56">
        <f t="shared" ca="1" si="68"/>
        <v>4.6810265844742505</v>
      </c>
      <c r="H130" s="56">
        <f t="shared" ca="1" si="68"/>
        <v>5.3128824433484922</v>
      </c>
      <c r="I130" s="56">
        <f t="shared" ca="1" si="68"/>
        <v>5.8840942291690723</v>
      </c>
      <c r="J130" s="56">
        <f t="shared" ca="1" si="68"/>
        <v>6.221388644895768</v>
      </c>
      <c r="K130" s="56">
        <f t="shared" ca="1" si="68"/>
        <v>7.1007888026893538</v>
      </c>
      <c r="L130" s="56">
        <f t="shared" ca="1" si="68"/>
        <v>24.264715191524367</v>
      </c>
      <c r="M130" s="56">
        <f t="shared" ca="1" si="68"/>
        <v>42.051297009173268</v>
      </c>
      <c r="N130" s="56">
        <f t="shared" ca="1" si="68"/>
        <v>60.103190099488749</v>
      </c>
      <c r="O130" s="56">
        <f t="shared" ca="1" si="68"/>
        <v>78.374796219327195</v>
      </c>
      <c r="P130" s="56">
        <f t="shared" ca="1" si="68"/>
        <v>96.588210384733259</v>
      </c>
      <c r="Q130" s="56">
        <f t="shared" ca="1" si="68"/>
        <v>114.73223809782122</v>
      </c>
      <c r="R130" s="57">
        <f t="shared" ca="1" si="68"/>
        <v>132.77262251445734</v>
      </c>
    </row>
    <row r="131" spans="3:18" ht="16" x14ac:dyDescent="0.2">
      <c r="C131" s="24" t="s">
        <v>43</v>
      </c>
      <c r="D131" s="55">
        <f ca="1">INDIRECT(ADDRESS($D122+6,D$1,4,TRUE,"Heavy Truck"))</f>
        <v>129.41036193266035</v>
      </c>
      <c r="E131" s="56">
        <f t="shared" ref="E131:R131" ca="1" si="69">INDIRECT(ADDRESS($D122+6,E$1,4,TRUE,"Heavy Truck"))</f>
        <v>133.77417405686103</v>
      </c>
      <c r="F131" s="56">
        <f t="shared" ca="1" si="69"/>
        <v>146.71155515151918</v>
      </c>
      <c r="G131" s="56">
        <f t="shared" ca="1" si="69"/>
        <v>144.43275007217164</v>
      </c>
      <c r="H131" s="56">
        <f t="shared" ca="1" si="69"/>
        <v>145.99577978492675</v>
      </c>
      <c r="I131" s="56">
        <f t="shared" ca="1" si="69"/>
        <v>150.61210925022857</v>
      </c>
      <c r="J131" s="56">
        <f t="shared" ca="1" si="69"/>
        <v>150.77207510197138</v>
      </c>
      <c r="K131" s="56">
        <f t="shared" ca="1" si="69"/>
        <v>152.57176829126954</v>
      </c>
      <c r="L131" s="56">
        <f t="shared" ca="1" si="69"/>
        <v>155.87231360433938</v>
      </c>
      <c r="M131" s="56">
        <f t="shared" ca="1" si="69"/>
        <v>158.91772782575694</v>
      </c>
      <c r="N131" s="56">
        <f t="shared" ca="1" si="69"/>
        <v>158.67166377095577</v>
      </c>
      <c r="O131" s="56">
        <f t="shared" ca="1" si="69"/>
        <v>158.3413203768516</v>
      </c>
      <c r="P131" s="56">
        <f t="shared" ca="1" si="69"/>
        <v>160.95264508034444</v>
      </c>
      <c r="Q131" s="56">
        <f t="shared" ca="1" si="69"/>
        <v>163.3392889448775</v>
      </c>
      <c r="R131" s="57">
        <f t="shared" ca="1" si="69"/>
        <v>165.51073540829222</v>
      </c>
    </row>
    <row r="132" spans="3:18" ht="16" x14ac:dyDescent="0.2">
      <c r="C132" s="24" t="s">
        <v>44</v>
      </c>
      <c r="D132" s="55">
        <f ca="1">INDIRECT(ADDRESS($D122+6,D$1,4,TRUE,"Heavy Bus"))</f>
        <v>21.491110847137517</v>
      </c>
      <c r="E132" s="56">
        <f t="shared" ref="E132:R132" ca="1" si="70">INDIRECT(ADDRESS($D122+6,E$1,4,TRUE,"Heavy Bus"))</f>
        <v>20.660378629673406</v>
      </c>
      <c r="F132" s="56">
        <f t="shared" ca="1" si="70"/>
        <v>22.689049401236158</v>
      </c>
      <c r="G132" s="56">
        <f t="shared" ca="1" si="70"/>
        <v>20.645371917390143</v>
      </c>
      <c r="H132" s="56">
        <f t="shared" ca="1" si="70"/>
        <v>20.026365851035507</v>
      </c>
      <c r="I132" s="56">
        <f t="shared" ca="1" si="70"/>
        <v>21.630721222586416</v>
      </c>
      <c r="J132" s="56">
        <f t="shared" ca="1" si="70"/>
        <v>26.077763119921546</v>
      </c>
      <c r="K132" s="56">
        <f t="shared" ca="1" si="70"/>
        <v>29.066528485234688</v>
      </c>
      <c r="L132" s="56">
        <f t="shared" ca="1" si="70"/>
        <v>32.323568027533383</v>
      </c>
      <c r="M132" s="56">
        <f t="shared" ca="1" si="70"/>
        <v>34.50293387641932</v>
      </c>
      <c r="N132" s="56">
        <f t="shared" ca="1" si="70"/>
        <v>36.930908130887346</v>
      </c>
      <c r="O132" s="56">
        <f t="shared" ca="1" si="70"/>
        <v>39.647087664599781</v>
      </c>
      <c r="P132" s="56">
        <f t="shared" ca="1" si="70"/>
        <v>42.699243174221991</v>
      </c>
      <c r="Q132" s="56">
        <f t="shared" ca="1" si="70"/>
        <v>46.1525610480033</v>
      </c>
      <c r="R132" s="57">
        <f t="shared" ca="1" si="70"/>
        <v>50.070981495025073</v>
      </c>
    </row>
    <row r="133" spans="3:18" ht="17" thickBot="1" x14ac:dyDescent="0.25">
      <c r="C133" s="24" t="s">
        <v>42</v>
      </c>
      <c r="D133" s="55">
        <f ca="1">INDIRECT(ADDRESS($D122+6,D$1,4,TRUE,"Motorcycle"))</f>
        <v>43.463206269811508</v>
      </c>
      <c r="E133" s="56">
        <f t="shared" ref="E133:R133" ca="1" si="71">INDIRECT(ADDRESS($D122+6,E$1,4,TRUE,"Motorcycle"))</f>
        <v>44.104188811135614</v>
      </c>
      <c r="F133" s="56">
        <f t="shared" ca="1" si="71"/>
        <v>46.803830474764027</v>
      </c>
      <c r="G133" s="56">
        <f t="shared" ca="1" si="71"/>
        <v>46.039760747989206</v>
      </c>
      <c r="H133" s="56">
        <f t="shared" ca="1" si="71"/>
        <v>44.380055634303879</v>
      </c>
      <c r="I133" s="56">
        <f t="shared" ca="1" si="71"/>
        <v>47.220423847016008</v>
      </c>
      <c r="J133" s="56">
        <f t="shared" ca="1" si="71"/>
        <v>46.696022946045218</v>
      </c>
      <c r="K133" s="56">
        <f t="shared" ca="1" si="71"/>
        <v>48.409630858470273</v>
      </c>
      <c r="L133" s="56">
        <f t="shared" ca="1" si="71"/>
        <v>48.864950247991871</v>
      </c>
      <c r="M133" s="56">
        <f t="shared" ca="1" si="71"/>
        <v>48.890318189034211</v>
      </c>
      <c r="N133" s="56">
        <f t="shared" ca="1" si="71"/>
        <v>48.094032009400905</v>
      </c>
      <c r="O133" s="56">
        <f t="shared" ca="1" si="71"/>
        <v>47.062643331763084</v>
      </c>
      <c r="P133" s="56">
        <f t="shared" ca="1" si="71"/>
        <v>47.702412193113105</v>
      </c>
      <c r="Q133" s="56">
        <f t="shared" ca="1" si="71"/>
        <v>48.198823140254682</v>
      </c>
      <c r="R133" s="57">
        <f t="shared" ca="1" si="71"/>
        <v>48.59745930648571</v>
      </c>
    </row>
    <row r="134" spans="3:18" ht="19" thickTop="1" thickBot="1" x14ac:dyDescent="0.25">
      <c r="C134" s="31" t="s">
        <v>45</v>
      </c>
      <c r="D134" s="61">
        <f ca="1">SUM(D127:D133)</f>
        <v>3386.8998872603679</v>
      </c>
      <c r="E134" s="62">
        <f t="shared" ref="E134:R134" ca="1" si="72">SUM(E127:E133)</f>
        <v>3460.6441942347942</v>
      </c>
      <c r="F134" s="62">
        <f t="shared" ca="1" si="72"/>
        <v>3722.2965907880189</v>
      </c>
      <c r="G134" s="62">
        <f t="shared" ca="1" si="72"/>
        <v>3644.9611145200865</v>
      </c>
      <c r="H134" s="62">
        <f t="shared" ca="1" si="72"/>
        <v>3639.8929161054239</v>
      </c>
      <c r="I134" s="62">
        <f t="shared" ca="1" si="72"/>
        <v>3827.1875325082274</v>
      </c>
      <c r="J134" s="62">
        <f t="shared" ca="1" si="72"/>
        <v>3850.2636837491987</v>
      </c>
      <c r="K134" s="62">
        <f t="shared" ca="1" si="72"/>
        <v>4111.5561401542909</v>
      </c>
      <c r="L134" s="62">
        <f t="shared" ca="1" si="72"/>
        <v>4305.3502257246664</v>
      </c>
      <c r="M134" s="62">
        <f t="shared" ca="1" si="72"/>
        <v>4465.1770292035089</v>
      </c>
      <c r="N134" s="62">
        <f t="shared" ca="1" si="72"/>
        <v>4588.6591993549464</v>
      </c>
      <c r="O134" s="62">
        <f t="shared" ca="1" si="72"/>
        <v>4704.4786383103074</v>
      </c>
      <c r="P134" s="62">
        <f t="shared" ca="1" si="72"/>
        <v>4817.5871983855159</v>
      </c>
      <c r="Q134" s="62">
        <f t="shared" ca="1" si="72"/>
        <v>4916.0133185073191</v>
      </c>
      <c r="R134" s="63">
        <f t="shared" ca="1" si="72"/>
        <v>4999.4445757362264</v>
      </c>
    </row>
    <row r="135" spans="3:18" ht="14" thickTop="1" x14ac:dyDescent="0.15">
      <c r="M135"/>
      <c r="O135" s="121"/>
    </row>
    <row r="136" spans="3:18" ht="14" thickBot="1" x14ac:dyDescent="0.2">
      <c r="M136"/>
      <c r="O136" s="121"/>
    </row>
    <row r="137" spans="3:18" ht="18" thickTop="1" thickBot="1" x14ac:dyDescent="0.25">
      <c r="C137" s="180" t="str">
        <f ca="1">INDIRECT(ADDRESS(D137+6,3,4,TRUE,"Car+SUV"))</f>
        <v>TNM</v>
      </c>
      <c r="D137" s="182">
        <v>10</v>
      </c>
      <c r="E137" t="s">
        <v>170</v>
      </c>
      <c r="M137"/>
      <c r="O137" s="121"/>
    </row>
    <row r="138" spans="3:18" ht="15" thickTop="1" thickBot="1" x14ac:dyDescent="0.2">
      <c r="M138"/>
      <c r="O138" s="121"/>
    </row>
    <row r="139" spans="3:18" ht="17" thickTop="1" x14ac:dyDescent="0.2">
      <c r="C139" s="32" t="s">
        <v>47</v>
      </c>
      <c r="D139" s="33"/>
      <c r="E139" s="33"/>
      <c r="F139" s="33"/>
      <c r="G139" s="33"/>
      <c r="H139" s="33"/>
      <c r="I139" s="33"/>
      <c r="J139" s="33"/>
      <c r="K139" s="34"/>
      <c r="L139" s="34"/>
      <c r="M139" s="34"/>
      <c r="N139" s="34"/>
      <c r="O139" s="34"/>
      <c r="P139" s="34"/>
      <c r="Q139" s="34"/>
      <c r="R139" s="35"/>
    </row>
    <row r="140" spans="3:18" ht="14" thickBot="1" x14ac:dyDescent="0.2">
      <c r="C140" s="36"/>
      <c r="D140" s="37" t="s">
        <v>25</v>
      </c>
      <c r="E140" s="37" t="s">
        <v>37</v>
      </c>
      <c r="F140" s="37" t="s">
        <v>38</v>
      </c>
      <c r="G140" s="37" t="s">
        <v>177</v>
      </c>
      <c r="H140" s="37" t="s">
        <v>178</v>
      </c>
      <c r="I140" s="37" t="s">
        <v>26</v>
      </c>
      <c r="J140" s="37"/>
      <c r="K140" s="37" t="s">
        <v>27</v>
      </c>
      <c r="L140" s="37" t="s">
        <v>28</v>
      </c>
      <c r="M140" s="37" t="s">
        <v>29</v>
      </c>
      <c r="N140" s="37" t="s">
        <v>30</v>
      </c>
      <c r="O140" s="37" t="s">
        <v>31</v>
      </c>
      <c r="P140" s="37" t="s">
        <v>174</v>
      </c>
      <c r="Q140" s="37" t="s">
        <v>175</v>
      </c>
      <c r="R140" s="38" t="s">
        <v>176</v>
      </c>
    </row>
    <row r="141" spans="3:18" ht="15" thickTop="1" thickBot="1" x14ac:dyDescent="0.2">
      <c r="C141" s="70"/>
      <c r="D141" s="71" t="s">
        <v>39</v>
      </c>
      <c r="E141" s="65" t="s">
        <v>39</v>
      </c>
      <c r="F141" s="65" t="s">
        <v>39</v>
      </c>
      <c r="G141" s="65" t="s">
        <v>39</v>
      </c>
      <c r="H141" s="65" t="s">
        <v>39</v>
      </c>
      <c r="I141" s="65" t="s">
        <v>39</v>
      </c>
      <c r="J141" s="65"/>
      <c r="K141" s="65" t="s">
        <v>32</v>
      </c>
      <c r="L141" s="65" t="s">
        <v>32</v>
      </c>
      <c r="M141" s="65" t="s">
        <v>32</v>
      </c>
      <c r="N141" s="65" t="s">
        <v>32</v>
      </c>
      <c r="O141" s="65" t="s">
        <v>32</v>
      </c>
      <c r="P141" s="65" t="s">
        <v>32</v>
      </c>
      <c r="Q141" s="65" t="s">
        <v>32</v>
      </c>
      <c r="R141" s="66" t="s">
        <v>32</v>
      </c>
    </row>
    <row r="142" spans="3:18" ht="17" thickTop="1" x14ac:dyDescent="0.2">
      <c r="C142" s="24" t="s">
        <v>113</v>
      </c>
      <c r="D142" s="55">
        <f ca="1">INDIRECT(ADDRESS($D137+6,D$1,4,TRUE,"Car+SUV"))-D144</f>
        <v>885.34055027951865</v>
      </c>
      <c r="E142" s="53">
        <f t="shared" ref="E142:R142" ca="1" si="73">INDIRECT(ADDRESS($D137+6,E$1,4,TRUE,"Car+SUV"))-E144</f>
        <v>898.03119338497288</v>
      </c>
      <c r="F142" s="53">
        <f t="shared" ca="1" si="73"/>
        <v>854.9796255902786</v>
      </c>
      <c r="G142" s="53">
        <f t="shared" ca="1" si="73"/>
        <v>1007.1080777960834</v>
      </c>
      <c r="H142" s="53">
        <f t="shared" ca="1" si="73"/>
        <v>1046.2580608856344</v>
      </c>
      <c r="I142" s="53">
        <f t="shared" ca="1" si="73"/>
        <v>1105.8927760231234</v>
      </c>
      <c r="J142" s="53">
        <f t="shared" ca="1" si="73"/>
        <v>1078.1670817361705</v>
      </c>
      <c r="K142" s="53">
        <f t="shared" ca="1" si="73"/>
        <v>1158.909545980853</v>
      </c>
      <c r="L142" s="53">
        <f t="shared" ca="1" si="73"/>
        <v>1156.7636145904303</v>
      </c>
      <c r="M142" s="53">
        <f t="shared" ca="1" si="73"/>
        <v>1141.526123293507</v>
      </c>
      <c r="N142" s="53">
        <f t="shared" ca="1" si="73"/>
        <v>1114.0252278040075</v>
      </c>
      <c r="O142" s="53">
        <f t="shared" ca="1" si="73"/>
        <v>1081.5163462783448</v>
      </c>
      <c r="P142" s="53">
        <f t="shared" ca="1" si="73"/>
        <v>1047.2037841120111</v>
      </c>
      <c r="Q142" s="53">
        <f t="shared" ca="1" si="73"/>
        <v>1009.2562818984744</v>
      </c>
      <c r="R142" s="54">
        <f t="shared" ca="1" si="73"/>
        <v>967.9288673436763</v>
      </c>
    </row>
    <row r="143" spans="3:18" ht="16" x14ac:dyDescent="0.2">
      <c r="C143" s="24" t="s">
        <v>114</v>
      </c>
      <c r="D143" s="55">
        <f ca="1">INDIRECT(ADDRESS($D137+6,D$1,4,TRUE,"Van+Ute"))-D145</f>
        <v>256.03059839451191</v>
      </c>
      <c r="E143" s="56">
        <f t="shared" ref="E143:R143" ca="1" si="74">INDIRECT(ADDRESS($D137+6,E$1,4,TRUE,"Van+Ute"))-E145</f>
        <v>265.70393156521851</v>
      </c>
      <c r="F143" s="56">
        <f t="shared" ca="1" si="74"/>
        <v>261.43150383658553</v>
      </c>
      <c r="G143" s="56">
        <f t="shared" ca="1" si="74"/>
        <v>298.99360836302895</v>
      </c>
      <c r="H143" s="56">
        <f t="shared" ca="1" si="74"/>
        <v>313.74703497499507</v>
      </c>
      <c r="I143" s="56">
        <f t="shared" ca="1" si="74"/>
        <v>346.49423281158113</v>
      </c>
      <c r="J143" s="56">
        <f t="shared" ca="1" si="74"/>
        <v>344.86508822970291</v>
      </c>
      <c r="K143" s="56">
        <f t="shared" ca="1" si="74"/>
        <v>384.26018968675044</v>
      </c>
      <c r="L143" s="56">
        <f t="shared" ca="1" si="74"/>
        <v>400.63807365288619</v>
      </c>
      <c r="M143" s="56">
        <f t="shared" ca="1" si="74"/>
        <v>409.87769402217214</v>
      </c>
      <c r="N143" s="56">
        <f t="shared" ca="1" si="74"/>
        <v>415.36230139101815</v>
      </c>
      <c r="O143" s="56">
        <f t="shared" ca="1" si="74"/>
        <v>420.06005153435774</v>
      </c>
      <c r="P143" s="56">
        <f t="shared" ca="1" si="74"/>
        <v>424.51621733719577</v>
      </c>
      <c r="Q143" s="56">
        <f t="shared" ca="1" si="74"/>
        <v>427.15119045250526</v>
      </c>
      <c r="R143" s="57">
        <f t="shared" ca="1" si="74"/>
        <v>427.37967001406901</v>
      </c>
    </row>
    <row r="144" spans="3:18" ht="16" x14ac:dyDescent="0.2">
      <c r="C144" s="24" t="s">
        <v>115</v>
      </c>
      <c r="D144" s="55">
        <f ca="1">INDIRECT(ADDRESS($D137+130,D$1,4,TRUE,"Car+SUV"))</f>
        <v>4.2639144470841748</v>
      </c>
      <c r="E144" s="56">
        <f t="shared" ref="E144:R144" ca="1" si="75">INDIRECT(ADDRESS($D137+130,E$1,4,TRUE,"Car+SUV"))</f>
        <v>3.7661043874597167</v>
      </c>
      <c r="F144" s="56">
        <f t="shared" ca="1" si="75"/>
        <v>3.0653566928419487</v>
      </c>
      <c r="G144" s="56">
        <f t="shared" ca="1" si="75"/>
        <v>3.3904120010962453</v>
      </c>
      <c r="H144" s="56">
        <f t="shared" ca="1" si="75"/>
        <v>4.4995744586774338</v>
      </c>
      <c r="I144" s="56">
        <f t="shared" ca="1" si="75"/>
        <v>5.199288680714008</v>
      </c>
      <c r="J144" s="56">
        <f t="shared" ca="1" si="75"/>
        <v>4.9306512050631461</v>
      </c>
      <c r="K144" s="56">
        <f t="shared" ca="1" si="75"/>
        <v>5.6067831534187391</v>
      </c>
      <c r="L144" s="56">
        <f t="shared" ca="1" si="75"/>
        <v>55.042502054434969</v>
      </c>
      <c r="M144" s="56">
        <f t="shared" ca="1" si="75"/>
        <v>106.17080521533151</v>
      </c>
      <c r="N144" s="56">
        <f t="shared" ca="1" si="75"/>
        <v>157.51845771969056</v>
      </c>
      <c r="O144" s="56">
        <f t="shared" ca="1" si="75"/>
        <v>208.51256763374673</v>
      </c>
      <c r="P144" s="56">
        <f t="shared" ca="1" si="75"/>
        <v>258.97314425117452</v>
      </c>
      <c r="Q144" s="56">
        <f t="shared" ca="1" si="75"/>
        <v>308.48723932578457</v>
      </c>
      <c r="R144" s="57">
        <f t="shared" ca="1" si="75"/>
        <v>356.97051282993152</v>
      </c>
    </row>
    <row r="145" spans="3:18" ht="16" x14ac:dyDescent="0.2">
      <c r="C145" s="24" t="s">
        <v>116</v>
      </c>
      <c r="D145" s="55">
        <f ca="1">INDIRECT(ADDRESS($D137+130,D$1,4,TRUE,"Van+Ute"))</f>
        <v>2.2648937460723992</v>
      </c>
      <c r="E145" s="56">
        <f t="shared" ref="E145:R145" ca="1" si="76">INDIRECT(ADDRESS($D137+130,E$1,4,TRUE,"Van+Ute"))</f>
        <v>2.3638065775581509</v>
      </c>
      <c r="F145" s="56">
        <f t="shared" ca="1" si="76"/>
        <v>2.2470574761273259</v>
      </c>
      <c r="G145" s="56">
        <f t="shared" ca="1" si="76"/>
        <v>2.6859995346010592</v>
      </c>
      <c r="H145" s="56">
        <f t="shared" ca="1" si="76"/>
        <v>2.7721070575112203</v>
      </c>
      <c r="I145" s="56">
        <f t="shared" ca="1" si="76"/>
        <v>2.8166648500984079</v>
      </c>
      <c r="J145" s="56">
        <f t="shared" ca="1" si="76"/>
        <v>2.996068551308428</v>
      </c>
      <c r="K145" s="56">
        <f t="shared" ca="1" si="76"/>
        <v>3.4069144178590598</v>
      </c>
      <c r="L145" s="56">
        <f t="shared" ca="1" si="76"/>
        <v>14.172405974843976</v>
      </c>
      <c r="M145" s="56">
        <f t="shared" ca="1" si="76"/>
        <v>25.266090144830514</v>
      </c>
      <c r="N145" s="56">
        <f t="shared" ca="1" si="76"/>
        <v>36.403054270194133</v>
      </c>
      <c r="O145" s="56">
        <f t="shared" ca="1" si="76"/>
        <v>47.487704437375797</v>
      </c>
      <c r="P145" s="56">
        <f t="shared" ca="1" si="76"/>
        <v>58.422879060758703</v>
      </c>
      <c r="Q145" s="56">
        <f t="shared" ca="1" si="76"/>
        <v>69.184596089809716</v>
      </c>
      <c r="R145" s="57">
        <f t="shared" ca="1" si="76"/>
        <v>79.759990268867213</v>
      </c>
    </row>
    <row r="146" spans="3:18" ht="16" x14ac:dyDescent="0.2">
      <c r="C146" s="24" t="s">
        <v>43</v>
      </c>
      <c r="D146" s="55">
        <f ca="1">INDIRECT(ADDRESS($D137+6,D$1,4,TRUE,"Heavy Truck"))</f>
        <v>97.700150458941565</v>
      </c>
      <c r="E146" s="56">
        <f t="shared" ref="E146:R146" ca="1" si="77">INDIRECT(ADDRESS($D137+6,E$1,4,TRUE,"Heavy Truck"))</f>
        <v>101.2492551025969</v>
      </c>
      <c r="F146" s="56">
        <f t="shared" ca="1" si="77"/>
        <v>94.411223487199464</v>
      </c>
      <c r="G146" s="56">
        <f t="shared" ca="1" si="77"/>
        <v>102.53476450188491</v>
      </c>
      <c r="H146" s="56">
        <f t="shared" ca="1" si="77"/>
        <v>107.78043224530198</v>
      </c>
      <c r="I146" s="56">
        <f t="shared" ca="1" si="77"/>
        <v>114.64710438824891</v>
      </c>
      <c r="J146" s="56">
        <f t="shared" ca="1" si="77"/>
        <v>105.65103050706753</v>
      </c>
      <c r="K146" s="56">
        <f t="shared" ca="1" si="77"/>
        <v>106.73926350389218</v>
      </c>
      <c r="L146" s="56">
        <f t="shared" ca="1" si="77"/>
        <v>109.74794581712399</v>
      </c>
      <c r="M146" s="56">
        <f t="shared" ca="1" si="77"/>
        <v>112.54367599961923</v>
      </c>
      <c r="N146" s="56">
        <f t="shared" ca="1" si="77"/>
        <v>110.86858264195665</v>
      </c>
      <c r="O146" s="56">
        <f t="shared" ca="1" si="77"/>
        <v>109.20773270250938</v>
      </c>
      <c r="P146" s="56">
        <f t="shared" ca="1" si="77"/>
        <v>111.70229099181611</v>
      </c>
      <c r="Q146" s="56">
        <f t="shared" ca="1" si="77"/>
        <v>114.00772482933235</v>
      </c>
      <c r="R146" s="57">
        <f t="shared" ca="1" si="77"/>
        <v>116.13183702376769</v>
      </c>
    </row>
    <row r="147" spans="3:18" ht="16" x14ac:dyDescent="0.2">
      <c r="C147" s="24" t="s">
        <v>44</v>
      </c>
      <c r="D147" s="55">
        <f ca="1">INDIRECT(ADDRESS($D137+6,D$1,4,TRUE,"Heavy Bus"))</f>
        <v>5.9713503082580308</v>
      </c>
      <c r="E147" s="56">
        <f t="shared" ref="E147:R147" ca="1" si="78">INDIRECT(ADDRESS($D137+6,E$1,4,TRUE,"Heavy Bus"))</f>
        <v>6.5118389653351718</v>
      </c>
      <c r="F147" s="56">
        <f t="shared" ca="1" si="78"/>
        <v>6.4734157441534528</v>
      </c>
      <c r="G147" s="56">
        <f t="shared" ca="1" si="78"/>
        <v>6.9079231858956813</v>
      </c>
      <c r="H147" s="56">
        <f t="shared" ca="1" si="78"/>
        <v>6.7725013683992685</v>
      </c>
      <c r="I147" s="56">
        <f t="shared" ca="1" si="78"/>
        <v>7.4216829677867322</v>
      </c>
      <c r="J147" s="56">
        <f t="shared" ca="1" si="78"/>
        <v>6.8406684466316321</v>
      </c>
      <c r="K147" s="56">
        <f t="shared" ca="1" si="78"/>
        <v>7.4719234394389291</v>
      </c>
      <c r="L147" s="56">
        <f t="shared" ca="1" si="78"/>
        <v>8.3869183759260491</v>
      </c>
      <c r="M147" s="56">
        <f t="shared" ca="1" si="78"/>
        <v>9.2143664123929536</v>
      </c>
      <c r="N147" s="56">
        <f t="shared" ca="1" si="78"/>
        <v>10.217563382687622</v>
      </c>
      <c r="O147" s="56">
        <f t="shared" ca="1" si="78"/>
        <v>11.377712095547761</v>
      </c>
      <c r="P147" s="56">
        <f t="shared" ca="1" si="78"/>
        <v>12.817145300274303</v>
      </c>
      <c r="Q147" s="56">
        <f t="shared" ca="1" si="78"/>
        <v>14.478312215359622</v>
      </c>
      <c r="R147" s="57">
        <f t="shared" ca="1" si="78"/>
        <v>16.400176680898035</v>
      </c>
    </row>
    <row r="148" spans="3:18" ht="17" thickBot="1" x14ac:dyDescent="0.25">
      <c r="C148" s="24" t="s">
        <v>42</v>
      </c>
      <c r="D148" s="55">
        <f ca="1">INDIRECT(ADDRESS($D137+6,D$1,4,TRUE,"Motorcycle"))</f>
        <v>18.906650307937248</v>
      </c>
      <c r="E148" s="56">
        <f t="shared" ref="E148:R148" ca="1" si="79">INDIRECT(ADDRESS($D137+6,E$1,4,TRUE,"Motorcycle"))</f>
        <v>18.084782368895013</v>
      </c>
      <c r="F148" s="56">
        <f t="shared" ca="1" si="79"/>
        <v>17.174473811878244</v>
      </c>
      <c r="G148" s="56">
        <f t="shared" ca="1" si="79"/>
        <v>19.550282180920426</v>
      </c>
      <c r="H148" s="56">
        <f t="shared" ca="1" si="79"/>
        <v>19.546073851503056</v>
      </c>
      <c r="I148" s="56">
        <f t="shared" ca="1" si="79"/>
        <v>20.479869206384855</v>
      </c>
      <c r="J148" s="56">
        <f t="shared" ca="1" si="79"/>
        <v>19.867134174371309</v>
      </c>
      <c r="K148" s="56">
        <f t="shared" ca="1" si="79"/>
        <v>20.542489026724372</v>
      </c>
      <c r="L148" s="56">
        <f t="shared" ca="1" si="79"/>
        <v>20.663082354145143</v>
      </c>
      <c r="M148" s="56">
        <f t="shared" ca="1" si="79"/>
        <v>20.568087230925581</v>
      </c>
      <c r="N148" s="56">
        <f t="shared" ca="1" si="79"/>
        <v>20.1023742069493</v>
      </c>
      <c r="O148" s="56">
        <f t="shared" ca="1" si="79"/>
        <v>19.511365175110846</v>
      </c>
      <c r="P148" s="56">
        <f t="shared" ca="1" si="79"/>
        <v>19.61676264918675</v>
      </c>
      <c r="Q148" s="56">
        <f t="shared" ca="1" si="79"/>
        <v>19.661633204372659</v>
      </c>
      <c r="R148" s="57">
        <f t="shared" ca="1" si="79"/>
        <v>19.66588091951537</v>
      </c>
    </row>
    <row r="149" spans="3:18" ht="19" thickTop="1" thickBot="1" x14ac:dyDescent="0.25">
      <c r="C149" s="31" t="s">
        <v>45</v>
      </c>
      <c r="D149" s="61">
        <f ca="1">SUM(D142:D148)</f>
        <v>1270.478107942324</v>
      </c>
      <c r="E149" s="62">
        <f t="shared" ref="E149:R149" ca="1" si="80">SUM(E142:E148)</f>
        <v>1295.7109123520363</v>
      </c>
      <c r="F149" s="62">
        <f t="shared" ca="1" si="80"/>
        <v>1239.7826566390647</v>
      </c>
      <c r="G149" s="62">
        <f t="shared" ca="1" si="80"/>
        <v>1441.1710675635106</v>
      </c>
      <c r="H149" s="62">
        <f t="shared" ca="1" si="80"/>
        <v>1501.3757848420223</v>
      </c>
      <c r="I149" s="62">
        <f t="shared" ca="1" si="80"/>
        <v>1602.9516189279373</v>
      </c>
      <c r="J149" s="62">
        <f t="shared" ca="1" si="80"/>
        <v>1563.3177228503155</v>
      </c>
      <c r="K149" s="62">
        <f t="shared" ca="1" si="80"/>
        <v>1686.9371092089368</v>
      </c>
      <c r="L149" s="62">
        <f t="shared" ca="1" si="80"/>
        <v>1765.4145428197908</v>
      </c>
      <c r="M149" s="62">
        <f t="shared" ca="1" si="80"/>
        <v>1825.1668423187789</v>
      </c>
      <c r="N149" s="62">
        <f t="shared" ca="1" si="80"/>
        <v>1864.4975614165039</v>
      </c>
      <c r="O149" s="62">
        <f t="shared" ca="1" si="80"/>
        <v>1897.6734798569933</v>
      </c>
      <c r="P149" s="62">
        <f t="shared" ca="1" si="80"/>
        <v>1933.2522237024173</v>
      </c>
      <c r="Q149" s="62">
        <f t="shared" ca="1" si="80"/>
        <v>1962.2269780156389</v>
      </c>
      <c r="R149" s="63">
        <f t="shared" ca="1" si="80"/>
        <v>1984.2369350807251</v>
      </c>
    </row>
    <row r="150" spans="3:18" ht="14" thickTop="1" x14ac:dyDescent="0.15">
      <c r="M150"/>
      <c r="O150" s="121"/>
    </row>
    <row r="151" spans="3:18" ht="14" thickBot="1" x14ac:dyDescent="0.2">
      <c r="M151"/>
      <c r="O151" s="121"/>
    </row>
    <row r="152" spans="3:18" ht="18" thickTop="1" thickBot="1" x14ac:dyDescent="0.25">
      <c r="C152" s="180" t="str">
        <f ca="1">INDIRECT(ADDRESS(D152+6,3,4,TRUE,"Car+SUV"))</f>
        <v>West Coast</v>
      </c>
      <c r="D152" s="182">
        <v>11</v>
      </c>
      <c r="E152" t="s">
        <v>170</v>
      </c>
      <c r="M152"/>
      <c r="O152" s="121"/>
    </row>
    <row r="153" spans="3:18" ht="15" thickTop="1" thickBot="1" x14ac:dyDescent="0.2">
      <c r="M153"/>
      <c r="O153" s="121"/>
    </row>
    <row r="154" spans="3:18" ht="17" thickTop="1" x14ac:dyDescent="0.2">
      <c r="C154" s="32" t="s">
        <v>47</v>
      </c>
      <c r="D154" s="33"/>
      <c r="E154" s="33"/>
      <c r="F154" s="33"/>
      <c r="G154" s="33"/>
      <c r="H154" s="33"/>
      <c r="I154" s="33"/>
      <c r="J154" s="33"/>
      <c r="K154" s="34"/>
      <c r="L154" s="34"/>
      <c r="M154" s="34"/>
      <c r="N154" s="34"/>
      <c r="O154" s="34"/>
      <c r="P154" s="34"/>
      <c r="Q154" s="34"/>
      <c r="R154" s="35"/>
    </row>
    <row r="155" spans="3:18" ht="14" thickBot="1" x14ac:dyDescent="0.2">
      <c r="C155" s="36"/>
      <c r="D155" s="37" t="s">
        <v>25</v>
      </c>
      <c r="E155" s="37" t="s">
        <v>37</v>
      </c>
      <c r="F155" s="37" t="s">
        <v>38</v>
      </c>
      <c r="G155" s="37" t="s">
        <v>177</v>
      </c>
      <c r="H155" s="37" t="s">
        <v>178</v>
      </c>
      <c r="I155" s="37" t="s">
        <v>26</v>
      </c>
      <c r="J155" s="37"/>
      <c r="K155" s="37" t="s">
        <v>27</v>
      </c>
      <c r="L155" s="37" t="s">
        <v>28</v>
      </c>
      <c r="M155" s="37" t="s">
        <v>29</v>
      </c>
      <c r="N155" s="37" t="s">
        <v>30</v>
      </c>
      <c r="O155" s="37" t="s">
        <v>31</v>
      </c>
      <c r="P155" s="37" t="s">
        <v>174</v>
      </c>
      <c r="Q155" s="37" t="s">
        <v>175</v>
      </c>
      <c r="R155" s="38" t="s">
        <v>176</v>
      </c>
    </row>
    <row r="156" spans="3:18" ht="15" thickTop="1" thickBot="1" x14ac:dyDescent="0.2">
      <c r="C156" s="70"/>
      <c r="D156" s="71" t="s">
        <v>39</v>
      </c>
      <c r="E156" s="65" t="s">
        <v>39</v>
      </c>
      <c r="F156" s="65" t="s">
        <v>39</v>
      </c>
      <c r="G156" s="65" t="s">
        <v>39</v>
      </c>
      <c r="H156" s="65" t="s">
        <v>39</v>
      </c>
      <c r="I156" s="65" t="s">
        <v>39</v>
      </c>
      <c r="J156" s="65"/>
      <c r="K156" s="65" t="s">
        <v>32</v>
      </c>
      <c r="L156" s="65" t="s">
        <v>32</v>
      </c>
      <c r="M156" s="65" t="s">
        <v>32</v>
      </c>
      <c r="N156" s="65" t="s">
        <v>32</v>
      </c>
      <c r="O156" s="65" t="s">
        <v>32</v>
      </c>
      <c r="P156" s="65" t="s">
        <v>32</v>
      </c>
      <c r="Q156" s="65" t="s">
        <v>32</v>
      </c>
      <c r="R156" s="66" t="s">
        <v>32</v>
      </c>
    </row>
    <row r="157" spans="3:18" ht="17" thickTop="1" x14ac:dyDescent="0.2">
      <c r="C157" s="24" t="s">
        <v>113</v>
      </c>
      <c r="D157" s="55">
        <f ca="1">INDIRECT(ADDRESS($D152+6,D$1,4,TRUE,"Car+SUV"))-D159</f>
        <v>315.65678541431657</v>
      </c>
      <c r="E157" s="53">
        <f t="shared" ref="E157:R157" ca="1" si="81">INDIRECT(ADDRESS($D152+6,E$1,4,TRUE,"Car+SUV"))-E159</f>
        <v>314.49351723235321</v>
      </c>
      <c r="F157" s="53">
        <f t="shared" ca="1" si="81"/>
        <v>334.11595127095603</v>
      </c>
      <c r="G157" s="53">
        <f t="shared" ca="1" si="81"/>
        <v>355.29405385950656</v>
      </c>
      <c r="H157" s="53">
        <f t="shared" ca="1" si="81"/>
        <v>365.04473432756839</v>
      </c>
      <c r="I157" s="53">
        <f t="shared" ca="1" si="81"/>
        <v>400.9597188904076</v>
      </c>
      <c r="J157" s="53">
        <f t="shared" ca="1" si="81"/>
        <v>392.07129297820052</v>
      </c>
      <c r="K157" s="53">
        <f t="shared" ca="1" si="81"/>
        <v>401.17300634191412</v>
      </c>
      <c r="L157" s="53">
        <f t="shared" ca="1" si="81"/>
        <v>388.01547230412478</v>
      </c>
      <c r="M157" s="53">
        <f t="shared" ca="1" si="81"/>
        <v>371.36792004359432</v>
      </c>
      <c r="N157" s="53">
        <f t="shared" ca="1" si="81"/>
        <v>351.59429392121211</v>
      </c>
      <c r="O157" s="53">
        <f t="shared" ca="1" si="81"/>
        <v>331.86761802427833</v>
      </c>
      <c r="P157" s="53">
        <f t="shared" ca="1" si="81"/>
        <v>312.30242917752634</v>
      </c>
      <c r="Q157" s="53">
        <f t="shared" ca="1" si="81"/>
        <v>292.44284478742395</v>
      </c>
      <c r="R157" s="54">
        <f t="shared" ca="1" si="81"/>
        <v>272.46031021002568</v>
      </c>
    </row>
    <row r="158" spans="3:18" ht="16" x14ac:dyDescent="0.2">
      <c r="C158" s="24" t="s">
        <v>114</v>
      </c>
      <c r="D158" s="55">
        <f ca="1">INDIRECT(ADDRESS($D152+6,D$1,4,TRUE,"Van+Ute"))-D160</f>
        <v>117.54987079284152</v>
      </c>
      <c r="E158" s="56">
        <f t="shared" ref="E158:R158" ca="1" si="82">INDIRECT(ADDRESS($D152+6,E$1,4,TRUE,"Van+Ute"))-E160</f>
        <v>118.76643316809626</v>
      </c>
      <c r="F158" s="56">
        <f t="shared" ca="1" si="82"/>
        <v>128.98615716441165</v>
      </c>
      <c r="G158" s="56">
        <f t="shared" ca="1" si="82"/>
        <v>131.00848553123018</v>
      </c>
      <c r="H158" s="56">
        <f t="shared" ca="1" si="82"/>
        <v>137.58949661859509</v>
      </c>
      <c r="I158" s="56">
        <f t="shared" ca="1" si="82"/>
        <v>150.6840397733676</v>
      </c>
      <c r="J158" s="56">
        <f t="shared" ca="1" si="82"/>
        <v>150.67819071396167</v>
      </c>
      <c r="K158" s="56">
        <f t="shared" ca="1" si="82"/>
        <v>159.08192155791059</v>
      </c>
      <c r="L158" s="56">
        <f t="shared" ca="1" si="82"/>
        <v>160.69059244801218</v>
      </c>
      <c r="M158" s="56">
        <f t="shared" ca="1" si="82"/>
        <v>159.45627123699677</v>
      </c>
      <c r="N158" s="56">
        <f t="shared" ca="1" si="82"/>
        <v>156.81139140139936</v>
      </c>
      <c r="O158" s="56">
        <f t="shared" ca="1" si="82"/>
        <v>154.27949854506548</v>
      </c>
      <c r="P158" s="56">
        <f t="shared" ca="1" si="82"/>
        <v>151.67260215143111</v>
      </c>
      <c r="Q158" s="56">
        <f t="shared" ca="1" si="82"/>
        <v>148.46803738450845</v>
      </c>
      <c r="R158" s="57">
        <f t="shared" ca="1" si="82"/>
        <v>144.52902473348973</v>
      </c>
    </row>
    <row r="159" spans="3:18" ht="16" x14ac:dyDescent="0.2">
      <c r="C159" s="24" t="s">
        <v>115</v>
      </c>
      <c r="D159" s="55">
        <f ca="1">INDIRECT(ADDRESS($D152+130,D$1,4,TRUE,"Car+SUV"))</f>
        <v>1.1442225342133525</v>
      </c>
      <c r="E159" s="56">
        <f t="shared" ref="E159:R159" ca="1" si="83">INDIRECT(ADDRESS($D152+130,E$1,4,TRUE,"Car+SUV"))</f>
        <v>1.0540488829695094</v>
      </c>
      <c r="F159" s="56">
        <f t="shared" ca="1" si="83"/>
        <v>1.1981472473156056</v>
      </c>
      <c r="G159" s="56">
        <f t="shared" ca="1" si="83"/>
        <v>1.2527801593547454</v>
      </c>
      <c r="H159" s="56">
        <f t="shared" ca="1" si="83"/>
        <v>1.3930143884497399</v>
      </c>
      <c r="I159" s="56">
        <f t="shared" ca="1" si="83"/>
        <v>1.5881742025174355</v>
      </c>
      <c r="J159" s="56">
        <f t="shared" ca="1" si="83"/>
        <v>1.6853801997410134</v>
      </c>
      <c r="K159" s="56">
        <f t="shared" ca="1" si="83"/>
        <v>1.8816347645472371</v>
      </c>
      <c r="L159" s="56">
        <f t="shared" ca="1" si="83"/>
        <v>19.208274903617724</v>
      </c>
      <c r="M159" s="56">
        <f t="shared" ca="1" si="83"/>
        <v>36.178162215239475</v>
      </c>
      <c r="N159" s="56">
        <f t="shared" ca="1" si="83"/>
        <v>52.317784507171325</v>
      </c>
      <c r="O159" s="56">
        <f t="shared" ca="1" si="83"/>
        <v>67.638562069152115</v>
      </c>
      <c r="P159" s="56">
        <f t="shared" ca="1" si="83"/>
        <v>82.026756127078329</v>
      </c>
      <c r="Q159" s="56">
        <f t="shared" ca="1" si="83"/>
        <v>95.394181653146148</v>
      </c>
      <c r="R159" s="57">
        <f t="shared" ca="1" si="83"/>
        <v>107.76438116484529</v>
      </c>
    </row>
    <row r="160" spans="3:18" ht="16" x14ac:dyDescent="0.2">
      <c r="C160" s="24" t="s">
        <v>116</v>
      </c>
      <c r="D160" s="55">
        <f ca="1">INDIRECT(ADDRESS($D152+130,D$1,4,TRUE,"Van+Ute"))</f>
        <v>1.2682562076734483</v>
      </c>
      <c r="E160" s="56">
        <f t="shared" ref="E160:R160" ca="1" si="84">INDIRECT(ADDRESS($D152+130,E$1,4,TRUE,"Van+Ute"))</f>
        <v>1.4448745499123756</v>
      </c>
      <c r="F160" s="56">
        <f t="shared" ca="1" si="84"/>
        <v>1.5652889724821897</v>
      </c>
      <c r="G160" s="56">
        <f t="shared" ca="1" si="84"/>
        <v>1.7035079649915017</v>
      </c>
      <c r="H160" s="56">
        <f t="shared" ca="1" si="84"/>
        <v>1.6452509945192739</v>
      </c>
      <c r="I160" s="56">
        <f t="shared" ca="1" si="84"/>
        <v>1.9296559966046951</v>
      </c>
      <c r="J160" s="56">
        <f t="shared" ca="1" si="84"/>
        <v>2.1982395559530739</v>
      </c>
      <c r="K160" s="56">
        <f t="shared" ca="1" si="84"/>
        <v>2.454214170737139</v>
      </c>
      <c r="L160" s="56">
        <f t="shared" ca="1" si="84"/>
        <v>7.1539077504828432</v>
      </c>
      <c r="M160" s="56">
        <f t="shared" ca="1" si="84"/>
        <v>11.731313530814212</v>
      </c>
      <c r="N160" s="56">
        <f t="shared" ca="1" si="84"/>
        <v>16.089765792916943</v>
      </c>
      <c r="O160" s="56">
        <f t="shared" ca="1" si="84"/>
        <v>20.259229818803874</v>
      </c>
      <c r="P160" s="56">
        <f t="shared" ca="1" si="84"/>
        <v>24.157938048126475</v>
      </c>
      <c r="Q160" s="56">
        <f t="shared" ca="1" si="84"/>
        <v>27.818388686277352</v>
      </c>
      <c r="R160" s="57">
        <f t="shared" ca="1" si="84"/>
        <v>31.251711488356303</v>
      </c>
    </row>
    <row r="161" spans="3:18" ht="16" x14ac:dyDescent="0.2">
      <c r="C161" s="24" t="s">
        <v>43</v>
      </c>
      <c r="D161" s="55">
        <f ca="1">INDIRECT(ADDRESS($D152+6,D$1,4,TRUE,"Heavy Truck"))</f>
        <v>43.405863172759247</v>
      </c>
      <c r="E161" s="56">
        <f t="shared" ref="E161:R161" ca="1" si="85">INDIRECT(ADDRESS($D152+6,E$1,4,TRUE,"Heavy Truck"))</f>
        <v>44.964471592553494</v>
      </c>
      <c r="F161" s="56">
        <f t="shared" ca="1" si="85"/>
        <v>51.199204018245595</v>
      </c>
      <c r="G161" s="56">
        <f t="shared" ca="1" si="85"/>
        <v>53.773933142395627</v>
      </c>
      <c r="H161" s="56">
        <f t="shared" ca="1" si="85"/>
        <v>55.38083484363041</v>
      </c>
      <c r="I161" s="56">
        <f t="shared" ca="1" si="85"/>
        <v>55.872355957955477</v>
      </c>
      <c r="J161" s="56">
        <f t="shared" ca="1" si="85"/>
        <v>56.36582709996118</v>
      </c>
      <c r="K161" s="56">
        <f t="shared" ca="1" si="85"/>
        <v>56.171344021363083</v>
      </c>
      <c r="L161" s="56">
        <f t="shared" ca="1" si="85"/>
        <v>57.015472616803308</v>
      </c>
      <c r="M161" s="56">
        <f t="shared" ca="1" si="85"/>
        <v>57.783946805314891</v>
      </c>
      <c r="N161" s="56">
        <f t="shared" ca="1" si="85"/>
        <v>56.499243800836069</v>
      </c>
      <c r="O161" s="56">
        <f t="shared" ca="1" si="85"/>
        <v>55.242771577128778</v>
      </c>
      <c r="P161" s="56">
        <f t="shared" ca="1" si="85"/>
        <v>54.384416913534018</v>
      </c>
      <c r="Q161" s="56">
        <f t="shared" ca="1" si="85"/>
        <v>53.534833168346573</v>
      </c>
      <c r="R161" s="57">
        <f t="shared" ca="1" si="85"/>
        <v>52.694108979202625</v>
      </c>
    </row>
    <row r="162" spans="3:18" ht="16" x14ac:dyDescent="0.2">
      <c r="C162" s="24" t="s">
        <v>44</v>
      </c>
      <c r="D162" s="55">
        <f ca="1">INDIRECT(ADDRESS($D152+6,D$1,4,TRUE,"Heavy Bus"))</f>
        <v>3.5994838845999344</v>
      </c>
      <c r="E162" s="56">
        <f t="shared" ref="E162:R162" ca="1" si="86">INDIRECT(ADDRESS($D152+6,E$1,4,TRUE,"Heavy Bus"))</f>
        <v>3.3064430965177922</v>
      </c>
      <c r="F162" s="56">
        <f t="shared" ca="1" si="86"/>
        <v>3.8237875581235587</v>
      </c>
      <c r="G162" s="56">
        <f t="shared" ca="1" si="86"/>
        <v>3.2933402565423875</v>
      </c>
      <c r="H162" s="56">
        <f t="shared" ca="1" si="86"/>
        <v>2.9532775649776024</v>
      </c>
      <c r="I162" s="56">
        <f t="shared" ca="1" si="86"/>
        <v>3.0124242854749301</v>
      </c>
      <c r="J162" s="56">
        <f t="shared" ca="1" si="86"/>
        <v>3.1231540434898464</v>
      </c>
      <c r="K162" s="56">
        <f t="shared" ca="1" si="86"/>
        <v>3.491006362121293</v>
      </c>
      <c r="L162" s="56">
        <f t="shared" ca="1" si="86"/>
        <v>4.0213723463662445</v>
      </c>
      <c r="M162" s="56">
        <f t="shared" ca="1" si="86"/>
        <v>4.5156276044013124</v>
      </c>
      <c r="N162" s="56">
        <f t="shared" ca="1" si="86"/>
        <v>5.1041963213923296</v>
      </c>
      <c r="O162" s="56">
        <f t="shared" ca="1" si="86"/>
        <v>5.791284509313634</v>
      </c>
      <c r="P162" s="56">
        <f t="shared" ca="1" si="86"/>
        <v>6.612974310674625</v>
      </c>
      <c r="Q162" s="56">
        <f t="shared" ca="1" si="86"/>
        <v>7.566266431766965</v>
      </c>
      <c r="R162" s="57">
        <f t="shared" ca="1" si="86"/>
        <v>8.6729909404680576</v>
      </c>
    </row>
    <row r="163" spans="3:18" ht="17" thickBot="1" x14ac:dyDescent="0.25">
      <c r="C163" s="24" t="s">
        <v>42</v>
      </c>
      <c r="D163" s="55">
        <f ca="1">INDIRECT(ADDRESS($D152+6,D$1,4,TRUE,"Motorcycle"))</f>
        <v>6.2495289086035593</v>
      </c>
      <c r="E163" s="56">
        <f t="shared" ref="E163:R163" ca="1" si="87">INDIRECT(ADDRESS($D152+6,E$1,4,TRUE,"Motorcycle"))</f>
        <v>6.303205469607259</v>
      </c>
      <c r="F163" s="56">
        <f t="shared" ca="1" si="87"/>
        <v>6.6727696224627238</v>
      </c>
      <c r="G163" s="56">
        <f t="shared" ca="1" si="87"/>
        <v>6.6052521510774138</v>
      </c>
      <c r="H163" s="56">
        <f t="shared" ca="1" si="87"/>
        <v>7.1659192329701016</v>
      </c>
      <c r="I163" s="56">
        <f t="shared" ca="1" si="87"/>
        <v>7.5065541787015979</v>
      </c>
      <c r="J163" s="56">
        <f t="shared" ca="1" si="87"/>
        <v>7.3030126291481707</v>
      </c>
      <c r="K163" s="56">
        <f t="shared" ca="1" si="87"/>
        <v>7.3747197083896445</v>
      </c>
      <c r="L163" s="56">
        <f t="shared" ca="1" si="87"/>
        <v>7.2127069331666362</v>
      </c>
      <c r="M163" s="56">
        <f t="shared" ca="1" si="87"/>
        <v>6.9838769886907892</v>
      </c>
      <c r="N163" s="56">
        <f t="shared" ca="1" si="87"/>
        <v>6.6431815858867198</v>
      </c>
      <c r="O163" s="56">
        <f t="shared" ca="1" si="87"/>
        <v>6.2919247144804853</v>
      </c>
      <c r="P163" s="56">
        <f t="shared" ca="1" si="87"/>
        <v>6.1726237812189755</v>
      </c>
      <c r="Q163" s="56">
        <f t="shared" ca="1" si="87"/>
        <v>6.0365411693704338</v>
      </c>
      <c r="R163" s="57">
        <f t="shared" ca="1" si="87"/>
        <v>5.8909801996697295</v>
      </c>
    </row>
    <row r="164" spans="3:18" ht="19" thickTop="1" thickBot="1" x14ac:dyDescent="0.25">
      <c r="C164" s="31" t="s">
        <v>45</v>
      </c>
      <c r="D164" s="61">
        <f ca="1">SUM(D157:D163)</f>
        <v>488.8740109150076</v>
      </c>
      <c r="E164" s="62">
        <f t="shared" ref="E164:R164" ca="1" si="88">SUM(E157:E163)</f>
        <v>490.33299399200985</v>
      </c>
      <c r="F164" s="62">
        <f t="shared" ca="1" si="88"/>
        <v>527.56130585399728</v>
      </c>
      <c r="G164" s="62">
        <f t="shared" ca="1" si="88"/>
        <v>552.93135306509839</v>
      </c>
      <c r="H164" s="62">
        <f t="shared" ca="1" si="88"/>
        <v>571.17252797071058</v>
      </c>
      <c r="I164" s="62">
        <f t="shared" ca="1" si="88"/>
        <v>621.55292328502924</v>
      </c>
      <c r="J164" s="62">
        <f t="shared" ca="1" si="88"/>
        <v>613.42509722045531</v>
      </c>
      <c r="K164" s="62">
        <f t="shared" ca="1" si="88"/>
        <v>631.62784692698312</v>
      </c>
      <c r="L164" s="62">
        <f t="shared" ca="1" si="88"/>
        <v>643.31779930257369</v>
      </c>
      <c r="M164" s="62">
        <f t="shared" ca="1" si="88"/>
        <v>648.01711842505176</v>
      </c>
      <c r="N164" s="62">
        <f t="shared" ca="1" si="88"/>
        <v>645.05985733081491</v>
      </c>
      <c r="O164" s="62">
        <f t="shared" ca="1" si="88"/>
        <v>641.37088925822275</v>
      </c>
      <c r="P164" s="62">
        <f t="shared" ca="1" si="88"/>
        <v>637.32974050958978</v>
      </c>
      <c r="Q164" s="62">
        <f t="shared" ca="1" si="88"/>
        <v>631.26109328083987</v>
      </c>
      <c r="R164" s="63">
        <f t="shared" ca="1" si="88"/>
        <v>623.26350771605723</v>
      </c>
    </row>
    <row r="165" spans="3:18" ht="14" thickTop="1" x14ac:dyDescent="0.15">
      <c r="M165"/>
      <c r="O165" s="121"/>
    </row>
    <row r="166" spans="3:18" ht="14" thickBot="1" x14ac:dyDescent="0.2">
      <c r="M166"/>
      <c r="O166" s="121"/>
    </row>
    <row r="167" spans="3:18" ht="18" thickTop="1" thickBot="1" x14ac:dyDescent="0.25">
      <c r="C167" s="180" t="str">
        <f ca="1">INDIRECT(ADDRESS(D167+6,3,4,TRUE,"Car+SUV"))</f>
        <v>Canterbury</v>
      </c>
      <c r="D167" s="182">
        <v>12</v>
      </c>
      <c r="E167" t="s">
        <v>170</v>
      </c>
      <c r="M167"/>
      <c r="O167" s="121"/>
    </row>
    <row r="168" spans="3:18" ht="15" thickTop="1" thickBot="1" x14ac:dyDescent="0.2">
      <c r="M168"/>
      <c r="O168" s="121"/>
    </row>
    <row r="169" spans="3:18" ht="17" thickTop="1" x14ac:dyDescent="0.2">
      <c r="C169" s="32" t="s">
        <v>47</v>
      </c>
      <c r="D169" s="33"/>
      <c r="E169" s="33"/>
      <c r="F169" s="33"/>
      <c r="G169" s="33"/>
      <c r="H169" s="33"/>
      <c r="I169" s="33"/>
      <c r="J169" s="33"/>
      <c r="K169" s="34"/>
      <c r="L169" s="34"/>
      <c r="M169" s="34"/>
      <c r="N169" s="34"/>
      <c r="O169" s="34"/>
      <c r="P169" s="34"/>
      <c r="Q169" s="34"/>
      <c r="R169" s="35"/>
    </row>
    <row r="170" spans="3:18" ht="14" thickBot="1" x14ac:dyDescent="0.2">
      <c r="C170" s="36"/>
      <c r="D170" s="37" t="s">
        <v>25</v>
      </c>
      <c r="E170" s="37" t="s">
        <v>37</v>
      </c>
      <c r="F170" s="37" t="s">
        <v>38</v>
      </c>
      <c r="G170" s="37" t="s">
        <v>177</v>
      </c>
      <c r="H170" s="37" t="s">
        <v>178</v>
      </c>
      <c r="I170" s="37" t="s">
        <v>26</v>
      </c>
      <c r="J170" s="37"/>
      <c r="K170" s="37" t="s">
        <v>27</v>
      </c>
      <c r="L170" s="37" t="s">
        <v>28</v>
      </c>
      <c r="M170" s="37" t="s">
        <v>29</v>
      </c>
      <c r="N170" s="37" t="s">
        <v>30</v>
      </c>
      <c r="O170" s="37" t="s">
        <v>31</v>
      </c>
      <c r="P170" s="37" t="s">
        <v>174</v>
      </c>
      <c r="Q170" s="37" t="s">
        <v>175</v>
      </c>
      <c r="R170" s="38" t="s">
        <v>176</v>
      </c>
    </row>
    <row r="171" spans="3:18" ht="15" thickTop="1" thickBot="1" x14ac:dyDescent="0.2">
      <c r="C171" s="70"/>
      <c r="D171" s="71" t="s">
        <v>39</v>
      </c>
      <c r="E171" s="65" t="s">
        <v>39</v>
      </c>
      <c r="F171" s="65" t="s">
        <v>39</v>
      </c>
      <c r="G171" s="65" t="s">
        <v>39</v>
      </c>
      <c r="H171" s="65" t="s">
        <v>39</v>
      </c>
      <c r="I171" s="65" t="s">
        <v>39</v>
      </c>
      <c r="J171" s="65"/>
      <c r="K171" s="65" t="s">
        <v>32</v>
      </c>
      <c r="L171" s="65" t="s">
        <v>32</v>
      </c>
      <c r="M171" s="65" t="s">
        <v>32</v>
      </c>
      <c r="N171" s="65" t="s">
        <v>32</v>
      </c>
      <c r="O171" s="65" t="s">
        <v>32</v>
      </c>
      <c r="P171" s="65" t="s">
        <v>32</v>
      </c>
      <c r="Q171" s="65" t="s">
        <v>32</v>
      </c>
      <c r="R171" s="66" t="s">
        <v>32</v>
      </c>
    </row>
    <row r="172" spans="3:18" ht="17" thickTop="1" x14ac:dyDescent="0.2">
      <c r="C172" s="24" t="s">
        <v>113</v>
      </c>
      <c r="D172" s="55">
        <f ca="1">INDIRECT(ADDRESS($D167+6,D$1,4,TRUE,"Car+SUV"))-D174</f>
        <v>3909.4091393094855</v>
      </c>
      <c r="E172" s="53">
        <f t="shared" ref="E172:R172" ca="1" si="89">INDIRECT(ADDRESS($D167+6,E$1,4,TRUE,"Car+SUV"))-E174</f>
        <v>4072.571980736157</v>
      </c>
      <c r="F172" s="53">
        <f t="shared" ca="1" si="89"/>
        <v>4241.0457036015796</v>
      </c>
      <c r="G172" s="53">
        <f t="shared" ca="1" si="89"/>
        <v>4492.3848206583034</v>
      </c>
      <c r="H172" s="53">
        <f t="shared" ca="1" si="89"/>
        <v>4540.8564069955373</v>
      </c>
      <c r="I172" s="53">
        <f t="shared" ca="1" si="89"/>
        <v>4769.3238678974767</v>
      </c>
      <c r="J172" s="53">
        <f t="shared" ca="1" si="89"/>
        <v>4779.5154638742633</v>
      </c>
      <c r="K172" s="53">
        <f t="shared" ca="1" si="89"/>
        <v>5193.1875925385211</v>
      </c>
      <c r="L172" s="53">
        <f t="shared" ca="1" si="89"/>
        <v>5318.2951386678988</v>
      </c>
      <c r="M172" s="53">
        <f t="shared" ca="1" si="89"/>
        <v>5388.1424038423866</v>
      </c>
      <c r="N172" s="53">
        <f t="shared" ca="1" si="89"/>
        <v>5406.1542972409825</v>
      </c>
      <c r="O172" s="53">
        <f t="shared" ca="1" si="89"/>
        <v>5407.8336706642594</v>
      </c>
      <c r="P172" s="53">
        <f t="shared" ca="1" si="89"/>
        <v>5396.6822543485659</v>
      </c>
      <c r="Q172" s="53">
        <f t="shared" ca="1" si="89"/>
        <v>5361.1440694475532</v>
      </c>
      <c r="R172" s="54">
        <f t="shared" ca="1" si="89"/>
        <v>5299.9904847823746</v>
      </c>
    </row>
    <row r="173" spans="3:18" ht="16" x14ac:dyDescent="0.2">
      <c r="C173" s="24" t="s">
        <v>114</v>
      </c>
      <c r="D173" s="55">
        <f ca="1">INDIRECT(ADDRESS($D167+6,D$1,4,TRUE,"Van+Ute"))-D175</f>
        <v>865.93473237960256</v>
      </c>
      <c r="E173" s="56">
        <f t="shared" ref="E173:R173" ca="1" si="90">INDIRECT(ADDRESS($D167+6,E$1,4,TRUE,"Van+Ute"))-E175</f>
        <v>965.88494389205437</v>
      </c>
      <c r="F173" s="56">
        <f t="shared" ca="1" si="90"/>
        <v>1052.346020474404</v>
      </c>
      <c r="G173" s="56">
        <f t="shared" ca="1" si="90"/>
        <v>1127.7016401947203</v>
      </c>
      <c r="H173" s="56">
        <f t="shared" ca="1" si="90"/>
        <v>1141.068892689666</v>
      </c>
      <c r="I173" s="56">
        <f t="shared" ca="1" si="90"/>
        <v>1225.9469995305672</v>
      </c>
      <c r="J173" s="56">
        <f t="shared" ca="1" si="90"/>
        <v>1263.1747077189439</v>
      </c>
      <c r="K173" s="56">
        <f t="shared" ca="1" si="90"/>
        <v>1433.1925433049387</v>
      </c>
      <c r="L173" s="56">
        <f t="shared" ca="1" si="90"/>
        <v>1551.448497628739</v>
      </c>
      <c r="M173" s="56">
        <f t="shared" ca="1" si="90"/>
        <v>1644.4091017593987</v>
      </c>
      <c r="N173" s="56">
        <f t="shared" ca="1" si="90"/>
        <v>1728.4057861777474</v>
      </c>
      <c r="O173" s="56">
        <f t="shared" ca="1" si="90"/>
        <v>1816.9508370178992</v>
      </c>
      <c r="P173" s="56">
        <f t="shared" ca="1" si="90"/>
        <v>1908.4374553959619</v>
      </c>
      <c r="Q173" s="56">
        <f t="shared" ca="1" si="90"/>
        <v>1994.5865343587739</v>
      </c>
      <c r="R173" s="57">
        <f t="shared" ca="1" si="90"/>
        <v>2071.1318085515572</v>
      </c>
    </row>
    <row r="174" spans="3:18" ht="16" x14ac:dyDescent="0.2">
      <c r="C174" s="24" t="s">
        <v>115</v>
      </c>
      <c r="D174" s="55">
        <f ca="1">INDIRECT(ADDRESS($D167+130,D$1,4,TRUE,"Car+SUV"))</f>
        <v>24.862057792989166</v>
      </c>
      <c r="E174" s="56">
        <f t="shared" ref="E174:R174" ca="1" si="91">INDIRECT(ADDRESS($D167+130,E$1,4,TRUE,"Car+SUV"))</f>
        <v>26.303948770777119</v>
      </c>
      <c r="F174" s="56">
        <f t="shared" ca="1" si="91"/>
        <v>26.789571187121513</v>
      </c>
      <c r="G174" s="56">
        <f t="shared" ca="1" si="91"/>
        <v>27.744235891513373</v>
      </c>
      <c r="H174" s="56">
        <f t="shared" ca="1" si="91"/>
        <v>30.216206847380992</v>
      </c>
      <c r="I174" s="56">
        <f t="shared" ca="1" si="91"/>
        <v>47.007845786148287</v>
      </c>
      <c r="J174" s="56">
        <f t="shared" ca="1" si="91"/>
        <v>54.837245240299822</v>
      </c>
      <c r="K174" s="56">
        <f t="shared" ca="1" si="91"/>
        <v>63.824756748728163</v>
      </c>
      <c r="L174" s="56">
        <f t="shared" ca="1" si="91"/>
        <v>290.66230815219382</v>
      </c>
      <c r="M174" s="56">
        <f t="shared" ca="1" si="91"/>
        <v>535.30702437647165</v>
      </c>
      <c r="N174" s="56">
        <f t="shared" ca="1" si="91"/>
        <v>793.06171051636215</v>
      </c>
      <c r="O174" s="56">
        <f t="shared" ca="1" si="91"/>
        <v>1063.6921078053228</v>
      </c>
      <c r="P174" s="56">
        <f t="shared" ca="1" si="91"/>
        <v>1344.4769720202664</v>
      </c>
      <c r="Q174" s="56">
        <f t="shared" ca="1" si="91"/>
        <v>1634.7743781922486</v>
      </c>
      <c r="R174" s="57">
        <f t="shared" ca="1" si="91"/>
        <v>1934.294917187593</v>
      </c>
    </row>
    <row r="175" spans="3:18" ht="16" x14ac:dyDescent="0.2">
      <c r="C175" s="24" t="s">
        <v>116</v>
      </c>
      <c r="D175" s="55">
        <f ca="1">INDIRECT(ADDRESS($D167+130,D$1,4,TRUE,"Van+Ute"))</f>
        <v>8.2677911780326365</v>
      </c>
      <c r="E175" s="56">
        <f t="shared" ref="E175:R175" ca="1" si="92">INDIRECT(ADDRESS($D167+130,E$1,4,TRUE,"Van+Ute"))</f>
        <v>7.5795922240104634</v>
      </c>
      <c r="F175" s="56">
        <f t="shared" ca="1" si="92"/>
        <v>7.4576000049046254</v>
      </c>
      <c r="G175" s="56">
        <f t="shared" ca="1" si="92"/>
        <v>8.0034110467880311</v>
      </c>
      <c r="H175" s="56">
        <f t="shared" ca="1" si="92"/>
        <v>9.4588481044587134</v>
      </c>
      <c r="I175" s="56">
        <f t="shared" ca="1" si="92"/>
        <v>11.299799375422243</v>
      </c>
      <c r="J175" s="56">
        <f t="shared" ca="1" si="92"/>
        <v>12.020501375857929</v>
      </c>
      <c r="K175" s="56">
        <f t="shared" ca="1" si="92"/>
        <v>13.990592943718225</v>
      </c>
      <c r="L175" s="56">
        <f t="shared" ca="1" si="92"/>
        <v>47.474185331295573</v>
      </c>
      <c r="M175" s="56">
        <f t="shared" ca="1" si="92"/>
        <v>83.483590649530342</v>
      </c>
      <c r="N175" s="56">
        <f t="shared" ca="1" si="92"/>
        <v>121.39496262201436</v>
      </c>
      <c r="O175" s="56">
        <f t="shared" ca="1" si="92"/>
        <v>161.23503369199383</v>
      </c>
      <c r="P175" s="56">
        <f t="shared" ca="1" si="92"/>
        <v>202.45764057466795</v>
      </c>
      <c r="Q175" s="56">
        <f t="shared" ca="1" si="92"/>
        <v>245.1152308659656</v>
      </c>
      <c r="R175" s="57">
        <f t="shared" ca="1" si="92"/>
        <v>289.17495012123044</v>
      </c>
    </row>
    <row r="176" spans="3:18" ht="16" x14ac:dyDescent="0.2">
      <c r="C176" s="24" t="s">
        <v>43</v>
      </c>
      <c r="D176" s="55">
        <f ca="1">INDIRECT(ADDRESS($D167+6,D$1,4,TRUE,"Heavy Truck"))</f>
        <v>381.81723753110873</v>
      </c>
      <c r="E176" s="56">
        <f t="shared" ref="E176:R176" ca="1" si="93">INDIRECT(ADDRESS($D167+6,E$1,4,TRUE,"Heavy Truck"))</f>
        <v>410.17269428376483</v>
      </c>
      <c r="F176" s="56">
        <f t="shared" ca="1" si="93"/>
        <v>432.02884000366595</v>
      </c>
      <c r="G176" s="56">
        <f t="shared" ca="1" si="93"/>
        <v>444.15135276672709</v>
      </c>
      <c r="H176" s="56">
        <f t="shared" ca="1" si="93"/>
        <v>438.52715852727829</v>
      </c>
      <c r="I176" s="56">
        <f t="shared" ca="1" si="93"/>
        <v>461.06139376698286</v>
      </c>
      <c r="J176" s="56">
        <f t="shared" ca="1" si="93"/>
        <v>446.59338245603811</v>
      </c>
      <c r="K176" s="56">
        <f t="shared" ca="1" si="93"/>
        <v>441.57312939477862</v>
      </c>
      <c r="L176" s="56">
        <f t="shared" ca="1" si="93"/>
        <v>455.39180682638738</v>
      </c>
      <c r="M176" s="56">
        <f t="shared" ca="1" si="93"/>
        <v>468.26193466295149</v>
      </c>
      <c r="N176" s="56">
        <f t="shared" ca="1" si="93"/>
        <v>473.7078507860237</v>
      </c>
      <c r="O176" s="56">
        <f t="shared" ca="1" si="93"/>
        <v>478.60145880866196</v>
      </c>
      <c r="P176" s="56">
        <f t="shared" ca="1" si="93"/>
        <v>481.67238338856623</v>
      </c>
      <c r="Q176" s="56">
        <f t="shared" ca="1" si="93"/>
        <v>484.30171678028887</v>
      </c>
      <c r="R176" s="57">
        <f t="shared" ca="1" si="93"/>
        <v>486.50934834041283</v>
      </c>
    </row>
    <row r="177" spans="3:18" ht="16" x14ac:dyDescent="0.2">
      <c r="C177" s="24" t="s">
        <v>44</v>
      </c>
      <c r="D177" s="55">
        <f ca="1">INDIRECT(ADDRESS($D167+6,D$1,4,TRUE,"Heavy Bus"))</f>
        <v>41.14957598032106</v>
      </c>
      <c r="E177" s="56">
        <f t="shared" ref="E177:R177" ca="1" si="94">INDIRECT(ADDRESS($D167+6,E$1,4,TRUE,"Heavy Bus"))</f>
        <v>43.354328716915184</v>
      </c>
      <c r="F177" s="56">
        <f t="shared" ca="1" si="94"/>
        <v>46.0293653129538</v>
      </c>
      <c r="G177" s="56">
        <f t="shared" ca="1" si="94"/>
        <v>51.014889636037587</v>
      </c>
      <c r="H177" s="56">
        <f t="shared" ca="1" si="94"/>
        <v>53.922018565639881</v>
      </c>
      <c r="I177" s="56">
        <f t="shared" ca="1" si="94"/>
        <v>57.858171543513961</v>
      </c>
      <c r="J177" s="56">
        <f t="shared" ca="1" si="94"/>
        <v>57.723480625387452</v>
      </c>
      <c r="K177" s="56">
        <f t="shared" ca="1" si="94"/>
        <v>62.18883462295608</v>
      </c>
      <c r="L177" s="56">
        <f t="shared" ca="1" si="94"/>
        <v>69.356031204085511</v>
      </c>
      <c r="M177" s="56">
        <f t="shared" ca="1" si="94"/>
        <v>75.528944755188149</v>
      </c>
      <c r="N177" s="56">
        <f t="shared" ca="1" si="94"/>
        <v>82.686340854061086</v>
      </c>
      <c r="O177" s="56">
        <f t="shared" ca="1" si="94"/>
        <v>90.894326012754831</v>
      </c>
      <c r="P177" s="56">
        <f t="shared" ca="1" si="94"/>
        <v>100.93291171895049</v>
      </c>
      <c r="Q177" s="56">
        <f t="shared" ca="1" si="94"/>
        <v>112.5703838707817</v>
      </c>
      <c r="R177" s="57">
        <f t="shared" ca="1" si="94"/>
        <v>126.06140362678785</v>
      </c>
    </row>
    <row r="178" spans="3:18" ht="17" thickBot="1" x14ac:dyDescent="0.25">
      <c r="C178" s="24" t="s">
        <v>42</v>
      </c>
      <c r="D178" s="55">
        <f ca="1">INDIRECT(ADDRESS($D167+6,D$1,4,TRUE,"Motorcycle"))</f>
        <v>52.00251695729056</v>
      </c>
      <c r="E178" s="56">
        <f t="shared" ref="E178:R178" ca="1" si="95">INDIRECT(ADDRESS($D167+6,E$1,4,TRUE,"Motorcycle"))</f>
        <v>53.935598319994213</v>
      </c>
      <c r="F178" s="56">
        <f t="shared" ca="1" si="95"/>
        <v>55.712248212767172</v>
      </c>
      <c r="G178" s="56">
        <f t="shared" ca="1" si="95"/>
        <v>60.045683744487782</v>
      </c>
      <c r="H178" s="56">
        <f t="shared" ca="1" si="95"/>
        <v>57.936037287034118</v>
      </c>
      <c r="I178" s="56">
        <f t="shared" ca="1" si="95"/>
        <v>60.156290286646147</v>
      </c>
      <c r="J178" s="56">
        <f t="shared" ca="1" si="95"/>
        <v>59.425772104514692</v>
      </c>
      <c r="K178" s="56">
        <f t="shared" ca="1" si="95"/>
        <v>63.118579630963339</v>
      </c>
      <c r="L178" s="56">
        <f t="shared" ca="1" si="95"/>
        <v>64.929060305929241</v>
      </c>
      <c r="M178" s="56">
        <f t="shared" ca="1" si="95"/>
        <v>66.169643045599557</v>
      </c>
      <c r="N178" s="56">
        <f t="shared" ca="1" si="95"/>
        <v>66.290356330568599</v>
      </c>
      <c r="O178" s="56">
        <f t="shared" ca="1" si="95"/>
        <v>66.072916537500177</v>
      </c>
      <c r="P178" s="56">
        <f t="shared" ca="1" si="95"/>
        <v>68.214311173289033</v>
      </c>
      <c r="Q178" s="56">
        <f t="shared" ca="1" si="95"/>
        <v>70.203633029984118</v>
      </c>
      <c r="R178" s="57">
        <f t="shared" ca="1" si="95"/>
        <v>72.098248392937492</v>
      </c>
    </row>
    <row r="179" spans="3:18" ht="19" thickTop="1" thickBot="1" x14ac:dyDescent="0.25">
      <c r="C179" s="31" t="s">
        <v>45</v>
      </c>
      <c r="D179" s="61">
        <f ca="1">SUM(D172:D178)</f>
        <v>5283.443051128831</v>
      </c>
      <c r="E179" s="62">
        <f t="shared" ref="E179:R179" ca="1" si="96">SUM(E172:E178)</f>
        <v>5579.8030869436734</v>
      </c>
      <c r="F179" s="62">
        <f t="shared" ca="1" si="96"/>
        <v>5861.4093487973969</v>
      </c>
      <c r="G179" s="62">
        <f t="shared" ca="1" si="96"/>
        <v>6211.0460339385772</v>
      </c>
      <c r="H179" s="62">
        <f t="shared" ca="1" si="96"/>
        <v>6271.9855690169943</v>
      </c>
      <c r="I179" s="62">
        <f t="shared" ca="1" si="96"/>
        <v>6632.6543681867579</v>
      </c>
      <c r="J179" s="62">
        <f t="shared" ca="1" si="96"/>
        <v>6673.2905533953053</v>
      </c>
      <c r="K179" s="62">
        <f t="shared" ca="1" si="96"/>
        <v>7271.0760291846036</v>
      </c>
      <c r="L179" s="62">
        <f t="shared" ca="1" si="96"/>
        <v>7797.5570281165292</v>
      </c>
      <c r="M179" s="62">
        <f t="shared" ca="1" si="96"/>
        <v>8261.3026430915252</v>
      </c>
      <c r="N179" s="62">
        <f t="shared" ca="1" si="96"/>
        <v>8671.7013045277599</v>
      </c>
      <c r="O179" s="62">
        <f t="shared" ca="1" si="96"/>
        <v>9085.2803505383908</v>
      </c>
      <c r="P179" s="62">
        <f t="shared" ca="1" si="96"/>
        <v>9502.8739286202672</v>
      </c>
      <c r="Q179" s="62">
        <f t="shared" ca="1" si="96"/>
        <v>9902.6959465455948</v>
      </c>
      <c r="R179" s="63">
        <f t="shared" ca="1" si="96"/>
        <v>10279.261161002894</v>
      </c>
    </row>
    <row r="180" spans="3:18" ht="14" thickTop="1" x14ac:dyDescent="0.15">
      <c r="M180"/>
      <c r="O180" s="121"/>
    </row>
    <row r="181" spans="3:18" ht="14" thickBot="1" x14ac:dyDescent="0.2">
      <c r="M181"/>
      <c r="O181" s="121"/>
    </row>
    <row r="182" spans="3:18" ht="18" thickTop="1" thickBot="1" x14ac:dyDescent="0.25">
      <c r="C182" s="180" t="str">
        <f ca="1">INDIRECT(ADDRESS(D182+6,3,4,TRUE,"Car+SUV"))</f>
        <v>Otago</v>
      </c>
      <c r="D182" s="182">
        <v>13</v>
      </c>
      <c r="E182" t="s">
        <v>170</v>
      </c>
      <c r="M182"/>
      <c r="O182" s="121"/>
    </row>
    <row r="183" spans="3:18" ht="15" thickTop="1" thickBot="1" x14ac:dyDescent="0.2">
      <c r="M183"/>
      <c r="O183" s="121"/>
    </row>
    <row r="184" spans="3:18" ht="17" thickTop="1" x14ac:dyDescent="0.2">
      <c r="C184" s="32" t="s">
        <v>47</v>
      </c>
      <c r="D184" s="33"/>
      <c r="E184" s="33"/>
      <c r="F184" s="33"/>
      <c r="G184" s="33"/>
      <c r="H184" s="33"/>
      <c r="I184" s="33"/>
      <c r="J184" s="33"/>
      <c r="K184" s="34"/>
      <c r="L184" s="34"/>
      <c r="M184" s="34"/>
      <c r="N184" s="34"/>
      <c r="O184" s="34"/>
      <c r="P184" s="34"/>
      <c r="Q184" s="34"/>
      <c r="R184" s="35"/>
    </row>
    <row r="185" spans="3:18" ht="14" thickBot="1" x14ac:dyDescent="0.2">
      <c r="C185" s="36"/>
      <c r="D185" s="37" t="s">
        <v>25</v>
      </c>
      <c r="E185" s="37" t="s">
        <v>37</v>
      </c>
      <c r="F185" s="37" t="s">
        <v>38</v>
      </c>
      <c r="G185" s="37" t="s">
        <v>177</v>
      </c>
      <c r="H185" s="37" t="s">
        <v>178</v>
      </c>
      <c r="I185" s="37" t="s">
        <v>26</v>
      </c>
      <c r="J185" s="37"/>
      <c r="K185" s="37" t="s">
        <v>27</v>
      </c>
      <c r="L185" s="37" t="s">
        <v>28</v>
      </c>
      <c r="M185" s="37" t="s">
        <v>29</v>
      </c>
      <c r="N185" s="37" t="s">
        <v>30</v>
      </c>
      <c r="O185" s="37" t="s">
        <v>31</v>
      </c>
      <c r="P185" s="37" t="s">
        <v>174</v>
      </c>
      <c r="Q185" s="37" t="s">
        <v>175</v>
      </c>
      <c r="R185" s="38" t="s">
        <v>176</v>
      </c>
    </row>
    <row r="186" spans="3:18" ht="15" thickTop="1" thickBot="1" x14ac:dyDescent="0.2">
      <c r="C186" s="70"/>
      <c r="D186" s="71" t="s">
        <v>39</v>
      </c>
      <c r="E186" s="65" t="s">
        <v>39</v>
      </c>
      <c r="F186" s="65" t="s">
        <v>39</v>
      </c>
      <c r="G186" s="65" t="s">
        <v>39</v>
      </c>
      <c r="H186" s="65" t="s">
        <v>39</v>
      </c>
      <c r="I186" s="65" t="s">
        <v>39</v>
      </c>
      <c r="J186" s="65"/>
      <c r="K186" s="65" t="s">
        <v>32</v>
      </c>
      <c r="L186" s="65" t="s">
        <v>32</v>
      </c>
      <c r="M186" s="65" t="s">
        <v>32</v>
      </c>
      <c r="N186" s="65" t="s">
        <v>32</v>
      </c>
      <c r="O186" s="65" t="s">
        <v>32</v>
      </c>
      <c r="P186" s="65" t="s">
        <v>32</v>
      </c>
      <c r="Q186" s="65" t="s">
        <v>32</v>
      </c>
      <c r="R186" s="66" t="s">
        <v>32</v>
      </c>
    </row>
    <row r="187" spans="3:18" ht="17" thickTop="1" x14ac:dyDescent="0.2">
      <c r="C187" s="24" t="s">
        <v>113</v>
      </c>
      <c r="D187" s="55">
        <f ca="1">INDIRECT(ADDRESS($D182+6,D$1,4,TRUE,"Car+SUV"))-D189</f>
        <v>1549.1034063658033</v>
      </c>
      <c r="E187" s="53">
        <f t="shared" ref="E187:R187" ca="1" si="97">INDIRECT(ADDRESS($D182+6,E$1,4,TRUE,"Car+SUV"))-E189</f>
        <v>1599.9759565561201</v>
      </c>
      <c r="F187" s="53">
        <f t="shared" ca="1" si="97"/>
        <v>1644.1359402634691</v>
      </c>
      <c r="G187" s="53">
        <f t="shared" ca="1" si="97"/>
        <v>1712.7748005874105</v>
      </c>
      <c r="H187" s="53">
        <f t="shared" ca="1" si="97"/>
        <v>1795.3566491103743</v>
      </c>
      <c r="I187" s="53">
        <f t="shared" ca="1" si="97"/>
        <v>1944.3315866754524</v>
      </c>
      <c r="J187" s="53">
        <f t="shared" ca="1" si="97"/>
        <v>1967.1278841915564</v>
      </c>
      <c r="K187" s="53">
        <f t="shared" ca="1" si="97"/>
        <v>2107.0738320188138</v>
      </c>
      <c r="L187" s="53">
        <f t="shared" ca="1" si="97"/>
        <v>2126.0724938487251</v>
      </c>
      <c r="M187" s="53">
        <f t="shared" ca="1" si="97"/>
        <v>2122.7451724915754</v>
      </c>
      <c r="N187" s="53">
        <f t="shared" ca="1" si="97"/>
        <v>2100.4305751249381</v>
      </c>
      <c r="O187" s="53">
        <f t="shared" ca="1" si="97"/>
        <v>2072.8804979600095</v>
      </c>
      <c r="P187" s="53">
        <f t="shared" ca="1" si="97"/>
        <v>2041.0992947041489</v>
      </c>
      <c r="Q187" s="53">
        <f t="shared" ca="1" si="97"/>
        <v>2000.8351580382355</v>
      </c>
      <c r="R187" s="54">
        <f t="shared" ca="1" si="97"/>
        <v>1951.8989430149695</v>
      </c>
    </row>
    <row r="188" spans="3:18" ht="16" x14ac:dyDescent="0.2">
      <c r="C188" s="24" t="s">
        <v>114</v>
      </c>
      <c r="D188" s="55">
        <f ca="1">INDIRECT(ADDRESS($D182+6,D$1,4,TRUE,"Van+Ute"))-D190</f>
        <v>371.14341640859396</v>
      </c>
      <c r="E188" s="56">
        <f t="shared" ref="E188:R188" ca="1" si="98">INDIRECT(ADDRESS($D182+6,E$1,4,TRUE,"Van+Ute"))-E190</f>
        <v>392.44272275523053</v>
      </c>
      <c r="F188" s="56">
        <f t="shared" ca="1" si="98"/>
        <v>423.68723925387201</v>
      </c>
      <c r="G188" s="56">
        <f t="shared" ca="1" si="98"/>
        <v>450.85608276194347</v>
      </c>
      <c r="H188" s="56">
        <f t="shared" ca="1" si="98"/>
        <v>470.35679769540582</v>
      </c>
      <c r="I188" s="56">
        <f t="shared" ca="1" si="98"/>
        <v>534.65990143486056</v>
      </c>
      <c r="J188" s="56">
        <f t="shared" ca="1" si="98"/>
        <v>575.26995436188429</v>
      </c>
      <c r="K188" s="56">
        <f t="shared" ca="1" si="98"/>
        <v>663.8860917993145</v>
      </c>
      <c r="L188" s="56">
        <f t="shared" ca="1" si="98"/>
        <v>701.52845198857187</v>
      </c>
      <c r="M188" s="56">
        <f t="shared" ca="1" si="98"/>
        <v>727.40025310596786</v>
      </c>
      <c r="N188" s="56">
        <f t="shared" ca="1" si="98"/>
        <v>748.44203020814962</v>
      </c>
      <c r="O188" s="56">
        <f t="shared" ca="1" si="98"/>
        <v>770.26422233619178</v>
      </c>
      <c r="P188" s="56">
        <f t="shared" ca="1" si="98"/>
        <v>792.12758939864602</v>
      </c>
      <c r="Q188" s="56">
        <f t="shared" ca="1" si="98"/>
        <v>810.82720898326147</v>
      </c>
      <c r="R188" s="57">
        <f t="shared" ca="1" si="98"/>
        <v>824.94865101531229</v>
      </c>
    </row>
    <row r="189" spans="3:18" ht="16" x14ac:dyDescent="0.2">
      <c r="C189" s="24" t="s">
        <v>115</v>
      </c>
      <c r="D189" s="55">
        <f ca="1">INDIRECT(ADDRESS($D182+130,D$1,4,TRUE,"Car+SUV"))</f>
        <v>17.766310419074774</v>
      </c>
      <c r="E189" s="56">
        <f t="shared" ref="E189:R189" ca="1" si="99">INDIRECT(ADDRESS($D182+130,E$1,4,TRUE,"Car+SUV"))</f>
        <v>18.072894877182335</v>
      </c>
      <c r="F189" s="56">
        <f t="shared" ca="1" si="99"/>
        <v>18.185270146652563</v>
      </c>
      <c r="G189" s="56">
        <f t="shared" ca="1" si="99"/>
        <v>18.159673241310536</v>
      </c>
      <c r="H189" s="56">
        <f t="shared" ca="1" si="99"/>
        <v>20.602668986680616</v>
      </c>
      <c r="I189" s="56">
        <f t="shared" ca="1" si="99"/>
        <v>23.901814892277038</v>
      </c>
      <c r="J189" s="56">
        <f t="shared" ca="1" si="99"/>
        <v>26.481572530101296</v>
      </c>
      <c r="K189" s="56">
        <f t="shared" ca="1" si="99"/>
        <v>30.460553563289452</v>
      </c>
      <c r="L189" s="56">
        <f t="shared" ca="1" si="99"/>
        <v>118.01255584513089</v>
      </c>
      <c r="M189" s="56">
        <f t="shared" ca="1" si="99"/>
        <v>209.54954614714529</v>
      </c>
      <c r="N189" s="56">
        <f t="shared" ca="1" si="99"/>
        <v>303.30535377218024</v>
      </c>
      <c r="O189" s="56">
        <f t="shared" ca="1" si="99"/>
        <v>399.15356318721035</v>
      </c>
      <c r="P189" s="56">
        <f t="shared" ca="1" si="99"/>
        <v>495.72006775912604</v>
      </c>
      <c r="Q189" s="56">
        <f t="shared" ca="1" si="99"/>
        <v>592.89724131830769</v>
      </c>
      <c r="R189" s="57">
        <f t="shared" ca="1" si="99"/>
        <v>690.5316313569574</v>
      </c>
    </row>
    <row r="190" spans="3:18" ht="16" x14ac:dyDescent="0.2">
      <c r="C190" s="24" t="s">
        <v>116</v>
      </c>
      <c r="D190" s="55">
        <f ca="1">INDIRECT(ADDRESS($D182+130,D$1,4,TRUE,"Van+Ute"))</f>
        <v>8.8852847822872576</v>
      </c>
      <c r="E190" s="56">
        <f t="shared" ref="E190:R190" ca="1" si="100">INDIRECT(ADDRESS($D182+130,E$1,4,TRUE,"Van+Ute"))</f>
        <v>9.4565840599050173</v>
      </c>
      <c r="F190" s="56">
        <f t="shared" ca="1" si="100"/>
        <v>9.9130153199018984</v>
      </c>
      <c r="G190" s="56">
        <f t="shared" ca="1" si="100"/>
        <v>10.181114355663841</v>
      </c>
      <c r="H190" s="56">
        <f t="shared" ca="1" si="100"/>
        <v>11.211403017097737</v>
      </c>
      <c r="I190" s="56">
        <f t="shared" ca="1" si="100"/>
        <v>12.818022248196002</v>
      </c>
      <c r="J190" s="56">
        <f t="shared" ca="1" si="100"/>
        <v>13.438252455677342</v>
      </c>
      <c r="K190" s="56">
        <f t="shared" ca="1" si="100"/>
        <v>15.457413197719942</v>
      </c>
      <c r="L190" s="56">
        <f t="shared" ca="1" si="100"/>
        <v>33.341917190933572</v>
      </c>
      <c r="M190" s="56">
        <f t="shared" ca="1" si="100"/>
        <v>51.869584869917361</v>
      </c>
      <c r="N190" s="56">
        <f t="shared" ca="1" si="100"/>
        <v>70.820946133478259</v>
      </c>
      <c r="O190" s="56">
        <f t="shared" ca="1" si="100"/>
        <v>90.294988621885651</v>
      </c>
      <c r="P190" s="56">
        <f t="shared" ca="1" si="100"/>
        <v>109.72715720337354</v>
      </c>
      <c r="Q190" s="56">
        <f t="shared" ca="1" si="100"/>
        <v>129.39338213360253</v>
      </c>
      <c r="R190" s="57">
        <f t="shared" ca="1" si="100"/>
        <v>149.28499994646151</v>
      </c>
    </row>
    <row r="191" spans="3:18" ht="16" x14ac:dyDescent="0.2">
      <c r="C191" s="24" t="s">
        <v>43</v>
      </c>
      <c r="D191" s="55">
        <f ca="1">INDIRECT(ADDRESS($D182+6,D$1,4,TRUE,"Heavy Truck"))</f>
        <v>135.01202074409633</v>
      </c>
      <c r="E191" s="56">
        <f t="shared" ref="E191:R191" ca="1" si="101">INDIRECT(ADDRESS($D182+6,E$1,4,TRUE,"Heavy Truck"))</f>
        <v>139.58455031725936</v>
      </c>
      <c r="F191" s="56">
        <f t="shared" ca="1" si="101"/>
        <v>147.91666617185348</v>
      </c>
      <c r="G191" s="56">
        <f t="shared" ca="1" si="101"/>
        <v>149.29002963131651</v>
      </c>
      <c r="H191" s="56">
        <f t="shared" ca="1" si="101"/>
        <v>150.45720998322528</v>
      </c>
      <c r="I191" s="56">
        <f t="shared" ca="1" si="101"/>
        <v>156.62490771933028</v>
      </c>
      <c r="J191" s="56">
        <f t="shared" ca="1" si="101"/>
        <v>162.19786403904789</v>
      </c>
      <c r="K191" s="56">
        <f t="shared" ca="1" si="101"/>
        <v>165.86374465802899</v>
      </c>
      <c r="L191" s="56">
        <f t="shared" ca="1" si="101"/>
        <v>170.27882008004099</v>
      </c>
      <c r="M191" s="56">
        <f t="shared" ca="1" si="101"/>
        <v>174.37580118132078</v>
      </c>
      <c r="N191" s="56">
        <f t="shared" ca="1" si="101"/>
        <v>175.50778078104906</v>
      </c>
      <c r="O191" s="56">
        <f t="shared" ca="1" si="101"/>
        <v>176.47822352433425</v>
      </c>
      <c r="P191" s="56">
        <f t="shared" ca="1" si="101"/>
        <v>177.54698420250025</v>
      </c>
      <c r="Q191" s="56">
        <f t="shared" ca="1" si="101"/>
        <v>178.45604676603864</v>
      </c>
      <c r="R191" s="57">
        <f t="shared" ca="1" si="101"/>
        <v>179.2126294161265</v>
      </c>
    </row>
    <row r="192" spans="3:18" ht="16" x14ac:dyDescent="0.2">
      <c r="C192" s="24" t="s">
        <v>44</v>
      </c>
      <c r="D192" s="55">
        <f ca="1">INDIRECT(ADDRESS($D182+6,D$1,4,TRUE,"Heavy Bus"))</f>
        <v>18.743958770408213</v>
      </c>
      <c r="E192" s="56">
        <f t="shared" ref="E192:R192" ca="1" si="102">INDIRECT(ADDRESS($D182+6,E$1,4,TRUE,"Heavy Bus"))</f>
        <v>19.524385446445841</v>
      </c>
      <c r="F192" s="56">
        <f t="shared" ca="1" si="102"/>
        <v>20.014483270765375</v>
      </c>
      <c r="G192" s="56">
        <f t="shared" ca="1" si="102"/>
        <v>19.622089713548924</v>
      </c>
      <c r="H192" s="56">
        <f t="shared" ca="1" si="102"/>
        <v>21.073427945817279</v>
      </c>
      <c r="I192" s="56">
        <f t="shared" ca="1" si="102"/>
        <v>26.091793300184566</v>
      </c>
      <c r="J192" s="56">
        <f t="shared" ca="1" si="102"/>
        <v>27.135640909553725</v>
      </c>
      <c r="K192" s="56">
        <f t="shared" ca="1" si="102"/>
        <v>30.325747115476133</v>
      </c>
      <c r="L192" s="56">
        <f t="shared" ca="1" si="102"/>
        <v>34.813095824914527</v>
      </c>
      <c r="M192" s="56">
        <f t="shared" ca="1" si="102"/>
        <v>38.968907134213545</v>
      </c>
      <c r="N192" s="56">
        <f t="shared" ca="1" si="102"/>
        <v>43.912886738179083</v>
      </c>
      <c r="O192" s="56">
        <f t="shared" ca="1" si="102"/>
        <v>49.636034446937316</v>
      </c>
      <c r="P192" s="56">
        <f t="shared" ca="1" si="102"/>
        <v>56.531822918452782</v>
      </c>
      <c r="Q192" s="56">
        <f t="shared" ca="1" si="102"/>
        <v>64.491498101875052</v>
      </c>
      <c r="R192" s="57">
        <f t="shared" ca="1" si="102"/>
        <v>73.694637722761726</v>
      </c>
    </row>
    <row r="193" spans="3:18" ht="17" thickBot="1" x14ac:dyDescent="0.25">
      <c r="C193" s="24" t="s">
        <v>42</v>
      </c>
      <c r="D193" s="55">
        <f ca="1">INDIRECT(ADDRESS($D182+6,D$1,4,TRUE,"Motorcycle"))</f>
        <v>19.627457343040088</v>
      </c>
      <c r="E193" s="56">
        <f t="shared" ref="E193:R193" ca="1" si="103">INDIRECT(ADDRESS($D182+6,E$1,4,TRUE,"Motorcycle"))</f>
        <v>20.264450172404157</v>
      </c>
      <c r="F193" s="56">
        <f t="shared" ca="1" si="103"/>
        <v>20.487101994423131</v>
      </c>
      <c r="G193" s="56">
        <f t="shared" ca="1" si="103"/>
        <v>21.306066673350525</v>
      </c>
      <c r="H193" s="56">
        <f t="shared" ca="1" si="103"/>
        <v>19.901364309339975</v>
      </c>
      <c r="I193" s="56">
        <f t="shared" ca="1" si="103"/>
        <v>21.842969450894522</v>
      </c>
      <c r="J193" s="56">
        <f t="shared" ca="1" si="103"/>
        <v>21.977519388642058</v>
      </c>
      <c r="K193" s="56">
        <f t="shared" ca="1" si="103"/>
        <v>22.986137000407258</v>
      </c>
      <c r="L193" s="56">
        <f t="shared" ca="1" si="103"/>
        <v>23.262552722419944</v>
      </c>
      <c r="M193" s="56">
        <f t="shared" ca="1" si="103"/>
        <v>23.333207752873243</v>
      </c>
      <c r="N193" s="56">
        <f t="shared" ca="1" si="103"/>
        <v>23.021247725421127</v>
      </c>
      <c r="O193" s="56">
        <f t="shared" ca="1" si="103"/>
        <v>22.602865440410064</v>
      </c>
      <c r="P193" s="56">
        <f t="shared" ca="1" si="103"/>
        <v>22.98672167842691</v>
      </c>
      <c r="Q193" s="56">
        <f t="shared" ca="1" si="103"/>
        <v>23.303579990501106</v>
      </c>
      <c r="R193" s="57">
        <f t="shared" ca="1" si="103"/>
        <v>23.574868991453819</v>
      </c>
    </row>
    <row r="194" spans="3:18" ht="19" thickTop="1" thickBot="1" x14ac:dyDescent="0.25">
      <c r="C194" s="31" t="s">
        <v>45</v>
      </c>
      <c r="D194" s="61">
        <f ca="1">SUM(D187:D193)</f>
        <v>2120.2818548333039</v>
      </c>
      <c r="E194" s="62">
        <f t="shared" ref="E194:R194" ca="1" si="104">SUM(E187:E193)</f>
        <v>2199.3215441845468</v>
      </c>
      <c r="F194" s="62">
        <f t="shared" ca="1" si="104"/>
        <v>2284.3397164209382</v>
      </c>
      <c r="G194" s="62">
        <f t="shared" ca="1" si="104"/>
        <v>2382.1898569645441</v>
      </c>
      <c r="H194" s="62">
        <f t="shared" ca="1" si="104"/>
        <v>2488.9595210479415</v>
      </c>
      <c r="I194" s="62">
        <f t="shared" ca="1" si="104"/>
        <v>2720.2709957211955</v>
      </c>
      <c r="J194" s="62">
        <f t="shared" ca="1" si="104"/>
        <v>2793.6286878764631</v>
      </c>
      <c r="K194" s="62">
        <f t="shared" ca="1" si="104"/>
        <v>3036.0535193530504</v>
      </c>
      <c r="L194" s="62">
        <f t="shared" ca="1" si="104"/>
        <v>3207.3098875007367</v>
      </c>
      <c r="M194" s="62">
        <f t="shared" ca="1" si="104"/>
        <v>3348.2424726830131</v>
      </c>
      <c r="N194" s="62">
        <f t="shared" ca="1" si="104"/>
        <v>3465.4408204833953</v>
      </c>
      <c r="O194" s="62">
        <f t="shared" ca="1" si="104"/>
        <v>3581.3103955169786</v>
      </c>
      <c r="P194" s="62">
        <f t="shared" ca="1" si="104"/>
        <v>3695.7396378646745</v>
      </c>
      <c r="Q194" s="62">
        <f t="shared" ca="1" si="104"/>
        <v>3800.2041153318219</v>
      </c>
      <c r="R194" s="63">
        <f t="shared" ca="1" si="104"/>
        <v>3893.1463614640434</v>
      </c>
    </row>
    <row r="195" spans="3:18" ht="14" thickTop="1" x14ac:dyDescent="0.15">
      <c r="M195"/>
      <c r="O195" s="121"/>
    </row>
    <row r="196" spans="3:18" ht="14" thickBot="1" x14ac:dyDescent="0.2">
      <c r="M196"/>
      <c r="O196" s="121"/>
    </row>
    <row r="197" spans="3:18" ht="18" thickTop="1" thickBot="1" x14ac:dyDescent="0.25">
      <c r="C197" s="180" t="str">
        <f ca="1">INDIRECT(ADDRESS(D197+6,3,4,TRUE,"Car+SUV"))</f>
        <v>Southland</v>
      </c>
      <c r="D197" s="182">
        <v>14</v>
      </c>
      <c r="E197" t="s">
        <v>170</v>
      </c>
      <c r="M197"/>
      <c r="O197" s="121"/>
    </row>
    <row r="198" spans="3:18" ht="15" thickTop="1" thickBot="1" x14ac:dyDescent="0.2">
      <c r="M198"/>
      <c r="O198" s="121"/>
    </row>
    <row r="199" spans="3:18" ht="17" thickTop="1" x14ac:dyDescent="0.2">
      <c r="C199" s="32" t="s">
        <v>47</v>
      </c>
      <c r="D199" s="33"/>
      <c r="E199" s="33"/>
      <c r="F199" s="33"/>
      <c r="G199" s="33"/>
      <c r="H199" s="33"/>
      <c r="I199" s="33"/>
      <c r="J199" s="33"/>
      <c r="K199" s="34"/>
      <c r="L199" s="34"/>
      <c r="M199" s="34"/>
      <c r="N199" s="34"/>
      <c r="O199" s="34"/>
      <c r="P199" s="34"/>
      <c r="Q199" s="34"/>
      <c r="R199" s="35"/>
    </row>
    <row r="200" spans="3:18" ht="14" thickBot="1" x14ac:dyDescent="0.2">
      <c r="C200" s="36"/>
      <c r="D200" s="37" t="s">
        <v>25</v>
      </c>
      <c r="E200" s="37" t="s">
        <v>37</v>
      </c>
      <c r="F200" s="37" t="s">
        <v>38</v>
      </c>
      <c r="G200" s="37" t="s">
        <v>177</v>
      </c>
      <c r="H200" s="37" t="s">
        <v>178</v>
      </c>
      <c r="I200" s="37" t="s">
        <v>26</v>
      </c>
      <c r="J200" s="37"/>
      <c r="K200" s="37" t="s">
        <v>27</v>
      </c>
      <c r="L200" s="37" t="s">
        <v>28</v>
      </c>
      <c r="M200" s="37" t="s">
        <v>29</v>
      </c>
      <c r="N200" s="37" t="s">
        <v>30</v>
      </c>
      <c r="O200" s="37" t="s">
        <v>31</v>
      </c>
      <c r="P200" s="37" t="s">
        <v>174</v>
      </c>
      <c r="Q200" s="37" t="s">
        <v>175</v>
      </c>
      <c r="R200" s="38" t="s">
        <v>176</v>
      </c>
    </row>
    <row r="201" spans="3:18" ht="15" thickTop="1" thickBot="1" x14ac:dyDescent="0.2">
      <c r="C201" s="70"/>
      <c r="D201" s="71" t="s">
        <v>39</v>
      </c>
      <c r="E201" s="65" t="s">
        <v>39</v>
      </c>
      <c r="F201" s="65" t="s">
        <v>39</v>
      </c>
      <c r="G201" s="65" t="s">
        <v>39</v>
      </c>
      <c r="H201" s="65" t="s">
        <v>39</v>
      </c>
      <c r="I201" s="65" t="s">
        <v>39</v>
      </c>
      <c r="J201" s="65"/>
      <c r="K201" s="65" t="s">
        <v>32</v>
      </c>
      <c r="L201" s="65" t="s">
        <v>32</v>
      </c>
      <c r="M201" s="65" t="s">
        <v>32</v>
      </c>
      <c r="N201" s="65" t="s">
        <v>32</v>
      </c>
      <c r="O201" s="65" t="s">
        <v>32</v>
      </c>
      <c r="P201" s="65" t="s">
        <v>32</v>
      </c>
      <c r="Q201" s="65" t="s">
        <v>32</v>
      </c>
      <c r="R201" s="66" t="s">
        <v>32</v>
      </c>
    </row>
    <row r="202" spans="3:18" ht="17" thickTop="1" x14ac:dyDescent="0.2">
      <c r="C202" s="24" t="s">
        <v>113</v>
      </c>
      <c r="D202" s="55">
        <f ca="1">INDIRECT(ADDRESS($D197+6,D$1,4,TRUE,"Car+SUV"))-D204</f>
        <v>738.63755073323932</v>
      </c>
      <c r="E202" s="53">
        <f t="shared" ref="E202:R202" ca="1" si="105">INDIRECT(ADDRESS($D197+6,E$1,4,TRUE,"Car+SUV"))-E204</f>
        <v>751.20535543602603</v>
      </c>
      <c r="F202" s="53">
        <f t="shared" ca="1" si="105"/>
        <v>719.39840309846579</v>
      </c>
      <c r="G202" s="53">
        <f t="shared" ca="1" si="105"/>
        <v>806.28727991360029</v>
      </c>
      <c r="H202" s="53">
        <f t="shared" ca="1" si="105"/>
        <v>821.6016174238207</v>
      </c>
      <c r="I202" s="53">
        <f t="shared" ca="1" si="105"/>
        <v>837.08511757369058</v>
      </c>
      <c r="J202" s="53">
        <f t="shared" ca="1" si="105"/>
        <v>903.67584091130573</v>
      </c>
      <c r="K202" s="53">
        <f t="shared" ca="1" si="105"/>
        <v>930.10573659361341</v>
      </c>
      <c r="L202" s="53">
        <f t="shared" ca="1" si="105"/>
        <v>907.17911525791442</v>
      </c>
      <c r="M202" s="53">
        <f t="shared" ca="1" si="105"/>
        <v>877.03465634884219</v>
      </c>
      <c r="N202" s="53">
        <f t="shared" ca="1" si="105"/>
        <v>838.99896498391604</v>
      </c>
      <c r="O202" s="53">
        <f t="shared" ca="1" si="105"/>
        <v>799.54508345084037</v>
      </c>
      <c r="P202" s="53">
        <f t="shared" ca="1" si="105"/>
        <v>759.41114991373797</v>
      </c>
      <c r="Q202" s="53">
        <f t="shared" ca="1" si="105"/>
        <v>717.58755936147031</v>
      </c>
      <c r="R202" s="54">
        <f t="shared" ca="1" si="105"/>
        <v>674.54596586273249</v>
      </c>
    </row>
    <row r="203" spans="3:18" ht="16" x14ac:dyDescent="0.2">
      <c r="C203" s="24" t="s">
        <v>114</v>
      </c>
      <c r="D203" s="55">
        <f ca="1">INDIRECT(ADDRESS($D197+6,D$1,4,TRUE,"Van+Ute"))-D205</f>
        <v>237.84146944211935</v>
      </c>
      <c r="E203" s="56">
        <f t="shared" ref="E203:R203" ca="1" si="106">INDIRECT(ADDRESS($D197+6,E$1,4,TRUE,"Van+Ute"))-E205</f>
        <v>253.13560768494196</v>
      </c>
      <c r="F203" s="56">
        <f t="shared" ca="1" si="106"/>
        <v>254.96941306398531</v>
      </c>
      <c r="G203" s="56">
        <f t="shared" ca="1" si="106"/>
        <v>289.25472804388829</v>
      </c>
      <c r="H203" s="56">
        <f t="shared" ca="1" si="106"/>
        <v>303.32963623517821</v>
      </c>
      <c r="I203" s="56">
        <f t="shared" ca="1" si="106"/>
        <v>325.03802096624867</v>
      </c>
      <c r="J203" s="56">
        <f t="shared" ca="1" si="106"/>
        <v>366.41252926446532</v>
      </c>
      <c r="K203" s="56">
        <f t="shared" ca="1" si="106"/>
        <v>397.01942911154384</v>
      </c>
      <c r="L203" s="56">
        <f t="shared" ca="1" si="106"/>
        <v>406.51784525510436</v>
      </c>
      <c r="M203" s="56">
        <f t="shared" ca="1" si="106"/>
        <v>409.24525157912944</v>
      </c>
      <c r="N203" s="56">
        <f t="shared" ca="1" si="106"/>
        <v>408.52463944987653</v>
      </c>
      <c r="O203" s="56">
        <f t="shared" ca="1" si="106"/>
        <v>407.84679497175512</v>
      </c>
      <c r="P203" s="56">
        <f t="shared" ca="1" si="106"/>
        <v>406.86624930288593</v>
      </c>
      <c r="Q203" s="56">
        <f t="shared" ca="1" si="106"/>
        <v>404.11506781265234</v>
      </c>
      <c r="R203" s="57">
        <f t="shared" ca="1" si="106"/>
        <v>399.12314875178129</v>
      </c>
    </row>
    <row r="204" spans="3:18" ht="16" x14ac:dyDescent="0.2">
      <c r="C204" s="24" t="s">
        <v>115</v>
      </c>
      <c r="D204" s="55">
        <f ca="1">INDIRECT(ADDRESS($D197+130,D$1,4,TRUE,"Car+SUV"))</f>
        <v>2.5661029971918534</v>
      </c>
      <c r="E204" s="56">
        <f t="shared" ref="E204:R204" ca="1" si="107">INDIRECT(ADDRESS($D197+130,E$1,4,TRUE,"Car+SUV"))</f>
        <v>2.5744664490356262</v>
      </c>
      <c r="F204" s="56">
        <f t="shared" ca="1" si="107"/>
        <v>2.5363372542740827</v>
      </c>
      <c r="G204" s="56">
        <f t="shared" ca="1" si="107"/>
        <v>2.8248514415350829</v>
      </c>
      <c r="H204" s="56">
        <f t="shared" ca="1" si="107"/>
        <v>3.0957175275153377</v>
      </c>
      <c r="I204" s="56">
        <f t="shared" ca="1" si="107"/>
        <v>3.0481773559588072</v>
      </c>
      <c r="J204" s="56">
        <f t="shared" ca="1" si="107"/>
        <v>3.5591315491082316</v>
      </c>
      <c r="K204" s="56">
        <f t="shared" ca="1" si="107"/>
        <v>3.9932664838613947</v>
      </c>
      <c r="L204" s="56">
        <f t="shared" ca="1" si="107"/>
        <v>41.403897009204506</v>
      </c>
      <c r="M204" s="56">
        <f t="shared" ca="1" si="107"/>
        <v>78.96910127677387</v>
      </c>
      <c r="N204" s="56">
        <f t="shared" ca="1" si="107"/>
        <v>115.68724717279095</v>
      </c>
      <c r="O204" s="56">
        <f t="shared" ca="1" si="107"/>
        <v>151.44003451237</v>
      </c>
      <c r="P204" s="56">
        <f t="shared" ca="1" si="107"/>
        <v>185.95369601332914</v>
      </c>
      <c r="Q204" s="56">
        <f t="shared" ca="1" si="107"/>
        <v>218.9543584559905</v>
      </c>
      <c r="R204" s="57">
        <f t="shared" ca="1" si="107"/>
        <v>250.4199029734649</v>
      </c>
    </row>
    <row r="205" spans="3:18" ht="16" x14ac:dyDescent="0.2">
      <c r="C205" s="24" t="s">
        <v>116</v>
      </c>
      <c r="D205" s="55">
        <f ca="1">INDIRECT(ADDRESS($D197+130,D$1,4,TRUE,"Van+Ute"))</f>
        <v>1.9999256891387558</v>
      </c>
      <c r="E205" s="56">
        <f t="shared" ref="E205:R205" ca="1" si="108">INDIRECT(ADDRESS($D197+130,E$1,4,TRUE,"Van+Ute"))</f>
        <v>1.9867663960138944</v>
      </c>
      <c r="F205" s="56">
        <f t="shared" ca="1" si="108"/>
        <v>1.7398331203081547</v>
      </c>
      <c r="G205" s="56">
        <f t="shared" ca="1" si="108"/>
        <v>2.1484549810517803</v>
      </c>
      <c r="H205" s="56">
        <f t="shared" ca="1" si="108"/>
        <v>2.2566842768752626</v>
      </c>
      <c r="I205" s="56">
        <f t="shared" ca="1" si="108"/>
        <v>2.4005987009255754</v>
      </c>
      <c r="J205" s="56">
        <f t="shared" ca="1" si="108"/>
        <v>2.6202091836468839</v>
      </c>
      <c r="K205" s="56">
        <f t="shared" ca="1" si="108"/>
        <v>2.9398164606713015</v>
      </c>
      <c r="L205" s="56">
        <f t="shared" ca="1" si="108"/>
        <v>13.035599141716922</v>
      </c>
      <c r="M205" s="56">
        <f t="shared" ca="1" si="108"/>
        <v>23.146189977403317</v>
      </c>
      <c r="N205" s="56">
        <f t="shared" ca="1" si="108"/>
        <v>33.030854981906252</v>
      </c>
      <c r="O205" s="56">
        <f t="shared" ca="1" si="108"/>
        <v>42.682391087229277</v>
      </c>
      <c r="P205" s="56">
        <f t="shared" ca="1" si="108"/>
        <v>51.977869938168055</v>
      </c>
      <c r="Q205" s="56">
        <f t="shared" ca="1" si="108"/>
        <v>60.897817045144123</v>
      </c>
      <c r="R205" s="57">
        <f t="shared" ca="1" si="108"/>
        <v>69.44097263993244</v>
      </c>
    </row>
    <row r="206" spans="3:18" ht="16" x14ac:dyDescent="0.2">
      <c r="C206" s="24" t="s">
        <v>43</v>
      </c>
      <c r="D206" s="55">
        <f ca="1">INDIRECT(ADDRESS($D197+6,D$1,4,TRUE,"Heavy Truck"))</f>
        <v>96.966901647804377</v>
      </c>
      <c r="E206" s="56">
        <f t="shared" ref="E206:R206" ca="1" si="109">INDIRECT(ADDRESS($D197+6,E$1,4,TRUE,"Heavy Truck"))</f>
        <v>101.5350793421801</v>
      </c>
      <c r="F206" s="56">
        <f t="shared" ca="1" si="109"/>
        <v>101.18252022580538</v>
      </c>
      <c r="G206" s="56">
        <f t="shared" ca="1" si="109"/>
        <v>113.26364560172489</v>
      </c>
      <c r="H206" s="56">
        <f t="shared" ca="1" si="109"/>
        <v>114.5199435578987</v>
      </c>
      <c r="I206" s="56">
        <f t="shared" ca="1" si="109"/>
        <v>116.48228622147489</v>
      </c>
      <c r="J206" s="56">
        <f t="shared" ca="1" si="109"/>
        <v>128.27535960407803</v>
      </c>
      <c r="K206" s="56">
        <f t="shared" ca="1" si="109"/>
        <v>129.17344189152013</v>
      </c>
      <c r="L206" s="56">
        <f t="shared" ca="1" si="109"/>
        <v>128.18200955191057</v>
      </c>
      <c r="M206" s="56">
        <f t="shared" ca="1" si="109"/>
        <v>127.16105672050216</v>
      </c>
      <c r="N206" s="56">
        <f t="shared" ca="1" si="109"/>
        <v>125.78258875599336</v>
      </c>
      <c r="O206" s="56">
        <f t="shared" ca="1" si="109"/>
        <v>124.39488587805845</v>
      </c>
      <c r="P206" s="56">
        <f t="shared" ca="1" si="109"/>
        <v>123.79858489147477</v>
      </c>
      <c r="Q206" s="56">
        <f t="shared" ca="1" si="109"/>
        <v>123.15619846190411</v>
      </c>
      <c r="R206" s="57">
        <f t="shared" ca="1" si="109"/>
        <v>122.4703584152147</v>
      </c>
    </row>
    <row r="207" spans="3:18" ht="16" x14ac:dyDescent="0.2">
      <c r="C207" s="24" t="s">
        <v>44</v>
      </c>
      <c r="D207" s="55">
        <f ca="1">INDIRECT(ADDRESS($D197+6,D$1,4,TRUE,"Heavy Bus"))</f>
        <v>7.914409359205445</v>
      </c>
      <c r="E207" s="56">
        <f t="shared" ref="E207:R207" ca="1" si="110">INDIRECT(ADDRESS($D197+6,E$1,4,TRUE,"Heavy Bus"))</f>
        <v>7.5288576503770077</v>
      </c>
      <c r="F207" s="56">
        <f t="shared" ca="1" si="110"/>
        <v>7.4791478762437498</v>
      </c>
      <c r="G207" s="56">
        <f t="shared" ca="1" si="110"/>
        <v>8.9255936143670827</v>
      </c>
      <c r="H207" s="56">
        <f t="shared" ca="1" si="110"/>
        <v>8.4445767328455812</v>
      </c>
      <c r="I207" s="56">
        <f t="shared" ca="1" si="110"/>
        <v>8.7271411951811011</v>
      </c>
      <c r="J207" s="56">
        <f t="shared" ca="1" si="110"/>
        <v>9.4768398644300493</v>
      </c>
      <c r="K207" s="56">
        <f t="shared" ca="1" si="110"/>
        <v>10.381080022490732</v>
      </c>
      <c r="L207" s="56">
        <f t="shared" ca="1" si="110"/>
        <v>11.710695131370816</v>
      </c>
      <c r="M207" s="56">
        <f t="shared" ca="1" si="110"/>
        <v>12.930833639043126</v>
      </c>
      <c r="N207" s="56">
        <f t="shared" ca="1" si="110"/>
        <v>14.410324781307944</v>
      </c>
      <c r="O207" s="56">
        <f t="shared" ca="1" si="110"/>
        <v>16.13745009266799</v>
      </c>
      <c r="P207" s="56">
        <f t="shared" ca="1" si="110"/>
        <v>18.253411639459543</v>
      </c>
      <c r="Q207" s="56">
        <f t="shared" ca="1" si="110"/>
        <v>20.703317978942117</v>
      </c>
      <c r="R207" s="57">
        <f t="shared" ca="1" si="110"/>
        <v>23.544620306129413</v>
      </c>
    </row>
    <row r="208" spans="3:18" ht="17" thickBot="1" x14ac:dyDescent="0.25">
      <c r="C208" s="24" t="s">
        <v>42</v>
      </c>
      <c r="D208" s="55">
        <f ca="1">INDIRECT(ADDRESS($D197+6,D$1,4,TRUE,"Motorcycle"))</f>
        <v>8.4069565937113993</v>
      </c>
      <c r="E208" s="56">
        <f t="shared" ref="E208:R208" ca="1" si="111">INDIRECT(ADDRESS($D197+6,E$1,4,TRUE,"Motorcycle"))</f>
        <v>8.3813963296353666</v>
      </c>
      <c r="F208" s="56">
        <f t="shared" ca="1" si="111"/>
        <v>7.8984877300179157</v>
      </c>
      <c r="G208" s="56">
        <f t="shared" ca="1" si="111"/>
        <v>8.8635508086328034</v>
      </c>
      <c r="H208" s="56">
        <f t="shared" ca="1" si="111"/>
        <v>9.1486434791888858</v>
      </c>
      <c r="I208" s="56">
        <f t="shared" ca="1" si="111"/>
        <v>9.0584146357509674</v>
      </c>
      <c r="J208" s="56">
        <f t="shared" ca="1" si="111"/>
        <v>9.6164287900135363</v>
      </c>
      <c r="K208" s="56">
        <f t="shared" ca="1" si="111"/>
        <v>9.78103129781109</v>
      </c>
      <c r="L208" s="56">
        <f t="shared" ca="1" si="111"/>
        <v>9.6734670805980016</v>
      </c>
      <c r="M208" s="56">
        <f t="shared" ca="1" si="111"/>
        <v>9.4840163131095228</v>
      </c>
      <c r="N208" s="56">
        <f t="shared" ca="1" si="111"/>
        <v>9.1394529098815944</v>
      </c>
      <c r="O208" s="56">
        <f t="shared" ca="1" si="111"/>
        <v>8.7656817503774143</v>
      </c>
      <c r="P208" s="56">
        <f t="shared" ca="1" si="111"/>
        <v>8.7082340876746436</v>
      </c>
      <c r="Q208" s="56">
        <f t="shared" ca="1" si="111"/>
        <v>8.6239565492268433</v>
      </c>
      <c r="R208" s="57">
        <f t="shared" ca="1" si="111"/>
        <v>8.5224421416421094</v>
      </c>
    </row>
    <row r="209" spans="3:18" ht="19" thickTop="1" thickBot="1" x14ac:dyDescent="0.25">
      <c r="C209" s="31" t="s">
        <v>45</v>
      </c>
      <c r="D209" s="61">
        <f ca="1">SUM(D202:D208)</f>
        <v>1094.3333164624103</v>
      </c>
      <c r="E209" s="62">
        <f t="shared" ref="E209:R209" ca="1" si="112">SUM(E202:E208)</f>
        <v>1126.3475292882099</v>
      </c>
      <c r="F209" s="62">
        <f t="shared" ca="1" si="112"/>
        <v>1095.2041423691005</v>
      </c>
      <c r="G209" s="62">
        <f t="shared" ca="1" si="112"/>
        <v>1231.5681044048001</v>
      </c>
      <c r="H209" s="62">
        <f t="shared" ca="1" si="112"/>
        <v>1262.3968192333227</v>
      </c>
      <c r="I209" s="62">
        <f t="shared" ca="1" si="112"/>
        <v>1301.8397566492306</v>
      </c>
      <c r="J209" s="62">
        <f t="shared" ca="1" si="112"/>
        <v>1423.6363391670479</v>
      </c>
      <c r="K209" s="62">
        <f t="shared" ca="1" si="112"/>
        <v>1483.393801861512</v>
      </c>
      <c r="L209" s="62">
        <f t="shared" ca="1" si="112"/>
        <v>1517.7026284278195</v>
      </c>
      <c r="M209" s="62">
        <f t="shared" ca="1" si="112"/>
        <v>1537.9711058548037</v>
      </c>
      <c r="N209" s="62">
        <f t="shared" ca="1" si="112"/>
        <v>1545.5740730356727</v>
      </c>
      <c r="O209" s="62">
        <f t="shared" ca="1" si="112"/>
        <v>1550.8123217432983</v>
      </c>
      <c r="P209" s="62">
        <f t="shared" ca="1" si="112"/>
        <v>1554.9691957867301</v>
      </c>
      <c r="Q209" s="62">
        <f t="shared" ca="1" si="112"/>
        <v>1554.0382756653305</v>
      </c>
      <c r="R209" s="63">
        <f t="shared" ca="1" si="112"/>
        <v>1548.0674110908972</v>
      </c>
    </row>
    <row r="210" spans="3:18" ht="14" thickTop="1" x14ac:dyDescent="0.15">
      <c r="M210"/>
      <c r="O210" s="121"/>
    </row>
    <row r="211" spans="3:18" ht="14" thickBot="1" x14ac:dyDescent="0.2">
      <c r="M211"/>
      <c r="O211" s="121"/>
    </row>
    <row r="212" spans="3:18" ht="18" thickTop="1" thickBot="1" x14ac:dyDescent="0.25">
      <c r="C212" s="180" t="s">
        <v>171</v>
      </c>
      <c r="D212" s="182"/>
      <c r="M212"/>
      <c r="O212" s="121"/>
    </row>
    <row r="213" spans="3:18" ht="15" thickTop="1" thickBot="1" x14ac:dyDescent="0.2">
      <c r="M213"/>
      <c r="O213" s="121"/>
    </row>
    <row r="214" spans="3:18" ht="17" thickTop="1" x14ac:dyDescent="0.2">
      <c r="C214" s="32" t="s">
        <v>47</v>
      </c>
      <c r="D214" s="33"/>
      <c r="E214" s="33"/>
      <c r="F214" s="33"/>
      <c r="G214" s="33"/>
      <c r="H214" s="33"/>
      <c r="I214" s="33"/>
      <c r="J214" s="33"/>
      <c r="K214" s="34"/>
      <c r="L214" s="34"/>
      <c r="M214" s="34"/>
      <c r="N214" s="34"/>
      <c r="O214" s="34"/>
      <c r="P214" s="34"/>
      <c r="Q214" s="34"/>
      <c r="R214" s="35"/>
    </row>
    <row r="215" spans="3:18" ht="14" thickBot="1" x14ac:dyDescent="0.2">
      <c r="C215" s="36"/>
      <c r="D215" s="37" t="s">
        <v>25</v>
      </c>
      <c r="E215" s="37" t="s">
        <v>37</v>
      </c>
      <c r="F215" s="37" t="s">
        <v>38</v>
      </c>
      <c r="G215" s="37" t="s">
        <v>177</v>
      </c>
      <c r="H215" s="37" t="s">
        <v>178</v>
      </c>
      <c r="I215" s="37" t="s">
        <v>26</v>
      </c>
      <c r="J215" s="37"/>
      <c r="K215" s="37" t="s">
        <v>27</v>
      </c>
      <c r="L215" s="37" t="s">
        <v>28</v>
      </c>
      <c r="M215" s="37" t="s">
        <v>29</v>
      </c>
      <c r="N215" s="37" t="s">
        <v>30</v>
      </c>
      <c r="O215" s="37" t="s">
        <v>31</v>
      </c>
      <c r="P215" s="37" t="s">
        <v>174</v>
      </c>
      <c r="Q215" s="37" t="s">
        <v>175</v>
      </c>
      <c r="R215" s="38" t="s">
        <v>176</v>
      </c>
    </row>
    <row r="216" spans="3:18" ht="15" thickTop="1" thickBot="1" x14ac:dyDescent="0.2">
      <c r="C216" s="70"/>
      <c r="D216" s="71" t="s">
        <v>39</v>
      </c>
      <c r="E216" s="65" t="s">
        <v>39</v>
      </c>
      <c r="F216" s="65" t="s">
        <v>39</v>
      </c>
      <c r="G216" s="65" t="s">
        <v>39</v>
      </c>
      <c r="H216" s="65" t="s">
        <v>39</v>
      </c>
      <c r="I216" s="65" t="s">
        <v>39</v>
      </c>
      <c r="J216" s="65"/>
      <c r="K216" s="65" t="s">
        <v>32</v>
      </c>
      <c r="L216" s="65" t="s">
        <v>32</v>
      </c>
      <c r="M216" s="65" t="s">
        <v>32</v>
      </c>
      <c r="N216" s="65" t="s">
        <v>32</v>
      </c>
      <c r="O216" s="65" t="s">
        <v>32</v>
      </c>
      <c r="P216" s="65" t="s">
        <v>32</v>
      </c>
      <c r="Q216" s="65" t="s">
        <v>32</v>
      </c>
      <c r="R216" s="66" t="s">
        <v>32</v>
      </c>
    </row>
    <row r="217" spans="3:18" ht="17" thickTop="1" x14ac:dyDescent="0.2">
      <c r="C217" s="24" t="s">
        <v>113</v>
      </c>
      <c r="D217" s="55">
        <f ca="1">D7+D22+D37+D52+D67+D82+D97+D112+D127+D142+D157+D172+D187+D202</f>
        <v>30613.689355067967</v>
      </c>
      <c r="E217" s="53">
        <f t="shared" ref="E217:R217" ca="1" si="113">E7+E22+E37+E52+E67+E82+E97+E112+E127+E142+E157+E172+E187+E202</f>
        <v>31098.979572422566</v>
      </c>
      <c r="F217" s="53">
        <f t="shared" ca="1" si="113"/>
        <v>31876.938732869767</v>
      </c>
      <c r="G217" s="53">
        <f t="shared" ca="1" si="113"/>
        <v>33051.63505701306</v>
      </c>
      <c r="H217" s="53">
        <f t="shared" ca="1" si="113"/>
        <v>34121.587861308319</v>
      </c>
      <c r="I217" s="53">
        <f t="shared" ca="1" si="113"/>
        <v>34739.353769954905</v>
      </c>
      <c r="J217" s="53">
        <f t="shared" ca="1" si="113"/>
        <v>35098.588292024528</v>
      </c>
      <c r="K217" s="53">
        <f t="shared" ca="1" si="113"/>
        <v>37650.060572385642</v>
      </c>
      <c r="L217" s="53">
        <f t="shared" ca="1" si="113"/>
        <v>38223.132664954966</v>
      </c>
      <c r="M217" s="53">
        <f t="shared" ca="1" si="113"/>
        <v>38442.692707468748</v>
      </c>
      <c r="N217" s="53">
        <f t="shared" ca="1" si="113"/>
        <v>38259.10835494924</v>
      </c>
      <c r="O217" s="53">
        <f t="shared" ca="1" si="113"/>
        <v>37948.150675254125</v>
      </c>
      <c r="P217" s="53">
        <f t="shared" ca="1" si="113"/>
        <v>37560.434326105322</v>
      </c>
      <c r="Q217" s="53">
        <f t="shared" ca="1" si="113"/>
        <v>37017.333975346788</v>
      </c>
      <c r="R217" s="54">
        <f t="shared" ca="1" si="113"/>
        <v>36316.887151734678</v>
      </c>
    </row>
    <row r="218" spans="3:18" ht="16" x14ac:dyDescent="0.2">
      <c r="C218" s="24" t="s">
        <v>114</v>
      </c>
      <c r="D218" s="55">
        <f t="shared" ref="D218:D223" ca="1" si="114">D8+D23+D38+D53+D68+D83+D98+D113+D128+D143+D158+D173+D188+D203</f>
        <v>6225.763920082044</v>
      </c>
      <c r="E218" s="56">
        <f t="shared" ref="E218:R218" ca="1" si="115">E8+E23+E38+E53+E68+E83+E98+E113+E128+E143+E158+E173+E188+E203</f>
        <v>6562.575245763288</v>
      </c>
      <c r="F218" s="56">
        <f t="shared" ca="1" si="115"/>
        <v>6996.379409964019</v>
      </c>
      <c r="G218" s="56">
        <f t="shared" ca="1" si="115"/>
        <v>7511.7651422629751</v>
      </c>
      <c r="H218" s="56">
        <f t="shared" ca="1" si="115"/>
        <v>8038.7908779505806</v>
      </c>
      <c r="I218" s="56">
        <f t="shared" ca="1" si="115"/>
        <v>8663.4125058044647</v>
      </c>
      <c r="J218" s="56">
        <f t="shared" ca="1" si="115"/>
        <v>9237.5981390832803</v>
      </c>
      <c r="K218" s="56">
        <f t="shared" ca="1" si="115"/>
        <v>10588.573480615003</v>
      </c>
      <c r="L218" s="56">
        <f t="shared" ca="1" si="115"/>
        <v>11308.01061947016</v>
      </c>
      <c r="M218" s="56">
        <f t="shared" ca="1" si="115"/>
        <v>11843.920939752004</v>
      </c>
      <c r="N218" s="56">
        <f t="shared" ca="1" si="115"/>
        <v>12299.542721687747</v>
      </c>
      <c r="O218" s="56">
        <f t="shared" ca="1" si="115"/>
        <v>12777.337151008483</v>
      </c>
      <c r="P218" s="56">
        <f t="shared" ca="1" si="115"/>
        <v>13272.247777652396</v>
      </c>
      <c r="Q218" s="56">
        <f t="shared" ca="1" si="115"/>
        <v>13729.531450439936</v>
      </c>
      <c r="R218" s="57">
        <f t="shared" ca="1" si="115"/>
        <v>14123.287704268958</v>
      </c>
    </row>
    <row r="219" spans="3:18" ht="16" x14ac:dyDescent="0.2">
      <c r="C219" s="24" t="s">
        <v>115</v>
      </c>
      <c r="D219" s="55">
        <f t="shared" ca="1" si="114"/>
        <v>262.81779245548046</v>
      </c>
      <c r="E219" s="56">
        <f t="shared" ref="E219:R219" ca="1" si="116">E9+E24+E39+E54+E69+E84+E99+E114+E129+E144+E159+E174+E189+E204</f>
        <v>266.88733686006401</v>
      </c>
      <c r="F219" s="56">
        <f t="shared" ca="1" si="116"/>
        <v>271.58944823315261</v>
      </c>
      <c r="G219" s="56">
        <f t="shared" ca="1" si="116"/>
        <v>290.69149218598466</v>
      </c>
      <c r="H219" s="56">
        <f t="shared" ca="1" si="116"/>
        <v>328.77035123657737</v>
      </c>
      <c r="I219" s="56">
        <f t="shared" ca="1" si="116"/>
        <v>451.94991590508977</v>
      </c>
      <c r="J219" s="56">
        <f t="shared" ca="1" si="116"/>
        <v>524.58025185836539</v>
      </c>
      <c r="K219" s="56">
        <f t="shared" ca="1" si="116"/>
        <v>614.17640834693384</v>
      </c>
      <c r="L219" s="56">
        <f t="shared" ca="1" si="116"/>
        <v>2309.2958918432519</v>
      </c>
      <c r="M219" s="56">
        <f t="shared" ca="1" si="116"/>
        <v>4117.8142702534233</v>
      </c>
      <c r="N219" s="56">
        <f t="shared" ca="1" si="116"/>
        <v>6002.4935206406035</v>
      </c>
      <c r="O219" s="56">
        <f t="shared" ca="1" si="116"/>
        <v>7963.3593971271002</v>
      </c>
      <c r="P219" s="56">
        <f t="shared" ca="1" si="116"/>
        <v>9978.2660624523487</v>
      </c>
      <c r="Q219" s="56">
        <f t="shared" ca="1" si="116"/>
        <v>12046.956515755641</v>
      </c>
      <c r="R219" s="57">
        <f t="shared" ca="1" si="116"/>
        <v>14167.332692450718</v>
      </c>
    </row>
    <row r="220" spans="3:18" ht="16" x14ac:dyDescent="0.2">
      <c r="C220" s="24" t="s">
        <v>116</v>
      </c>
      <c r="D220" s="55">
        <f t="shared" ca="1" si="114"/>
        <v>72.037163507162475</v>
      </c>
      <c r="E220" s="56">
        <f t="shared" ref="E220:R220" ca="1" si="117">E10+E25+E40+E55+E70+E85+E100+E115+E130+E145+E160+E175+E190+E205</f>
        <v>71.584924474733342</v>
      </c>
      <c r="F220" s="56">
        <f t="shared" ca="1" si="117"/>
        <v>71.246826967757883</v>
      </c>
      <c r="G220" s="56">
        <f t="shared" ca="1" si="117"/>
        <v>70.527300522370751</v>
      </c>
      <c r="H220" s="56">
        <f t="shared" ca="1" si="117"/>
        <v>79.610439330117231</v>
      </c>
      <c r="I220" s="56">
        <f t="shared" ca="1" si="117"/>
        <v>82.929003905534231</v>
      </c>
      <c r="J220" s="56">
        <f t="shared" ca="1" si="117"/>
        <v>90.547637102659706</v>
      </c>
      <c r="K220" s="56">
        <f t="shared" ca="1" si="117"/>
        <v>105.01081351690812</v>
      </c>
      <c r="L220" s="56">
        <f t="shared" ca="1" si="117"/>
        <v>374.0572440597939</v>
      </c>
      <c r="M220" s="56">
        <f t="shared" ca="1" si="117"/>
        <v>658.27777714486695</v>
      </c>
      <c r="N220" s="56">
        <f t="shared" ca="1" si="117"/>
        <v>951.79996562575241</v>
      </c>
      <c r="O220" s="56">
        <f t="shared" ca="1" si="117"/>
        <v>1254.6611127187289</v>
      </c>
      <c r="P220" s="56">
        <f t="shared" ca="1" si="117"/>
        <v>1562.9403339491473</v>
      </c>
      <c r="Q220" s="56">
        <f t="shared" ca="1" si="117"/>
        <v>1876.798446993603</v>
      </c>
      <c r="R220" s="57">
        <f t="shared" ca="1" si="117"/>
        <v>2195.9307645632066</v>
      </c>
    </row>
    <row r="221" spans="3:18" ht="16" x14ac:dyDescent="0.2">
      <c r="C221" s="24" t="s">
        <v>43</v>
      </c>
      <c r="D221" s="55">
        <f t="shared" ca="1" si="114"/>
        <v>2625.5817312218246</v>
      </c>
      <c r="E221" s="56">
        <f t="shared" ref="E221:R221" ca="1" si="118">E11+E26+E41+E56+E71+E86+E101+E116+E131+E146+E161+E176+E191+E206</f>
        <v>2725.0931923571188</v>
      </c>
      <c r="F221" s="56">
        <f t="shared" ca="1" si="118"/>
        <v>2811.1511205060533</v>
      </c>
      <c r="G221" s="56">
        <f t="shared" ca="1" si="118"/>
        <v>2886.4625296213922</v>
      </c>
      <c r="H221" s="56">
        <f t="shared" ca="1" si="118"/>
        <v>2974.6447783585722</v>
      </c>
      <c r="I221" s="56">
        <f t="shared" ca="1" si="118"/>
        <v>3017.6676879199986</v>
      </c>
      <c r="J221" s="56">
        <f t="shared" ca="1" si="118"/>
        <v>3077.2057648425744</v>
      </c>
      <c r="K221" s="56">
        <f t="shared" ca="1" si="118"/>
        <v>3130.2408819958014</v>
      </c>
      <c r="L221" s="56">
        <f t="shared" ca="1" si="118"/>
        <v>3229.0160857382652</v>
      </c>
      <c r="M221" s="56">
        <f t="shared" ca="1" si="118"/>
        <v>3321.0269384109019</v>
      </c>
      <c r="N221" s="56">
        <f t="shared" ca="1" si="118"/>
        <v>3344.8507252526656</v>
      </c>
      <c r="O221" s="56">
        <f t="shared" ca="1" si="118"/>
        <v>3365.486436051558</v>
      </c>
      <c r="P221" s="56">
        <f t="shared" ca="1" si="118"/>
        <v>3421.0881646543467</v>
      </c>
      <c r="Q221" s="56">
        <f t="shared" ca="1" si="118"/>
        <v>3471.9095089732086</v>
      </c>
      <c r="R221" s="57">
        <f t="shared" ca="1" si="118"/>
        <v>3518.1522161182356</v>
      </c>
    </row>
    <row r="222" spans="3:18" ht="16" x14ac:dyDescent="0.2">
      <c r="C222" s="24" t="s">
        <v>44</v>
      </c>
      <c r="D222" s="55">
        <f t="shared" ca="1" si="114"/>
        <v>245.25345477429616</v>
      </c>
      <c r="E222" s="56">
        <f t="shared" ref="E222:R222" ca="1" si="119">E12+E27+E42+E57+E72+E87+E102+E117+E132+E147+E162+E177+E192+E207</f>
        <v>255.49508658811862</v>
      </c>
      <c r="F222" s="56">
        <f t="shared" ca="1" si="119"/>
        <v>263.52125939693201</v>
      </c>
      <c r="G222" s="56">
        <f t="shared" ca="1" si="119"/>
        <v>272.01059552122399</v>
      </c>
      <c r="H222" s="56">
        <f t="shared" ca="1" si="119"/>
        <v>285.50486420865337</v>
      </c>
      <c r="I222" s="56">
        <f t="shared" ca="1" si="119"/>
        <v>299.20374473000015</v>
      </c>
      <c r="J222" s="56">
        <f t="shared" ca="1" si="119"/>
        <v>320.30879022326218</v>
      </c>
      <c r="K222" s="56">
        <f t="shared" ca="1" si="119"/>
        <v>364.5645533531287</v>
      </c>
      <c r="L222" s="56">
        <f t="shared" ca="1" si="119"/>
        <v>424.6920495778935</v>
      </c>
      <c r="M222" s="56">
        <f t="shared" ca="1" si="119"/>
        <v>473.21379992181716</v>
      </c>
      <c r="N222" s="56">
        <f t="shared" ca="1" si="119"/>
        <v>528.24397627447786</v>
      </c>
      <c r="O222" s="56">
        <f t="shared" ca="1" si="119"/>
        <v>589.97169555201685</v>
      </c>
      <c r="P222" s="56">
        <f t="shared" ca="1" si="119"/>
        <v>661.67081759830614</v>
      </c>
      <c r="Q222" s="56">
        <f t="shared" ca="1" si="119"/>
        <v>743.28615565588598</v>
      </c>
      <c r="R222" s="57">
        <f t="shared" ca="1" si="119"/>
        <v>836.83585169531159</v>
      </c>
    </row>
    <row r="223" spans="3:18" ht="17" thickBot="1" x14ac:dyDescent="0.25">
      <c r="C223" s="24" t="s">
        <v>42</v>
      </c>
      <c r="D223" s="55">
        <f t="shared" ca="1" si="114"/>
        <v>385.37817629123339</v>
      </c>
      <c r="E223" s="56">
        <f t="shared" ref="E223:R223" ca="1" si="120">E13+E28+E43+E58+E73+E88+E103+E118+E133+E148+E163+E178+E193+E208</f>
        <v>394.47859881411927</v>
      </c>
      <c r="F223" s="56">
        <f t="shared" ca="1" si="120"/>
        <v>399.980804562326</v>
      </c>
      <c r="G223" s="56">
        <f t="shared" ca="1" si="120"/>
        <v>417.59118960297752</v>
      </c>
      <c r="H223" s="56">
        <f t="shared" ca="1" si="120"/>
        <v>414.46709349717725</v>
      </c>
      <c r="I223" s="56">
        <f t="shared" ca="1" si="120"/>
        <v>425.13386414999991</v>
      </c>
      <c r="J223" s="56">
        <f t="shared" ca="1" si="120"/>
        <v>426.71135432533777</v>
      </c>
      <c r="K223" s="56">
        <f t="shared" ca="1" si="120"/>
        <v>449.43311833919182</v>
      </c>
      <c r="L223" s="56">
        <f t="shared" ca="1" si="120"/>
        <v>460.14529183978112</v>
      </c>
      <c r="M223" s="56">
        <f t="shared" ca="1" si="120"/>
        <v>466.38235509787768</v>
      </c>
      <c r="N223" s="56">
        <f t="shared" ca="1" si="120"/>
        <v>464.43527739442084</v>
      </c>
      <c r="O223" s="56">
        <f t="shared" ca="1" si="120"/>
        <v>460.13936030832042</v>
      </c>
      <c r="P223" s="56">
        <f t="shared" ca="1" si="120"/>
        <v>472.35893825226026</v>
      </c>
      <c r="Q223" s="56">
        <f t="shared" ca="1" si="120"/>
        <v>483.53295154073817</v>
      </c>
      <c r="R223" s="57">
        <f t="shared" ca="1" si="120"/>
        <v>494.08261294746728</v>
      </c>
    </row>
    <row r="224" spans="3:18" ht="19" thickTop="1" thickBot="1" x14ac:dyDescent="0.25">
      <c r="C224" s="31" t="s">
        <v>45</v>
      </c>
      <c r="D224" s="61">
        <f ca="1">SUM(D217:D223)</f>
        <v>40430.521593400015</v>
      </c>
      <c r="E224" s="62">
        <f t="shared" ref="E224:R224" ca="1" si="121">SUM(E217:E223)</f>
        <v>41375.093957280005</v>
      </c>
      <c r="F224" s="62">
        <f t="shared" ca="1" si="121"/>
        <v>42690.807602500005</v>
      </c>
      <c r="G224" s="62">
        <f t="shared" ca="1" si="121"/>
        <v>44500.683306729989</v>
      </c>
      <c r="H224" s="62">
        <f t="shared" ca="1" si="121"/>
        <v>46243.376265890001</v>
      </c>
      <c r="I224" s="62">
        <f t="shared" ca="1" si="121"/>
        <v>47679.650492369998</v>
      </c>
      <c r="J224" s="62">
        <f t="shared" ca="1" si="121"/>
        <v>48775.540229460014</v>
      </c>
      <c r="K224" s="62">
        <f t="shared" ca="1" si="121"/>
        <v>52902.059828552599</v>
      </c>
      <c r="L224" s="62">
        <f t="shared" ca="1" si="121"/>
        <v>56328.349847484111</v>
      </c>
      <c r="M224" s="62">
        <f t="shared" ca="1" si="121"/>
        <v>59323.328788049643</v>
      </c>
      <c r="N224" s="62">
        <f t="shared" ca="1" si="121"/>
        <v>61850.474541824908</v>
      </c>
      <c r="O224" s="62">
        <f t="shared" ca="1" si="121"/>
        <v>64359.105828020329</v>
      </c>
      <c r="P224" s="62">
        <f t="shared" ca="1" si="121"/>
        <v>66929.006420664125</v>
      </c>
      <c r="Q224" s="62">
        <f t="shared" ca="1" si="121"/>
        <v>69369.349004705815</v>
      </c>
      <c r="R224" s="63">
        <f t="shared" ca="1" si="121"/>
        <v>71652.508993778581</v>
      </c>
    </row>
    <row r="225" spans="3:18" ht="14" thickTop="1" x14ac:dyDescent="0.15">
      <c r="M225"/>
      <c r="O225" s="121"/>
    </row>
    <row r="226" spans="3:18" x14ac:dyDescent="0.15">
      <c r="M226"/>
      <c r="O226" s="121"/>
    </row>
    <row r="227" spans="3:18" ht="16" x14ac:dyDescent="0.2">
      <c r="C227" s="180" t="s">
        <v>172</v>
      </c>
      <c r="M227"/>
      <c r="O227" s="121"/>
    </row>
    <row r="228" spans="3:18" ht="14" thickBot="1" x14ac:dyDescent="0.2">
      <c r="M228"/>
      <c r="O228" s="121"/>
    </row>
    <row r="229" spans="3:18" ht="17" thickTop="1" x14ac:dyDescent="0.2">
      <c r="C229" s="32" t="s">
        <v>47</v>
      </c>
      <c r="D229" s="33"/>
      <c r="E229" s="33"/>
      <c r="F229" s="33"/>
      <c r="G229" s="33"/>
      <c r="H229" s="33"/>
      <c r="I229" s="33"/>
      <c r="J229" s="33"/>
      <c r="K229" s="34"/>
      <c r="L229" s="34"/>
      <c r="M229" s="34"/>
      <c r="N229" s="34"/>
      <c r="O229" s="34"/>
      <c r="P229" s="34"/>
      <c r="Q229" s="34"/>
      <c r="R229" s="35"/>
    </row>
    <row r="230" spans="3:18" ht="14" thickBot="1" x14ac:dyDescent="0.2">
      <c r="C230" s="36"/>
      <c r="D230" s="37" t="s">
        <v>25</v>
      </c>
      <c r="E230" s="37" t="s">
        <v>37</v>
      </c>
      <c r="F230" s="37" t="s">
        <v>38</v>
      </c>
      <c r="G230" s="37" t="s">
        <v>177</v>
      </c>
      <c r="H230" s="37" t="s">
        <v>178</v>
      </c>
      <c r="I230" s="37" t="s">
        <v>26</v>
      </c>
      <c r="J230" s="37"/>
      <c r="K230" s="37" t="s">
        <v>27</v>
      </c>
      <c r="L230" s="37" t="s">
        <v>28</v>
      </c>
      <c r="M230" s="37" t="s">
        <v>29</v>
      </c>
      <c r="N230" s="37" t="s">
        <v>30</v>
      </c>
      <c r="O230" s="37" t="s">
        <v>31</v>
      </c>
      <c r="P230" s="37" t="s">
        <v>174</v>
      </c>
      <c r="Q230" s="37" t="s">
        <v>175</v>
      </c>
      <c r="R230" s="38" t="s">
        <v>176</v>
      </c>
    </row>
    <row r="231" spans="3:18" ht="15" thickTop="1" thickBot="1" x14ac:dyDescent="0.2">
      <c r="C231" s="70"/>
      <c r="D231" s="71" t="s">
        <v>39</v>
      </c>
      <c r="E231" s="65" t="s">
        <v>39</v>
      </c>
      <c r="F231" s="65" t="s">
        <v>39</v>
      </c>
      <c r="G231" s="65" t="s">
        <v>39</v>
      </c>
      <c r="H231" s="65" t="s">
        <v>39</v>
      </c>
      <c r="I231" s="65" t="s">
        <v>39</v>
      </c>
      <c r="J231" s="65"/>
      <c r="K231" s="65" t="s">
        <v>32</v>
      </c>
      <c r="L231" s="65" t="s">
        <v>32</v>
      </c>
      <c r="M231" s="65" t="s">
        <v>32</v>
      </c>
      <c r="N231" s="65" t="s">
        <v>32</v>
      </c>
      <c r="O231" s="65" t="s">
        <v>32</v>
      </c>
      <c r="P231" s="65" t="s">
        <v>32</v>
      </c>
      <c r="Q231" s="65" t="s">
        <v>32</v>
      </c>
      <c r="R231" s="66" t="s">
        <v>32</v>
      </c>
    </row>
    <row r="232" spans="3:18" ht="17" thickTop="1" x14ac:dyDescent="0.2">
      <c r="C232" s="24" t="s">
        <v>113</v>
      </c>
      <c r="D232" s="55">
        <f ca="1">D217-Summary_Initial!D7</f>
        <v>0</v>
      </c>
      <c r="E232" s="53">
        <f ca="1">E217-Summary_Initial!E7</f>
        <v>0</v>
      </c>
      <c r="F232" s="53">
        <f ca="1">F217-Summary_Initial!F7</f>
        <v>0</v>
      </c>
      <c r="G232" s="53">
        <f ca="1">G217-Summary_Initial!G7</f>
        <v>0</v>
      </c>
      <c r="H232" s="53">
        <f ca="1">H217-Summary_Initial!H7</f>
        <v>0</v>
      </c>
      <c r="I232" s="53">
        <f ca="1">I217-Summary_Initial!I7</f>
        <v>0</v>
      </c>
      <c r="J232" s="53">
        <f ca="1">J217-Summary_Initial!J7</f>
        <v>0</v>
      </c>
      <c r="K232" s="53">
        <f ca="1">K217-Summary_Initial!K7</f>
        <v>0</v>
      </c>
      <c r="L232" s="53">
        <f ca="1">L217-Summary_Initial!L7</f>
        <v>0</v>
      </c>
      <c r="M232" s="53">
        <f ca="1">M217-Summary_Initial!M7</f>
        <v>0</v>
      </c>
      <c r="N232" s="53">
        <f ca="1">N217-Summary_Initial!N7</f>
        <v>0</v>
      </c>
      <c r="O232" s="53">
        <f ca="1">O217-Summary_Initial!O7</f>
        <v>0</v>
      </c>
      <c r="P232" s="53">
        <f ca="1">P217-Summary_Initial!P7</f>
        <v>0</v>
      </c>
      <c r="Q232" s="53">
        <f ca="1">Q217-Summary_Initial!Q7</f>
        <v>0</v>
      </c>
      <c r="R232" s="54">
        <f ca="1">R217-Summary_Initial!R7</f>
        <v>0</v>
      </c>
    </row>
    <row r="233" spans="3:18" ht="16" x14ac:dyDescent="0.2">
      <c r="C233" s="24" t="s">
        <v>114</v>
      </c>
      <c r="D233" s="55">
        <f ca="1">D218-Summary_Initial!D8</f>
        <v>0</v>
      </c>
      <c r="E233" s="56">
        <f ca="1">E218-Summary_Initial!E8</f>
        <v>0</v>
      </c>
      <c r="F233" s="56">
        <f ca="1">F218-Summary_Initial!F8</f>
        <v>0</v>
      </c>
      <c r="G233" s="56">
        <f ca="1">G218-Summary_Initial!G8</f>
        <v>0</v>
      </c>
      <c r="H233" s="56">
        <f ca="1">H218-Summary_Initial!H8</f>
        <v>0</v>
      </c>
      <c r="I233" s="56">
        <f ca="1">I218-Summary_Initial!I8</f>
        <v>0</v>
      </c>
      <c r="J233" s="56">
        <f ca="1">J218-Summary_Initial!J8</f>
        <v>0</v>
      </c>
      <c r="K233" s="56">
        <f ca="1">K218-Summary_Initial!K8</f>
        <v>0</v>
      </c>
      <c r="L233" s="56">
        <f ca="1">L218-Summary_Initial!L8</f>
        <v>0</v>
      </c>
      <c r="M233" s="56">
        <f ca="1">M218-Summary_Initial!M8</f>
        <v>0</v>
      </c>
      <c r="N233" s="56">
        <f ca="1">N218-Summary_Initial!N8</f>
        <v>0</v>
      </c>
      <c r="O233" s="56">
        <f ca="1">O218-Summary_Initial!O8</f>
        <v>0</v>
      </c>
      <c r="P233" s="56">
        <f ca="1">P218-Summary_Initial!P8</f>
        <v>0</v>
      </c>
      <c r="Q233" s="56">
        <f ca="1">Q218-Summary_Initial!Q8</f>
        <v>0</v>
      </c>
      <c r="R233" s="57">
        <f ca="1">R218-Summary_Initial!R8</f>
        <v>0</v>
      </c>
    </row>
    <row r="234" spans="3:18" ht="16" x14ac:dyDescent="0.2">
      <c r="C234" s="24" t="s">
        <v>115</v>
      </c>
      <c r="D234" s="55">
        <f ca="1">D219-Summary_Initial!D9</f>
        <v>0</v>
      </c>
      <c r="E234" s="56">
        <f ca="1">E219-Summary_Initial!E9</f>
        <v>0</v>
      </c>
      <c r="F234" s="56">
        <f ca="1">F219-Summary_Initial!F9</f>
        <v>0</v>
      </c>
      <c r="G234" s="56">
        <f ca="1">G219-Summary_Initial!G9</f>
        <v>0</v>
      </c>
      <c r="H234" s="56">
        <f ca="1">H219-Summary_Initial!H9</f>
        <v>0</v>
      </c>
      <c r="I234" s="56">
        <f ca="1">I219-Summary_Initial!I9</f>
        <v>0</v>
      </c>
      <c r="J234" s="56">
        <f ca="1">J219-Summary_Initial!J9</f>
        <v>0</v>
      </c>
      <c r="K234" s="56">
        <f ca="1">K219-Summary_Initial!K9</f>
        <v>0</v>
      </c>
      <c r="L234" s="56">
        <f ca="1">L219-Summary_Initial!L9</f>
        <v>0</v>
      </c>
      <c r="M234" s="56">
        <f ca="1">M219-Summary_Initial!M9</f>
        <v>0</v>
      </c>
      <c r="N234" s="56">
        <f ca="1">N219-Summary_Initial!N9</f>
        <v>0</v>
      </c>
      <c r="O234" s="56">
        <f ca="1">O219-Summary_Initial!O9</f>
        <v>0</v>
      </c>
      <c r="P234" s="56">
        <f ca="1">P219-Summary_Initial!P9</f>
        <v>0</v>
      </c>
      <c r="Q234" s="56">
        <f ca="1">Q219-Summary_Initial!Q9</f>
        <v>0</v>
      </c>
      <c r="R234" s="57">
        <f ca="1">R219-Summary_Initial!R9</f>
        <v>0</v>
      </c>
    </row>
    <row r="235" spans="3:18" ht="16" x14ac:dyDescent="0.2">
      <c r="C235" s="24" t="s">
        <v>116</v>
      </c>
      <c r="D235" s="55">
        <f ca="1">D220-Summary_Initial!D10</f>
        <v>0</v>
      </c>
      <c r="E235" s="56">
        <f ca="1">E220-Summary_Initial!E10</f>
        <v>0</v>
      </c>
      <c r="F235" s="56">
        <f ca="1">F220-Summary_Initial!F10</f>
        <v>0</v>
      </c>
      <c r="G235" s="56">
        <f ca="1">G220-Summary_Initial!G10</f>
        <v>0</v>
      </c>
      <c r="H235" s="56">
        <f ca="1">H220-Summary_Initial!H10</f>
        <v>0</v>
      </c>
      <c r="I235" s="56">
        <f ca="1">I220-Summary_Initial!I10</f>
        <v>0</v>
      </c>
      <c r="J235" s="56">
        <f ca="1">J220-Summary_Initial!J10</f>
        <v>0</v>
      </c>
      <c r="K235" s="56">
        <f ca="1">K220-Summary_Initial!K10</f>
        <v>0</v>
      </c>
      <c r="L235" s="56">
        <f ca="1">L220-Summary_Initial!L10</f>
        <v>0</v>
      </c>
      <c r="M235" s="56">
        <f ca="1">M220-Summary_Initial!M10</f>
        <v>0</v>
      </c>
      <c r="N235" s="56">
        <f ca="1">N220-Summary_Initial!N10</f>
        <v>0</v>
      </c>
      <c r="O235" s="56">
        <f ca="1">O220-Summary_Initial!O10</f>
        <v>0</v>
      </c>
      <c r="P235" s="56">
        <f ca="1">P220-Summary_Initial!P10</f>
        <v>0</v>
      </c>
      <c r="Q235" s="56">
        <f ca="1">Q220-Summary_Initial!Q10</f>
        <v>0</v>
      </c>
      <c r="R235" s="57">
        <f ca="1">R220-Summary_Initial!R10</f>
        <v>0</v>
      </c>
    </row>
    <row r="236" spans="3:18" ht="16" x14ac:dyDescent="0.2">
      <c r="C236" s="24" t="s">
        <v>43</v>
      </c>
      <c r="D236" s="55">
        <f ca="1">D221-Summary_Initial!D11</f>
        <v>0</v>
      </c>
      <c r="E236" s="56">
        <f ca="1">E221-Summary_Initial!E11</f>
        <v>0</v>
      </c>
      <c r="F236" s="56">
        <f ca="1">F221-Summary_Initial!F11</f>
        <v>0</v>
      </c>
      <c r="G236" s="56">
        <f ca="1">G221-Summary_Initial!G11</f>
        <v>0</v>
      </c>
      <c r="H236" s="56">
        <f ca="1">H221-Summary_Initial!H11</f>
        <v>0</v>
      </c>
      <c r="I236" s="56">
        <f ca="1">I221-Summary_Initial!I11</f>
        <v>0</v>
      </c>
      <c r="J236" s="56">
        <f ca="1">J221-Summary_Initial!J11</f>
        <v>0</v>
      </c>
      <c r="K236" s="56">
        <f ca="1">K221-Summary_Initial!K11</f>
        <v>0</v>
      </c>
      <c r="L236" s="56">
        <f ca="1">L221-Summary_Initial!L11</f>
        <v>0</v>
      </c>
      <c r="M236" s="56">
        <f ca="1">M221-Summary_Initial!M11</f>
        <v>0</v>
      </c>
      <c r="N236" s="56">
        <f ca="1">N221-Summary_Initial!N11</f>
        <v>0</v>
      </c>
      <c r="O236" s="56">
        <f ca="1">O221-Summary_Initial!O11</f>
        <v>0</v>
      </c>
      <c r="P236" s="56">
        <f ca="1">P221-Summary_Initial!P11</f>
        <v>0</v>
      </c>
      <c r="Q236" s="56">
        <f ca="1">Q221-Summary_Initial!Q11</f>
        <v>0</v>
      </c>
      <c r="R236" s="57">
        <f ca="1">R221-Summary_Initial!R11</f>
        <v>0</v>
      </c>
    </row>
    <row r="237" spans="3:18" ht="16" x14ac:dyDescent="0.2">
      <c r="C237" s="24" t="s">
        <v>44</v>
      </c>
      <c r="D237" s="55">
        <f ca="1">D222-Summary_Initial!D12</f>
        <v>0</v>
      </c>
      <c r="E237" s="56">
        <f ca="1">E222-Summary_Initial!E12</f>
        <v>0</v>
      </c>
      <c r="F237" s="56">
        <f ca="1">F222-Summary_Initial!F12</f>
        <v>0</v>
      </c>
      <c r="G237" s="56">
        <f ca="1">G222-Summary_Initial!G12</f>
        <v>0</v>
      </c>
      <c r="H237" s="56">
        <f ca="1">H222-Summary_Initial!H12</f>
        <v>0</v>
      </c>
      <c r="I237" s="56">
        <f ca="1">I222-Summary_Initial!I12</f>
        <v>0</v>
      </c>
      <c r="J237" s="56">
        <f ca="1">J222-Summary_Initial!J12</f>
        <v>0</v>
      </c>
      <c r="K237" s="56">
        <f ca="1">K222-Summary_Initial!K12</f>
        <v>0</v>
      </c>
      <c r="L237" s="56">
        <f ca="1">L222-Summary_Initial!L12</f>
        <v>0</v>
      </c>
      <c r="M237" s="56">
        <f ca="1">M222-Summary_Initial!M12</f>
        <v>0</v>
      </c>
      <c r="N237" s="56">
        <f ca="1">N222-Summary_Initial!N12</f>
        <v>0</v>
      </c>
      <c r="O237" s="56">
        <f ca="1">O222-Summary_Initial!O12</f>
        <v>0</v>
      </c>
      <c r="P237" s="56">
        <f ca="1">P222-Summary_Initial!P12</f>
        <v>0</v>
      </c>
      <c r="Q237" s="56">
        <f ca="1">Q222-Summary_Initial!Q12</f>
        <v>0</v>
      </c>
      <c r="R237" s="57">
        <f ca="1">R222-Summary_Initial!R12</f>
        <v>0</v>
      </c>
    </row>
    <row r="238" spans="3:18" ht="17" thickBot="1" x14ac:dyDescent="0.25">
      <c r="C238" s="24" t="s">
        <v>42</v>
      </c>
      <c r="D238" s="55">
        <f ca="1">D223-Summary_Initial!D13</f>
        <v>0</v>
      </c>
      <c r="E238" s="56">
        <f ca="1">E223-Summary_Initial!E13</f>
        <v>0</v>
      </c>
      <c r="F238" s="56">
        <f ca="1">F223-Summary_Initial!F13</f>
        <v>0</v>
      </c>
      <c r="G238" s="56">
        <f ca="1">G223-Summary_Initial!G13</f>
        <v>0</v>
      </c>
      <c r="H238" s="56">
        <f ca="1">H223-Summary_Initial!H13</f>
        <v>0</v>
      </c>
      <c r="I238" s="56">
        <f ca="1">I223-Summary_Initial!I13</f>
        <v>0</v>
      </c>
      <c r="J238" s="56">
        <f ca="1">J223-Summary_Initial!J13</f>
        <v>0</v>
      </c>
      <c r="K238" s="56">
        <f ca="1">K223-Summary_Initial!K13</f>
        <v>0</v>
      </c>
      <c r="L238" s="56">
        <f ca="1">L223-Summary_Initial!L13</f>
        <v>0</v>
      </c>
      <c r="M238" s="56">
        <f ca="1">M223-Summary_Initial!M13</f>
        <v>0</v>
      </c>
      <c r="N238" s="56">
        <f ca="1">N223-Summary_Initial!N13</f>
        <v>0</v>
      </c>
      <c r="O238" s="56">
        <f ca="1">O223-Summary_Initial!O13</f>
        <v>0</v>
      </c>
      <c r="P238" s="56">
        <f ca="1">P223-Summary_Initial!P13</f>
        <v>0</v>
      </c>
      <c r="Q238" s="56">
        <f ca="1">Q223-Summary_Initial!Q13</f>
        <v>0</v>
      </c>
      <c r="R238" s="57">
        <f ca="1">R223-Summary_Initial!R13</f>
        <v>0</v>
      </c>
    </row>
    <row r="239" spans="3:18" ht="19" thickTop="1" thickBot="1" x14ac:dyDescent="0.25">
      <c r="C239" s="31" t="s">
        <v>45</v>
      </c>
      <c r="D239" s="61">
        <f ca="1">SUM(D232:D238)</f>
        <v>0</v>
      </c>
      <c r="E239" s="62">
        <f t="shared" ref="E239:R239" ca="1" si="122">SUM(E232:E238)</f>
        <v>0</v>
      </c>
      <c r="F239" s="62">
        <f t="shared" ca="1" si="122"/>
        <v>0</v>
      </c>
      <c r="G239" s="62">
        <f t="shared" ca="1" si="122"/>
        <v>0</v>
      </c>
      <c r="H239" s="62">
        <f t="shared" ca="1" si="122"/>
        <v>0</v>
      </c>
      <c r="I239" s="62">
        <f t="shared" ca="1" si="122"/>
        <v>0</v>
      </c>
      <c r="J239" s="62">
        <f t="shared" ca="1" si="122"/>
        <v>0</v>
      </c>
      <c r="K239" s="62">
        <f t="shared" ca="1" si="122"/>
        <v>0</v>
      </c>
      <c r="L239" s="62">
        <f t="shared" ca="1" si="122"/>
        <v>0</v>
      </c>
      <c r="M239" s="62">
        <f t="shared" ca="1" si="122"/>
        <v>0</v>
      </c>
      <c r="N239" s="62">
        <f t="shared" ca="1" si="122"/>
        <v>0</v>
      </c>
      <c r="O239" s="62">
        <f t="shared" ca="1" si="122"/>
        <v>0</v>
      </c>
      <c r="P239" s="62">
        <f t="shared" ca="1" si="122"/>
        <v>0</v>
      </c>
      <c r="Q239" s="62">
        <f t="shared" ca="1" si="122"/>
        <v>0</v>
      </c>
      <c r="R239" s="63">
        <f t="shared" ca="1" si="122"/>
        <v>0</v>
      </c>
    </row>
    <row r="240" spans="3:18" ht="14" thickTop="1" x14ac:dyDescent="0.15"/>
  </sheetData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C1:R240"/>
  <sheetViews>
    <sheetView topLeftCell="D200" zoomScale="90" zoomScaleNormal="90" workbookViewId="0">
      <selection activeCell="J235" sqref="J235"/>
    </sheetView>
  </sheetViews>
  <sheetFormatPr baseColWidth="10" defaultColWidth="8.83203125" defaultRowHeight="13" x14ac:dyDescent="0.15"/>
  <cols>
    <col min="3" max="3" width="44" customWidth="1"/>
    <col min="4" max="12" width="17.6640625" customWidth="1"/>
    <col min="13" max="13" width="17.6640625" style="121" customWidth="1"/>
    <col min="14" max="18" width="17.6640625" customWidth="1"/>
  </cols>
  <sheetData>
    <row r="1" spans="3:18" x14ac:dyDescent="0.15">
      <c r="D1">
        <v>4</v>
      </c>
      <c r="E1">
        <f>D1+1</f>
        <v>5</v>
      </c>
      <c r="F1">
        <f t="shared" ref="F1:R1" si="0">E1+1</f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</row>
    <row r="2" spans="3:18" ht="16" x14ac:dyDescent="0.2">
      <c r="C2" s="180" t="str">
        <f ca="1">INDIRECT(ADDRESS(D2+27,3,4,TRUE,"Car+SUV"))</f>
        <v>Northland</v>
      </c>
      <c r="D2" s="181">
        <v>1</v>
      </c>
    </row>
    <row r="3" spans="3:18" ht="14" thickBot="1" x14ac:dyDescent="0.2"/>
    <row r="4" spans="3:18" ht="17" thickTop="1" x14ac:dyDescent="0.2">
      <c r="C4" s="32" t="s">
        <v>46</v>
      </c>
      <c r="D4" s="183"/>
      <c r="E4" s="183"/>
      <c r="F4" s="183"/>
      <c r="G4" s="183"/>
      <c r="H4" s="183"/>
      <c r="I4" s="183"/>
      <c r="J4" s="183"/>
      <c r="K4" s="40"/>
      <c r="L4" s="40"/>
      <c r="M4" s="40"/>
      <c r="N4" s="40"/>
      <c r="O4" s="40"/>
      <c r="P4" s="34"/>
      <c r="Q4" s="34"/>
      <c r="R4" s="35"/>
    </row>
    <row r="5" spans="3:18" ht="14" thickBot="1" x14ac:dyDescent="0.2">
      <c r="C5" s="36"/>
      <c r="D5" s="184" t="s">
        <v>25</v>
      </c>
      <c r="E5" s="184" t="s">
        <v>37</v>
      </c>
      <c r="F5" s="184" t="s">
        <v>38</v>
      </c>
      <c r="G5" s="37" t="s">
        <v>177</v>
      </c>
      <c r="H5" s="37" t="s">
        <v>178</v>
      </c>
      <c r="I5" s="184" t="s">
        <v>26</v>
      </c>
      <c r="J5" s="184"/>
      <c r="K5" s="184" t="s">
        <v>27</v>
      </c>
      <c r="L5" s="184" t="s">
        <v>28</v>
      </c>
      <c r="M5" s="184" t="s">
        <v>29</v>
      </c>
      <c r="N5" s="184" t="s">
        <v>30</v>
      </c>
      <c r="O5" s="184" t="s">
        <v>31</v>
      </c>
      <c r="P5" s="37" t="s">
        <v>174</v>
      </c>
      <c r="Q5" s="37" t="s">
        <v>175</v>
      </c>
      <c r="R5" s="38" t="s">
        <v>176</v>
      </c>
    </row>
    <row r="6" spans="3:18" ht="15" thickTop="1" thickBot="1" x14ac:dyDescent="0.2">
      <c r="C6" s="70"/>
      <c r="D6" s="185" t="s">
        <v>39</v>
      </c>
      <c r="E6" s="186" t="s">
        <v>39</v>
      </c>
      <c r="F6" s="186" t="s">
        <v>39</v>
      </c>
      <c r="G6" s="65" t="s">
        <v>39</v>
      </c>
      <c r="H6" s="65" t="s">
        <v>39</v>
      </c>
      <c r="I6" s="186" t="s">
        <v>39</v>
      </c>
      <c r="J6" s="186"/>
      <c r="K6" s="186" t="s">
        <v>32</v>
      </c>
      <c r="L6" s="186" t="s">
        <v>32</v>
      </c>
      <c r="M6" s="186" t="s">
        <v>32</v>
      </c>
      <c r="N6" s="186" t="s">
        <v>32</v>
      </c>
      <c r="O6" s="186" t="s">
        <v>32</v>
      </c>
      <c r="P6" s="65" t="s">
        <v>32</v>
      </c>
      <c r="Q6" s="65" t="s">
        <v>32</v>
      </c>
      <c r="R6" s="66" t="s">
        <v>32</v>
      </c>
    </row>
    <row r="7" spans="3:18" ht="17" thickTop="1" x14ac:dyDescent="0.2">
      <c r="C7" s="24" t="s">
        <v>113</v>
      </c>
      <c r="D7" s="42">
        <f ca="1">INDIRECT(ADDRESS($D2+27,D$1,4,TRUE,"Car+SUV"))-D9</f>
        <v>91590.433398965193</v>
      </c>
      <c r="E7" s="40">
        <f t="shared" ref="E7:R7" ca="1" si="1">INDIRECT(ADDRESS($D2+27,E$1,4,TRUE,"Car+SUV"))-E9</f>
        <v>93181.739560679329</v>
      </c>
      <c r="F7" s="40">
        <f t="shared" ca="1" si="1"/>
        <v>94055.597236680318</v>
      </c>
      <c r="G7" s="40">
        <f t="shared" ca="1" si="1"/>
        <v>97432.95872562255</v>
      </c>
      <c r="H7" s="40">
        <f t="shared" ca="1" si="1"/>
        <v>101629.07061395075</v>
      </c>
      <c r="I7" s="40">
        <f t="shared" ca="1" si="1"/>
        <v>102054.63150694955</v>
      </c>
      <c r="J7" s="40">
        <f t="shared" ca="1" si="1"/>
        <v>105037.71477102413</v>
      </c>
      <c r="K7" s="40">
        <f t="shared" ca="1" si="1"/>
        <v>110605.89115670952</v>
      </c>
      <c r="L7" s="40">
        <f t="shared" ca="1" si="1"/>
        <v>111085.11322443746</v>
      </c>
      <c r="M7" s="40">
        <f t="shared" ca="1" si="1"/>
        <v>110275.52335887516</v>
      </c>
      <c r="N7" s="40">
        <f t="shared" ca="1" si="1"/>
        <v>107937.0049042263</v>
      </c>
      <c r="O7" s="40">
        <f t="shared" ca="1" si="1"/>
        <v>105405.87958444674</v>
      </c>
      <c r="P7" s="40">
        <f t="shared" ca="1" si="1"/>
        <v>100858.79093755322</v>
      </c>
      <c r="Q7" s="40">
        <f t="shared" ca="1" si="1"/>
        <v>95937.110751614135</v>
      </c>
      <c r="R7" s="41">
        <f t="shared" ca="1" si="1"/>
        <v>90730.191360215176</v>
      </c>
    </row>
    <row r="8" spans="3:18" ht="16" x14ac:dyDescent="0.2">
      <c r="C8" s="24" t="s">
        <v>114</v>
      </c>
      <c r="D8" s="42">
        <f ca="1">INDIRECT(ADDRESS($D2+27,D$1,4,TRUE,"Van+Ute"))-D10</f>
        <v>20960.234399180976</v>
      </c>
      <c r="E8" s="43">
        <f t="shared" ref="E8:R8" ca="1" si="2">INDIRECT(ADDRESS($D2+27,E$1,4,TRUE,"Van+Ute"))-E10</f>
        <v>21780.604458978953</v>
      </c>
      <c r="F8" s="43">
        <f t="shared" ca="1" si="2"/>
        <v>22852.06576636824</v>
      </c>
      <c r="G8" s="43">
        <f t="shared" ca="1" si="2"/>
        <v>24172.826346203859</v>
      </c>
      <c r="H8" s="43">
        <f t="shared" ca="1" si="2"/>
        <v>26029.68208592575</v>
      </c>
      <c r="I8" s="43">
        <f t="shared" ca="1" si="2"/>
        <v>27483.121657350552</v>
      </c>
      <c r="J8" s="43">
        <f t="shared" ca="1" si="2"/>
        <v>29614.270860813238</v>
      </c>
      <c r="K8" s="43">
        <f t="shared" ca="1" si="2"/>
        <v>31392.907563501649</v>
      </c>
      <c r="L8" s="43">
        <f t="shared" ca="1" si="2"/>
        <v>32497.696850844084</v>
      </c>
      <c r="M8" s="43">
        <f t="shared" ca="1" si="2"/>
        <v>33079.617339354176</v>
      </c>
      <c r="N8" s="43">
        <f t="shared" ca="1" si="2"/>
        <v>33276.906009352781</v>
      </c>
      <c r="O8" s="43">
        <f t="shared" ca="1" si="2"/>
        <v>33466.994675082533</v>
      </c>
      <c r="P8" s="43">
        <f t="shared" ca="1" si="2"/>
        <v>33243.268149764801</v>
      </c>
      <c r="Q8" s="43">
        <f t="shared" ca="1" si="2"/>
        <v>32886.793774409634</v>
      </c>
      <c r="R8" s="44">
        <f t="shared" ca="1" si="2"/>
        <v>32378.058709578327</v>
      </c>
    </row>
    <row r="9" spans="3:18" ht="16" x14ac:dyDescent="0.2">
      <c r="C9" s="24" t="s">
        <v>115</v>
      </c>
      <c r="D9" s="42">
        <f ca="1">INDIRECT(ADDRESS($D2+150,D$1,4,TRUE,"Car+SUV"))</f>
        <v>123.03149404685699</v>
      </c>
      <c r="E9" s="43">
        <f t="shared" ref="E9:R9" ca="1" si="3">INDIRECT(ADDRESS($D2+150,E$1,4,TRUE,"Car+SUV"))</f>
        <v>143.03603830645162</v>
      </c>
      <c r="F9" s="43">
        <f t="shared" ca="1" si="3"/>
        <v>141.03322337417532</v>
      </c>
      <c r="G9" s="43">
        <f t="shared" ca="1" si="3"/>
        <v>150.03042287800423</v>
      </c>
      <c r="H9" s="43">
        <f t="shared" ca="1" si="3"/>
        <v>136.02628527251642</v>
      </c>
      <c r="I9" s="43">
        <f t="shared" ca="1" si="3"/>
        <v>152.02435723951285</v>
      </c>
      <c r="J9" s="43">
        <f t="shared" ca="1" si="3"/>
        <v>168.76520743191654</v>
      </c>
      <c r="K9" s="43">
        <f t="shared" ca="1" si="3"/>
        <v>193.49725572112692</v>
      </c>
      <c r="L9" s="43">
        <f t="shared" ca="1" si="3"/>
        <v>2125.0339539227161</v>
      </c>
      <c r="M9" s="43">
        <f t="shared" ca="1" si="3"/>
        <v>4143.7316714199942</v>
      </c>
      <c r="N9" s="43">
        <f t="shared" ca="1" si="3"/>
        <v>6192.2881254168915</v>
      </c>
      <c r="O9" s="43">
        <f t="shared" ca="1" si="3"/>
        <v>8256.1976887942583</v>
      </c>
      <c r="P9" s="43">
        <f t="shared" ca="1" si="3"/>
        <v>10324.022233132086</v>
      </c>
      <c r="Q9" s="43">
        <f t="shared" ca="1" si="3"/>
        <v>12378.094875453429</v>
      </c>
      <c r="R9" s="44">
        <f t="shared" ca="1" si="3"/>
        <v>14414.085790444064</v>
      </c>
    </row>
    <row r="10" spans="3:18" ht="16" x14ac:dyDescent="0.2">
      <c r="C10" s="24" t="s">
        <v>116</v>
      </c>
      <c r="D10" s="42">
        <f ca="1">INDIRECT(ADDRESS($D2+150,D$1,4,TRUE,"Van+Ute"))</f>
        <v>79</v>
      </c>
      <c r="E10" s="43">
        <f t="shared" ref="E10:R10" ca="1" si="4">INDIRECT(ADDRESS($D2+150,E$1,4,TRUE,"Van+Ute"))</f>
        <v>79</v>
      </c>
      <c r="F10" s="43">
        <f t="shared" ca="1" si="4"/>
        <v>76</v>
      </c>
      <c r="G10" s="43">
        <f t="shared" ca="1" si="4"/>
        <v>81</v>
      </c>
      <c r="H10" s="43">
        <f t="shared" ca="1" si="4"/>
        <v>90</v>
      </c>
      <c r="I10" s="43">
        <f t="shared" ca="1" si="4"/>
        <v>95.4431048412156</v>
      </c>
      <c r="J10" s="43">
        <f t="shared" ca="1" si="4"/>
        <v>88.097072465818485</v>
      </c>
      <c r="K10" s="43">
        <f t="shared" ca="1" si="4"/>
        <v>101.00744115802462</v>
      </c>
      <c r="L10" s="43">
        <f t="shared" ca="1" si="4"/>
        <v>716.40147550119627</v>
      </c>
      <c r="M10" s="43">
        <f t="shared" ca="1" si="4"/>
        <v>1358.7702738549822</v>
      </c>
      <c r="N10" s="43">
        <f t="shared" ca="1" si="4"/>
        <v>2010.5164787974823</v>
      </c>
      <c r="O10" s="43">
        <f t="shared" ca="1" si="4"/>
        <v>2667.5766286413818</v>
      </c>
      <c r="P10" s="43">
        <f t="shared" ca="1" si="4"/>
        <v>3325.1570442836564</v>
      </c>
      <c r="Q10" s="43">
        <f t="shared" ca="1" si="4"/>
        <v>3978.8787811531811</v>
      </c>
      <c r="R10" s="44">
        <f t="shared" ca="1" si="4"/>
        <v>4627.4610094942054</v>
      </c>
    </row>
    <row r="11" spans="3:18" ht="16" x14ac:dyDescent="0.2">
      <c r="C11" s="24" t="s">
        <v>43</v>
      </c>
      <c r="D11" s="187" t="s">
        <v>108</v>
      </c>
      <c r="E11" s="188" t="s">
        <v>108</v>
      </c>
      <c r="F11" s="188" t="s">
        <v>108</v>
      </c>
      <c r="G11" s="188" t="s">
        <v>108</v>
      </c>
      <c r="H11" s="188" t="s">
        <v>108</v>
      </c>
      <c r="I11" s="188" t="s">
        <v>108</v>
      </c>
      <c r="J11" s="188" t="s">
        <v>108</v>
      </c>
      <c r="K11" s="188" t="s">
        <v>108</v>
      </c>
      <c r="L11" s="188" t="s">
        <v>108</v>
      </c>
      <c r="M11" s="188" t="s">
        <v>108</v>
      </c>
      <c r="N11" s="188" t="s">
        <v>108</v>
      </c>
      <c r="O11" s="188" t="s">
        <v>108</v>
      </c>
      <c r="P11" s="188" t="s">
        <v>108</v>
      </c>
      <c r="Q11" s="188" t="s">
        <v>108</v>
      </c>
      <c r="R11" s="194" t="s">
        <v>108</v>
      </c>
    </row>
    <row r="12" spans="3:18" ht="16" x14ac:dyDescent="0.2">
      <c r="C12" s="24" t="s">
        <v>44</v>
      </c>
      <c r="D12" s="187" t="s">
        <v>108</v>
      </c>
      <c r="E12" s="188" t="s">
        <v>108</v>
      </c>
      <c r="F12" s="188" t="s">
        <v>108</v>
      </c>
      <c r="G12" s="188" t="s">
        <v>108</v>
      </c>
      <c r="H12" s="188" t="s">
        <v>108</v>
      </c>
      <c r="I12" s="188" t="s">
        <v>108</v>
      </c>
      <c r="J12" s="188" t="s">
        <v>108</v>
      </c>
      <c r="K12" s="188" t="s">
        <v>108</v>
      </c>
      <c r="L12" s="188" t="s">
        <v>108</v>
      </c>
      <c r="M12" s="188" t="s">
        <v>108</v>
      </c>
      <c r="N12" s="188" t="s">
        <v>108</v>
      </c>
      <c r="O12" s="188" t="s">
        <v>108</v>
      </c>
      <c r="P12" s="188" t="s">
        <v>108</v>
      </c>
      <c r="Q12" s="188" t="s">
        <v>108</v>
      </c>
      <c r="R12" s="194" t="s">
        <v>108</v>
      </c>
    </row>
    <row r="13" spans="3:18" ht="17" thickBot="1" x14ac:dyDescent="0.25">
      <c r="C13" s="24" t="s">
        <v>42</v>
      </c>
      <c r="D13" s="42">
        <f ca="1">INDIRECT(ADDRESS($D2+27,D$1,4,TRUE,"Motorcycle"))</f>
        <v>4131.2252676752669</v>
      </c>
      <c r="E13" s="43">
        <f t="shared" ref="E13:R13" ca="1" si="5">INDIRECT(ADDRESS($D2+27,E$1,4,TRUE,"Motorcycle"))</f>
        <v>4245.0962503547526</v>
      </c>
      <c r="F13" s="43">
        <f t="shared" ca="1" si="5"/>
        <v>4388.4612956255778</v>
      </c>
      <c r="G13" s="43">
        <f t="shared" ca="1" si="5"/>
        <v>4578.1000373037605</v>
      </c>
      <c r="H13" s="43">
        <f t="shared" ca="1" si="5"/>
        <v>4820.3329480054645</v>
      </c>
      <c r="I13" s="43">
        <f t="shared" ca="1" si="5"/>
        <v>5114.3633244537868</v>
      </c>
      <c r="J13" s="43">
        <f t="shared" ca="1" si="5"/>
        <v>5405.0680213778123</v>
      </c>
      <c r="K13" s="43">
        <f t="shared" ca="1" si="5"/>
        <v>5634.7713116966406</v>
      </c>
      <c r="L13" s="43">
        <f t="shared" ca="1" si="5"/>
        <v>5705.4397625310803</v>
      </c>
      <c r="M13" s="43">
        <f t="shared" ca="1" si="5"/>
        <v>5709.3715183023805</v>
      </c>
      <c r="N13" s="43">
        <f t="shared" ca="1" si="5"/>
        <v>5609.7140965901544</v>
      </c>
      <c r="O13" s="43">
        <f t="shared" ca="1" si="5"/>
        <v>5479.2122357791695</v>
      </c>
      <c r="P13" s="43">
        <f t="shared" ca="1" si="5"/>
        <v>5543.3769911192285</v>
      </c>
      <c r="Q13" s="43">
        <f t="shared" ca="1" si="5"/>
        <v>5590.6560672789465</v>
      </c>
      <c r="R13" s="44">
        <f t="shared" ca="1" si="5"/>
        <v>5626.420326259622</v>
      </c>
    </row>
    <row r="14" spans="3:18" ht="19" thickTop="1" thickBot="1" x14ac:dyDescent="0.25">
      <c r="C14" s="31" t="s">
        <v>45</v>
      </c>
      <c r="D14" s="189">
        <f ca="1">SUM(D7:D13)</f>
        <v>116883.92455986829</v>
      </c>
      <c r="E14" s="48">
        <f t="shared" ref="E14:R14" ca="1" si="6">SUM(E7:E13)</f>
        <v>119429.47630831948</v>
      </c>
      <c r="F14" s="48">
        <f t="shared" ca="1" si="6"/>
        <v>121513.15752204831</v>
      </c>
      <c r="G14" s="48">
        <f t="shared" ca="1" si="6"/>
        <v>126414.91553200816</v>
      </c>
      <c r="H14" s="48">
        <f t="shared" ca="1" si="6"/>
        <v>132705.11193315446</v>
      </c>
      <c r="I14" s="48">
        <f t="shared" ca="1" si="6"/>
        <v>134899.58395083461</v>
      </c>
      <c r="J14" s="48">
        <f t="shared" ca="1" si="6"/>
        <v>140313.9159331129</v>
      </c>
      <c r="K14" s="48">
        <f t="shared" ca="1" si="6"/>
        <v>147928.07472878697</v>
      </c>
      <c r="L14" s="48">
        <f t="shared" ca="1" si="6"/>
        <v>152129.68526723652</v>
      </c>
      <c r="M14" s="48">
        <f t="shared" ca="1" si="6"/>
        <v>154567.0141618067</v>
      </c>
      <c r="N14" s="48">
        <f t="shared" ca="1" si="6"/>
        <v>155026.42961438361</v>
      </c>
      <c r="O14" s="48">
        <f t="shared" ca="1" si="6"/>
        <v>155275.8608127441</v>
      </c>
      <c r="P14" s="48">
        <f t="shared" ca="1" si="6"/>
        <v>153294.61535585302</v>
      </c>
      <c r="Q14" s="48">
        <f t="shared" ca="1" si="6"/>
        <v>150771.53424990931</v>
      </c>
      <c r="R14" s="49">
        <f t="shared" ca="1" si="6"/>
        <v>147776.2171959914</v>
      </c>
    </row>
    <row r="15" spans="3:18" ht="14" thickTop="1" x14ac:dyDescent="0.15"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43"/>
    </row>
    <row r="16" spans="3:18" ht="14" thickBot="1" x14ac:dyDescent="0.2"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43"/>
    </row>
    <row r="17" spans="3:18" ht="18" thickTop="1" thickBot="1" x14ac:dyDescent="0.25">
      <c r="C17" s="180" t="str">
        <f ca="1">INDIRECT(ADDRESS(D17+27,3,4,TRUE,"Car+SUV"))</f>
        <v>Auckland</v>
      </c>
      <c r="D17" s="190">
        <v>2</v>
      </c>
      <c r="E17" s="145" t="s">
        <v>170</v>
      </c>
      <c r="F17" s="145"/>
      <c r="G17" s="145"/>
      <c r="H17" s="145"/>
      <c r="I17" s="145"/>
      <c r="J17" s="145"/>
      <c r="K17" s="145"/>
      <c r="L17" s="145"/>
      <c r="M17" s="145"/>
      <c r="N17" s="145"/>
      <c r="O17" s="43"/>
    </row>
    <row r="18" spans="3:18" ht="15" thickTop="1" thickBot="1" x14ac:dyDescent="0.2"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43"/>
    </row>
    <row r="19" spans="3:18" ht="17" thickTop="1" x14ac:dyDescent="0.2">
      <c r="C19" s="32" t="s">
        <v>46</v>
      </c>
      <c r="D19" s="183"/>
      <c r="E19" s="183"/>
      <c r="F19" s="183"/>
      <c r="G19" s="183"/>
      <c r="H19" s="183"/>
      <c r="I19" s="183"/>
      <c r="J19" s="183"/>
      <c r="K19" s="40"/>
      <c r="L19" s="40"/>
      <c r="M19" s="40"/>
      <c r="N19" s="40"/>
      <c r="O19" s="40"/>
      <c r="P19" s="34"/>
      <c r="Q19" s="34"/>
      <c r="R19" s="35"/>
    </row>
    <row r="20" spans="3:18" ht="14" thickBot="1" x14ac:dyDescent="0.2">
      <c r="C20" s="36"/>
      <c r="D20" s="184" t="s">
        <v>25</v>
      </c>
      <c r="E20" s="184" t="s">
        <v>37</v>
      </c>
      <c r="F20" s="184" t="s">
        <v>38</v>
      </c>
      <c r="G20" s="37" t="s">
        <v>177</v>
      </c>
      <c r="H20" s="37" t="s">
        <v>178</v>
      </c>
      <c r="I20" s="184" t="s">
        <v>26</v>
      </c>
      <c r="J20" s="184"/>
      <c r="K20" s="184" t="s">
        <v>27</v>
      </c>
      <c r="L20" s="184" t="s">
        <v>28</v>
      </c>
      <c r="M20" s="184" t="s">
        <v>29</v>
      </c>
      <c r="N20" s="184" t="s">
        <v>30</v>
      </c>
      <c r="O20" s="184" t="s">
        <v>31</v>
      </c>
      <c r="P20" s="37" t="s">
        <v>174</v>
      </c>
      <c r="Q20" s="37" t="s">
        <v>175</v>
      </c>
      <c r="R20" s="38" t="s">
        <v>176</v>
      </c>
    </row>
    <row r="21" spans="3:18" ht="15" thickTop="1" thickBot="1" x14ac:dyDescent="0.2">
      <c r="C21" s="70"/>
      <c r="D21" s="185" t="s">
        <v>39</v>
      </c>
      <c r="E21" s="186" t="s">
        <v>39</v>
      </c>
      <c r="F21" s="186" t="s">
        <v>39</v>
      </c>
      <c r="G21" s="65" t="s">
        <v>39</v>
      </c>
      <c r="H21" s="65" t="s">
        <v>39</v>
      </c>
      <c r="I21" s="186" t="s">
        <v>39</v>
      </c>
      <c r="J21" s="186"/>
      <c r="K21" s="186" t="s">
        <v>32</v>
      </c>
      <c r="L21" s="186" t="s">
        <v>32</v>
      </c>
      <c r="M21" s="186" t="s">
        <v>32</v>
      </c>
      <c r="N21" s="186" t="s">
        <v>32</v>
      </c>
      <c r="O21" s="186" t="s">
        <v>32</v>
      </c>
      <c r="P21" s="65" t="s">
        <v>32</v>
      </c>
      <c r="Q21" s="65" t="s">
        <v>32</v>
      </c>
      <c r="R21" s="66" t="s">
        <v>32</v>
      </c>
    </row>
    <row r="22" spans="3:18" ht="17" thickTop="1" x14ac:dyDescent="0.2">
      <c r="C22" s="24" t="s">
        <v>113</v>
      </c>
      <c r="D22" s="42">
        <f ca="1">INDIRECT(ADDRESS($D17+27,D$1,4,TRUE,"Car+SUV"))-D24</f>
        <v>900839.08030702965</v>
      </c>
      <c r="E22" s="40">
        <f t="shared" ref="E22:R22" ca="1" si="7">INDIRECT(ADDRESS($D17+27,E$1,4,TRUE,"Car+SUV"))-E24</f>
        <v>931301.26638497179</v>
      </c>
      <c r="F22" s="40">
        <f t="shared" ca="1" si="7"/>
        <v>982204.30754734203</v>
      </c>
      <c r="G22" s="40">
        <f t="shared" ca="1" si="7"/>
        <v>1023143.0047205616</v>
      </c>
      <c r="H22" s="40">
        <f t="shared" ca="1" si="7"/>
        <v>1065743.6695796847</v>
      </c>
      <c r="I22" s="40">
        <f t="shared" ca="1" si="7"/>
        <v>1090253.7066450336</v>
      </c>
      <c r="J22" s="40">
        <f t="shared" ca="1" si="7"/>
        <v>1108801.5704320807</v>
      </c>
      <c r="K22" s="40">
        <f t="shared" ca="1" si="7"/>
        <v>1221138.4176155652</v>
      </c>
      <c r="L22" s="40">
        <f t="shared" ca="1" si="7"/>
        <v>1289296.217604199</v>
      </c>
      <c r="M22" s="40">
        <f t="shared" ca="1" si="7"/>
        <v>1337926.26713452</v>
      </c>
      <c r="N22" s="40">
        <f t="shared" ca="1" si="7"/>
        <v>1370547.5796567446</v>
      </c>
      <c r="O22" s="40">
        <f t="shared" ca="1" si="7"/>
        <v>1398148.958525371</v>
      </c>
      <c r="P22" s="40">
        <f t="shared" ca="1" si="7"/>
        <v>1403648.6751532285</v>
      </c>
      <c r="Q22" s="40">
        <f t="shared" ca="1" si="7"/>
        <v>1402013.2077443306</v>
      </c>
      <c r="R22" s="41">
        <f t="shared" ca="1" si="7"/>
        <v>1393176.4528626541</v>
      </c>
    </row>
    <row r="23" spans="3:18" ht="16" x14ac:dyDescent="0.2">
      <c r="C23" s="24" t="s">
        <v>114</v>
      </c>
      <c r="D23" s="42">
        <f ca="1">INDIRECT(ADDRESS($D17+27,D$1,4,TRUE,"Van+Ute"))-D25</f>
        <v>90473.225975803041</v>
      </c>
      <c r="E23" s="43">
        <f t="shared" ref="E23:R23" ca="1" si="8">INDIRECT(ADDRESS($D17+27,E$1,4,TRUE,"Van+Ute"))-E25</f>
        <v>95510.893128753683</v>
      </c>
      <c r="F23" s="43">
        <f t="shared" ca="1" si="8"/>
        <v>104424.23176403806</v>
      </c>
      <c r="G23" s="43">
        <f t="shared" ca="1" si="8"/>
        <v>116179.23109277598</v>
      </c>
      <c r="H23" s="43">
        <f t="shared" ca="1" si="8"/>
        <v>130414.45697052564</v>
      </c>
      <c r="I23" s="43">
        <f t="shared" ca="1" si="8"/>
        <v>143698.74424054695</v>
      </c>
      <c r="J23" s="43">
        <f t="shared" ca="1" si="8"/>
        <v>153227.01784542948</v>
      </c>
      <c r="K23" s="43">
        <f t="shared" ca="1" si="8"/>
        <v>171260.89938946412</v>
      </c>
      <c r="L23" s="43">
        <f t="shared" ca="1" si="8"/>
        <v>190287.91747892584</v>
      </c>
      <c r="M23" s="43">
        <f t="shared" ca="1" si="8"/>
        <v>206040.61866458401</v>
      </c>
      <c r="N23" s="43">
        <f t="shared" ca="1" si="8"/>
        <v>220582.89142511453</v>
      </c>
      <c r="O23" s="43">
        <f t="shared" ca="1" si="8"/>
        <v>235886.47149024036</v>
      </c>
      <c r="P23" s="43">
        <f t="shared" ca="1" si="8"/>
        <v>250578.80951448271</v>
      </c>
      <c r="Q23" s="43">
        <f t="shared" ca="1" si="8"/>
        <v>264953.10634851427</v>
      </c>
      <c r="R23" s="44">
        <f t="shared" ca="1" si="8"/>
        <v>278457.40841638658</v>
      </c>
    </row>
    <row r="24" spans="3:18" ht="16" x14ac:dyDescent="0.2">
      <c r="C24" s="24" t="s">
        <v>115</v>
      </c>
      <c r="D24" s="42">
        <f ca="1">INDIRECT(ADDRESS($D17+150,D$1,4,TRUE,"Car+SUV"))</f>
        <v>3589.9189604404046</v>
      </c>
      <c r="E24" s="43">
        <f t="shared" ref="E24:R24" ca="1" si="9">INDIRECT(ADDRESS($D17+150,E$1,4,TRUE,"Car+SUV"))</f>
        <v>3696.9314516129034</v>
      </c>
      <c r="F24" s="43">
        <f t="shared" ca="1" si="9"/>
        <v>4125.9719604147031</v>
      </c>
      <c r="G24" s="43">
        <f t="shared" ca="1" si="9"/>
        <v>5169.0481695568396</v>
      </c>
      <c r="H24" s="43">
        <f t="shared" ca="1" si="9"/>
        <v>5343.0324700425199</v>
      </c>
      <c r="I24" s="43">
        <f t="shared" ca="1" si="9"/>
        <v>9136.1396481732063</v>
      </c>
      <c r="J24" s="43">
        <f t="shared" ca="1" si="9"/>
        <v>9999.0764825655388</v>
      </c>
      <c r="K24" s="43">
        <f t="shared" ca="1" si="9"/>
        <v>11891.907016645009</v>
      </c>
      <c r="L24" s="43">
        <f t="shared" ca="1" si="9"/>
        <v>30997.081564926655</v>
      </c>
      <c r="M24" s="43">
        <f t="shared" ca="1" si="9"/>
        <v>52033.196869261461</v>
      </c>
      <c r="N24" s="43">
        <f t="shared" ca="1" si="9"/>
        <v>74660.982200064042</v>
      </c>
      <c r="O24" s="43">
        <f t="shared" ca="1" si="9"/>
        <v>98980.428682246231</v>
      </c>
      <c r="P24" s="43">
        <f t="shared" ca="1" si="9"/>
        <v>124663.09419895652</v>
      </c>
      <c r="Q24" s="43">
        <f t="shared" ca="1" si="9"/>
        <v>151883.47267806905</v>
      </c>
      <c r="R24" s="44">
        <f t="shared" ca="1" si="9"/>
        <v>180631.89195876269</v>
      </c>
    </row>
    <row r="25" spans="3:18" ht="16" x14ac:dyDescent="0.2">
      <c r="C25" s="24" t="s">
        <v>116</v>
      </c>
      <c r="D25" s="42">
        <f ca="1">INDIRECT(ADDRESS($D17+150,D$1,4,TRUE,"Van+Ute"))</f>
        <v>664</v>
      </c>
      <c r="E25" s="43">
        <f t="shared" ref="E25:R25" ca="1" si="10">INDIRECT(ADDRESS($D17+150,E$1,4,TRUE,"Van+Ute"))</f>
        <v>668</v>
      </c>
      <c r="F25" s="43">
        <f t="shared" ca="1" si="10"/>
        <v>719</v>
      </c>
      <c r="G25" s="43">
        <f t="shared" ca="1" si="10"/>
        <v>741</v>
      </c>
      <c r="H25" s="43">
        <f t="shared" ca="1" si="10"/>
        <v>776</v>
      </c>
      <c r="I25" s="43">
        <f t="shared" ca="1" si="10"/>
        <v>917.31428541834987</v>
      </c>
      <c r="J25" s="43">
        <f t="shared" ca="1" si="10"/>
        <v>990.29600735673068</v>
      </c>
      <c r="K25" s="43">
        <f t="shared" ca="1" si="10"/>
        <v>1177.7595719939384</v>
      </c>
      <c r="L25" s="43">
        <f t="shared" ca="1" si="10"/>
        <v>3155.6721249541101</v>
      </c>
      <c r="M25" s="43">
        <f t="shared" ca="1" si="10"/>
        <v>5335.1140943577966</v>
      </c>
      <c r="N25" s="43">
        <f t="shared" ca="1" si="10"/>
        <v>7680.0325126208945</v>
      </c>
      <c r="O25" s="43">
        <f t="shared" ca="1" si="10"/>
        <v>10199.989604599868</v>
      </c>
      <c r="P25" s="43">
        <f t="shared" ca="1" si="10"/>
        <v>12862.898979497231</v>
      </c>
      <c r="Q25" s="43">
        <f t="shared" ca="1" si="10"/>
        <v>15684.947201661305</v>
      </c>
      <c r="R25" s="44">
        <f t="shared" ca="1" si="10"/>
        <v>18665.01193284562</v>
      </c>
    </row>
    <row r="26" spans="3:18" ht="16" x14ac:dyDescent="0.2">
      <c r="C26" s="24" t="s">
        <v>43</v>
      </c>
      <c r="D26" s="187" t="s">
        <v>108</v>
      </c>
      <c r="E26" s="188" t="s">
        <v>108</v>
      </c>
      <c r="F26" s="188" t="s">
        <v>108</v>
      </c>
      <c r="G26" s="188" t="s">
        <v>108</v>
      </c>
      <c r="H26" s="188" t="s">
        <v>108</v>
      </c>
      <c r="I26" s="188" t="s">
        <v>108</v>
      </c>
      <c r="J26" s="188" t="s">
        <v>108</v>
      </c>
      <c r="K26" s="188" t="s">
        <v>108</v>
      </c>
      <c r="L26" s="188" t="s">
        <v>108</v>
      </c>
      <c r="M26" s="188" t="s">
        <v>108</v>
      </c>
      <c r="N26" s="188" t="s">
        <v>108</v>
      </c>
      <c r="O26" s="188" t="s">
        <v>108</v>
      </c>
      <c r="P26" s="188" t="s">
        <v>108</v>
      </c>
      <c r="Q26" s="188" t="s">
        <v>108</v>
      </c>
      <c r="R26" s="194" t="s">
        <v>108</v>
      </c>
    </row>
    <row r="27" spans="3:18" ht="16" x14ac:dyDescent="0.2">
      <c r="C27" s="24" t="s">
        <v>44</v>
      </c>
      <c r="D27" s="187" t="s">
        <v>108</v>
      </c>
      <c r="E27" s="188" t="s">
        <v>108</v>
      </c>
      <c r="F27" s="188" t="s">
        <v>108</v>
      </c>
      <c r="G27" s="188" t="s">
        <v>108</v>
      </c>
      <c r="H27" s="188" t="s">
        <v>108</v>
      </c>
      <c r="I27" s="188" t="s">
        <v>108</v>
      </c>
      <c r="J27" s="188" t="s">
        <v>108</v>
      </c>
      <c r="K27" s="188" t="s">
        <v>108</v>
      </c>
      <c r="L27" s="188" t="s">
        <v>108</v>
      </c>
      <c r="M27" s="188" t="s">
        <v>108</v>
      </c>
      <c r="N27" s="188" t="s">
        <v>108</v>
      </c>
      <c r="O27" s="188" t="s">
        <v>108</v>
      </c>
      <c r="P27" s="188" t="s">
        <v>108</v>
      </c>
      <c r="Q27" s="188" t="s">
        <v>108</v>
      </c>
      <c r="R27" s="194" t="s">
        <v>108</v>
      </c>
    </row>
    <row r="28" spans="3:18" ht="17" thickBot="1" x14ac:dyDescent="0.25">
      <c r="C28" s="24" t="s">
        <v>42</v>
      </c>
      <c r="D28" s="42">
        <f ca="1">INDIRECT(ADDRESS($D17+27,D$1,4,TRUE,"Motorcycle"))</f>
        <v>33394.157872226293</v>
      </c>
      <c r="E28" s="43">
        <f t="shared" ref="E28:R28" ca="1" si="11">INDIRECT(ADDRESS($D17+27,E$1,4,TRUE,"Motorcycle"))</f>
        <v>34890.413173942834</v>
      </c>
      <c r="F28" s="43">
        <f t="shared" ca="1" si="11"/>
        <v>37206.695860049913</v>
      </c>
      <c r="G28" s="43">
        <f t="shared" ca="1" si="11"/>
        <v>39060.714145712285</v>
      </c>
      <c r="H28" s="43">
        <f t="shared" ca="1" si="11"/>
        <v>40771.640693095622</v>
      </c>
      <c r="I28" s="43">
        <f t="shared" ca="1" si="11"/>
        <v>42123.604938719051</v>
      </c>
      <c r="J28" s="43">
        <f t="shared" ca="1" si="11"/>
        <v>43519.935561167556</v>
      </c>
      <c r="K28" s="43">
        <f t="shared" ca="1" si="11"/>
        <v>47174.789098082416</v>
      </c>
      <c r="L28" s="43">
        <f t="shared" ca="1" si="11"/>
        <v>49690.000820029018</v>
      </c>
      <c r="M28" s="43">
        <f t="shared" ca="1" si="11"/>
        <v>51700.905838664396</v>
      </c>
      <c r="N28" s="43">
        <f t="shared" ca="1" si="11"/>
        <v>52748.604660884084</v>
      </c>
      <c r="O28" s="43">
        <f t="shared" ca="1" si="11"/>
        <v>53481.980661239955</v>
      </c>
      <c r="P28" s="43">
        <f t="shared" ca="1" si="11"/>
        <v>56167.214419290474</v>
      </c>
      <c r="Q28" s="43">
        <f t="shared" ca="1" si="11"/>
        <v>58801.764437476108</v>
      </c>
      <c r="R28" s="44">
        <f t="shared" ca="1" si="11"/>
        <v>61429.766855112779</v>
      </c>
    </row>
    <row r="29" spans="3:18" ht="19" thickTop="1" thickBot="1" x14ac:dyDescent="0.25">
      <c r="C29" s="31" t="s">
        <v>45</v>
      </c>
      <c r="D29" s="189">
        <f ca="1">SUM(D22:D28)</f>
        <v>1028960.3831154995</v>
      </c>
      <c r="E29" s="48">
        <f t="shared" ref="E29:R29" ca="1" si="12">SUM(E22:E28)</f>
        <v>1066067.5041392811</v>
      </c>
      <c r="F29" s="48">
        <f t="shared" ca="1" si="12"/>
        <v>1128680.2071318447</v>
      </c>
      <c r="G29" s="48">
        <f t="shared" ca="1" si="12"/>
        <v>1184292.9981286067</v>
      </c>
      <c r="H29" s="48">
        <f t="shared" ca="1" si="12"/>
        <v>1243048.7997133485</v>
      </c>
      <c r="I29" s="48">
        <f t="shared" ca="1" si="12"/>
        <v>1286129.5097578908</v>
      </c>
      <c r="J29" s="48">
        <f t="shared" ca="1" si="12"/>
        <v>1316537.8963286001</v>
      </c>
      <c r="K29" s="48">
        <f t="shared" ca="1" si="12"/>
        <v>1452643.7726917507</v>
      </c>
      <c r="L29" s="48">
        <f t="shared" ca="1" si="12"/>
        <v>1563426.8895930345</v>
      </c>
      <c r="M29" s="48">
        <f t="shared" ca="1" si="12"/>
        <v>1653036.1026013875</v>
      </c>
      <c r="N29" s="48">
        <f t="shared" ca="1" si="12"/>
        <v>1726220.090455428</v>
      </c>
      <c r="O29" s="48">
        <f t="shared" ca="1" si="12"/>
        <v>1796697.8289636974</v>
      </c>
      <c r="P29" s="48">
        <f t="shared" ca="1" si="12"/>
        <v>1847920.6922654554</v>
      </c>
      <c r="Q29" s="48">
        <f t="shared" ca="1" si="12"/>
        <v>1893336.4984100515</v>
      </c>
      <c r="R29" s="49">
        <f t="shared" ca="1" si="12"/>
        <v>1932360.5320257617</v>
      </c>
    </row>
    <row r="30" spans="3:18" ht="14" thickTop="1" x14ac:dyDescent="0.15"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43"/>
    </row>
    <row r="31" spans="3:18" ht="14" thickBot="1" x14ac:dyDescent="0.2"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43"/>
    </row>
    <row r="32" spans="3:18" ht="18" thickTop="1" thickBot="1" x14ac:dyDescent="0.25">
      <c r="C32" s="180" t="str">
        <f ca="1">INDIRECT(ADDRESS(D32+27,3,4,TRUE,"Car+SUV"))</f>
        <v>Waikato</v>
      </c>
      <c r="D32" s="190">
        <v>3</v>
      </c>
      <c r="E32" s="145" t="s">
        <v>170</v>
      </c>
      <c r="F32" s="145"/>
      <c r="G32" s="145"/>
      <c r="H32" s="145"/>
      <c r="I32" s="145"/>
      <c r="J32" s="145"/>
      <c r="K32" s="145"/>
      <c r="L32" s="145"/>
      <c r="M32" s="145"/>
      <c r="N32" s="145"/>
      <c r="O32" s="43"/>
    </row>
    <row r="33" spans="3:18" ht="15" thickTop="1" thickBot="1" x14ac:dyDescent="0.2"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43"/>
    </row>
    <row r="34" spans="3:18" ht="17" thickTop="1" x14ac:dyDescent="0.2">
      <c r="C34" s="32" t="s">
        <v>46</v>
      </c>
      <c r="D34" s="183"/>
      <c r="E34" s="183"/>
      <c r="F34" s="183"/>
      <c r="G34" s="183"/>
      <c r="H34" s="183"/>
      <c r="I34" s="183"/>
      <c r="J34" s="183"/>
      <c r="K34" s="40"/>
      <c r="L34" s="40"/>
      <c r="M34" s="40"/>
      <c r="N34" s="40"/>
      <c r="O34" s="40"/>
      <c r="P34" s="34"/>
      <c r="Q34" s="34"/>
      <c r="R34" s="35"/>
    </row>
    <row r="35" spans="3:18" ht="14" thickBot="1" x14ac:dyDescent="0.2">
      <c r="C35" s="36"/>
      <c r="D35" s="184" t="s">
        <v>25</v>
      </c>
      <c r="E35" s="184" t="s">
        <v>37</v>
      </c>
      <c r="F35" s="184" t="s">
        <v>38</v>
      </c>
      <c r="G35" s="37" t="s">
        <v>177</v>
      </c>
      <c r="H35" s="37" t="s">
        <v>178</v>
      </c>
      <c r="I35" s="184" t="s">
        <v>26</v>
      </c>
      <c r="J35" s="184"/>
      <c r="K35" s="184" t="s">
        <v>27</v>
      </c>
      <c r="L35" s="184" t="s">
        <v>28</v>
      </c>
      <c r="M35" s="184" t="s">
        <v>29</v>
      </c>
      <c r="N35" s="184" t="s">
        <v>30</v>
      </c>
      <c r="O35" s="184" t="s">
        <v>31</v>
      </c>
      <c r="P35" s="37" t="s">
        <v>174</v>
      </c>
      <c r="Q35" s="37" t="s">
        <v>175</v>
      </c>
      <c r="R35" s="38" t="s">
        <v>176</v>
      </c>
    </row>
    <row r="36" spans="3:18" ht="15" thickTop="1" thickBot="1" x14ac:dyDescent="0.2">
      <c r="C36" s="70"/>
      <c r="D36" s="185" t="s">
        <v>39</v>
      </c>
      <c r="E36" s="186" t="s">
        <v>39</v>
      </c>
      <c r="F36" s="186" t="s">
        <v>39</v>
      </c>
      <c r="G36" s="65" t="s">
        <v>39</v>
      </c>
      <c r="H36" s="65" t="s">
        <v>39</v>
      </c>
      <c r="I36" s="186" t="s">
        <v>39</v>
      </c>
      <c r="J36" s="186"/>
      <c r="K36" s="186" t="s">
        <v>32</v>
      </c>
      <c r="L36" s="186" t="s">
        <v>32</v>
      </c>
      <c r="M36" s="186" t="s">
        <v>32</v>
      </c>
      <c r="N36" s="186" t="s">
        <v>32</v>
      </c>
      <c r="O36" s="186" t="s">
        <v>32</v>
      </c>
      <c r="P36" s="65" t="s">
        <v>32</v>
      </c>
      <c r="Q36" s="65" t="s">
        <v>32</v>
      </c>
      <c r="R36" s="66" t="s">
        <v>32</v>
      </c>
    </row>
    <row r="37" spans="3:18" ht="17" thickTop="1" x14ac:dyDescent="0.2">
      <c r="C37" s="24" t="s">
        <v>113</v>
      </c>
      <c r="D37" s="42">
        <f ca="1">INDIRECT(ADDRESS($D32+27,D$1,4,TRUE,"Car+SUV"))-D39</f>
        <v>253366.30300873419</v>
      </c>
      <c r="E37" s="40">
        <f t="shared" ref="E37:R37" ca="1" si="13">INDIRECT(ADDRESS($D32+27,E$1,4,TRUE,"Car+SUV"))-E39</f>
        <v>261696.02139996478</v>
      </c>
      <c r="F37" s="40">
        <f t="shared" ca="1" si="13"/>
        <v>269190.61174762959</v>
      </c>
      <c r="G37" s="40">
        <f t="shared" ca="1" si="13"/>
        <v>279728.49855948868</v>
      </c>
      <c r="H37" s="40">
        <f t="shared" ca="1" si="13"/>
        <v>289118.17545982997</v>
      </c>
      <c r="I37" s="40">
        <f t="shared" ca="1" si="13"/>
        <v>297623.75647604698</v>
      </c>
      <c r="J37" s="40">
        <f t="shared" ca="1" si="13"/>
        <v>305110.70718616876</v>
      </c>
      <c r="K37" s="40">
        <f t="shared" ca="1" si="13"/>
        <v>326087.66776761267</v>
      </c>
      <c r="L37" s="40">
        <f t="shared" ca="1" si="13"/>
        <v>333877.0197552077</v>
      </c>
      <c r="M37" s="40">
        <f t="shared" ca="1" si="13"/>
        <v>337377.67234441557</v>
      </c>
      <c r="N37" s="40">
        <f t="shared" ca="1" si="13"/>
        <v>336449.28841267806</v>
      </c>
      <c r="O37" s="40">
        <f t="shared" ca="1" si="13"/>
        <v>334709.19098433491</v>
      </c>
      <c r="P37" s="40">
        <f t="shared" ca="1" si="13"/>
        <v>326738.30866294488</v>
      </c>
      <c r="Q37" s="40">
        <f t="shared" ca="1" si="13"/>
        <v>317171.62825761631</v>
      </c>
      <c r="R37" s="41">
        <f t="shared" ca="1" si="13"/>
        <v>306187.76873004518</v>
      </c>
    </row>
    <row r="38" spans="3:18" ht="16" x14ac:dyDescent="0.2">
      <c r="C38" s="24" t="s">
        <v>114</v>
      </c>
      <c r="D38" s="42">
        <f ca="1">INDIRECT(ADDRESS($D32+27,D$1,4,TRUE,"Van+Ute"))-D40</f>
        <v>47416.534906055706</v>
      </c>
      <c r="E38" s="43">
        <f t="shared" ref="E38:R38" ca="1" si="14">INDIRECT(ADDRESS($D32+27,E$1,4,TRUE,"Van+Ute"))-E40</f>
        <v>50328.043705619275</v>
      </c>
      <c r="F38" s="43">
        <f t="shared" ca="1" si="14"/>
        <v>53291.000734391389</v>
      </c>
      <c r="G38" s="43">
        <f t="shared" ca="1" si="14"/>
        <v>56611.038473279797</v>
      </c>
      <c r="H38" s="43">
        <f t="shared" ca="1" si="14"/>
        <v>61309.583811813289</v>
      </c>
      <c r="I38" s="43">
        <f t="shared" ca="1" si="14"/>
        <v>67754.914224296852</v>
      </c>
      <c r="J38" s="43">
        <f t="shared" ca="1" si="14"/>
        <v>73154.35941968004</v>
      </c>
      <c r="K38" s="43">
        <f t="shared" ca="1" si="14"/>
        <v>78905.426700470096</v>
      </c>
      <c r="L38" s="43">
        <f t="shared" ca="1" si="14"/>
        <v>84038.282425015583</v>
      </c>
      <c r="M38" s="43">
        <f t="shared" ca="1" si="14"/>
        <v>87749.091899998544</v>
      </c>
      <c r="N38" s="43">
        <f t="shared" ca="1" si="14"/>
        <v>90652.39955772231</v>
      </c>
      <c r="O38" s="43">
        <f t="shared" ca="1" si="14"/>
        <v>93680.777956957143</v>
      </c>
      <c r="P38" s="43">
        <f t="shared" ca="1" si="14"/>
        <v>95878.830171162757</v>
      </c>
      <c r="Q38" s="43">
        <f t="shared" ca="1" si="14"/>
        <v>97725.06257167735</v>
      </c>
      <c r="R38" s="44">
        <f t="shared" ca="1" si="14"/>
        <v>99090.951915021287</v>
      </c>
    </row>
    <row r="39" spans="3:18" ht="16" x14ac:dyDescent="0.2">
      <c r="C39" s="24" t="s">
        <v>115</v>
      </c>
      <c r="D39" s="42">
        <f ca="1">INDIRECT(ADDRESS($D32+150,D$1,4,TRUE,"Car+SUV"))</f>
        <v>342.0875688132121</v>
      </c>
      <c r="E39" s="43">
        <f t="shared" ref="E39:R39" ca="1" si="15">INDIRECT(ADDRESS($D32+150,E$1,4,TRUE,"Car+SUV"))</f>
        <v>329.08291330645159</v>
      </c>
      <c r="F39" s="43">
        <f t="shared" ca="1" si="15"/>
        <v>330.07775683317624</v>
      </c>
      <c r="G39" s="43">
        <f t="shared" ca="1" si="15"/>
        <v>360.07301490721017</v>
      </c>
      <c r="H39" s="43">
        <f t="shared" ca="1" si="15"/>
        <v>428.08272129880169</v>
      </c>
      <c r="I39" s="43">
        <f t="shared" ca="1" si="15"/>
        <v>654.22895805142082</v>
      </c>
      <c r="J39" s="43">
        <f t="shared" ca="1" si="15"/>
        <v>753.67816238228556</v>
      </c>
      <c r="K39" s="43">
        <f t="shared" ca="1" si="15"/>
        <v>871.75989635725227</v>
      </c>
      <c r="L39" s="43">
        <f t="shared" ca="1" si="15"/>
        <v>7809.6550144510484</v>
      </c>
      <c r="M39" s="43">
        <f t="shared" ca="1" si="15"/>
        <v>15264.801455484276</v>
      </c>
      <c r="N39" s="43">
        <f t="shared" ca="1" si="15"/>
        <v>23059.461748501319</v>
      </c>
      <c r="O39" s="43">
        <f t="shared" ca="1" si="15"/>
        <v>31179.934156130206</v>
      </c>
      <c r="P39" s="43">
        <f t="shared" ca="1" si="15"/>
        <v>39570.323981011599</v>
      </c>
      <c r="Q39" s="43">
        <f t="shared" ca="1" si="15"/>
        <v>48173.690828418672</v>
      </c>
      <c r="R39" s="44">
        <f t="shared" ca="1" si="15"/>
        <v>56976.438274129323</v>
      </c>
    </row>
    <row r="40" spans="3:18" ht="16" x14ac:dyDescent="0.2">
      <c r="C40" s="24" t="s">
        <v>116</v>
      </c>
      <c r="D40" s="42">
        <f ca="1">INDIRECT(ADDRESS($D32+150,D$1,4,TRUE,"Van+Ute"))</f>
        <v>211</v>
      </c>
      <c r="E40" s="43">
        <f t="shared" ref="E40:R40" ca="1" si="16">INDIRECT(ADDRESS($D32+150,E$1,4,TRUE,"Van+Ute"))</f>
        <v>198</v>
      </c>
      <c r="F40" s="43">
        <f t="shared" ca="1" si="16"/>
        <v>211</v>
      </c>
      <c r="G40" s="43">
        <f t="shared" ca="1" si="16"/>
        <v>219</v>
      </c>
      <c r="H40" s="43">
        <f t="shared" ca="1" si="16"/>
        <v>262</v>
      </c>
      <c r="I40" s="43">
        <f t="shared" ca="1" si="16"/>
        <v>258.75686201396229</v>
      </c>
      <c r="J40" s="43">
        <f t="shared" ca="1" si="16"/>
        <v>249.43147023454631</v>
      </c>
      <c r="K40" s="43">
        <f t="shared" ca="1" si="16"/>
        <v>288.51088368089353</v>
      </c>
      <c r="L40" s="43">
        <f t="shared" ca="1" si="16"/>
        <v>1493.7218291787433</v>
      </c>
      <c r="M40" s="43">
        <f t="shared" ca="1" si="16"/>
        <v>2785.6947331499064</v>
      </c>
      <c r="N40" s="43">
        <f t="shared" ca="1" si="16"/>
        <v>4135.7436478161017</v>
      </c>
      <c r="O40" s="43">
        <f t="shared" ca="1" si="16"/>
        <v>5543.388900678854</v>
      </c>
      <c r="P40" s="43">
        <f t="shared" ca="1" si="16"/>
        <v>6994.6780937643625</v>
      </c>
      <c r="Q40" s="43">
        <f t="shared" ca="1" si="16"/>
        <v>8484.0874145880716</v>
      </c>
      <c r="R40" s="44">
        <f t="shared" ca="1" si="16"/>
        <v>10009.565989906387</v>
      </c>
    </row>
    <row r="41" spans="3:18" ht="16" x14ac:dyDescent="0.2">
      <c r="C41" s="24" t="s">
        <v>43</v>
      </c>
      <c r="D41" s="187" t="s">
        <v>108</v>
      </c>
      <c r="E41" s="188" t="s">
        <v>108</v>
      </c>
      <c r="F41" s="188" t="s">
        <v>108</v>
      </c>
      <c r="G41" s="188" t="s">
        <v>108</v>
      </c>
      <c r="H41" s="188" t="s">
        <v>108</v>
      </c>
      <c r="I41" s="188" t="s">
        <v>108</v>
      </c>
      <c r="J41" s="188" t="s">
        <v>108</v>
      </c>
      <c r="K41" s="188" t="s">
        <v>108</v>
      </c>
      <c r="L41" s="188" t="s">
        <v>108</v>
      </c>
      <c r="M41" s="188" t="s">
        <v>108</v>
      </c>
      <c r="N41" s="188" t="s">
        <v>108</v>
      </c>
      <c r="O41" s="188" t="s">
        <v>108</v>
      </c>
      <c r="P41" s="188" t="s">
        <v>108</v>
      </c>
      <c r="Q41" s="188" t="s">
        <v>108</v>
      </c>
      <c r="R41" s="194" t="s">
        <v>108</v>
      </c>
    </row>
    <row r="42" spans="3:18" ht="16" x14ac:dyDescent="0.2">
      <c r="C42" s="24" t="s">
        <v>44</v>
      </c>
      <c r="D42" s="187" t="s">
        <v>108</v>
      </c>
      <c r="E42" s="188" t="s">
        <v>108</v>
      </c>
      <c r="F42" s="188" t="s">
        <v>108</v>
      </c>
      <c r="G42" s="188" t="s">
        <v>108</v>
      </c>
      <c r="H42" s="188" t="s">
        <v>108</v>
      </c>
      <c r="I42" s="188" t="s">
        <v>108</v>
      </c>
      <c r="J42" s="188" t="s">
        <v>108</v>
      </c>
      <c r="K42" s="188" t="s">
        <v>108</v>
      </c>
      <c r="L42" s="188" t="s">
        <v>108</v>
      </c>
      <c r="M42" s="188" t="s">
        <v>108</v>
      </c>
      <c r="N42" s="188" t="s">
        <v>108</v>
      </c>
      <c r="O42" s="188" t="s">
        <v>108</v>
      </c>
      <c r="P42" s="188" t="s">
        <v>108</v>
      </c>
      <c r="Q42" s="188" t="s">
        <v>108</v>
      </c>
      <c r="R42" s="194" t="s">
        <v>108</v>
      </c>
    </row>
    <row r="43" spans="3:18" ht="17" thickBot="1" x14ac:dyDescent="0.25">
      <c r="C43" s="24" t="s">
        <v>42</v>
      </c>
      <c r="D43" s="42">
        <f ca="1">INDIRECT(ADDRESS($D32+27,D$1,4,TRUE,"Motorcycle"))</f>
        <v>13186.73748613598</v>
      </c>
      <c r="E43" s="43">
        <f t="shared" ref="E43:R43" ca="1" si="17">INDIRECT(ADDRESS($D32+27,E$1,4,TRUE,"Motorcycle"))</f>
        <v>13806.846477050121</v>
      </c>
      <c r="F43" s="43">
        <f t="shared" ca="1" si="17"/>
        <v>14409.389074094694</v>
      </c>
      <c r="G43" s="43">
        <f t="shared" ca="1" si="17"/>
        <v>15107.73012310241</v>
      </c>
      <c r="H43" s="43">
        <f t="shared" ca="1" si="17"/>
        <v>15705.088182385776</v>
      </c>
      <c r="I43" s="43">
        <f t="shared" ca="1" si="17"/>
        <v>16376.147714573934</v>
      </c>
      <c r="J43" s="43">
        <f t="shared" ca="1" si="17"/>
        <v>17165.764996769838</v>
      </c>
      <c r="K43" s="43">
        <f t="shared" ca="1" si="17"/>
        <v>18104.280452990872</v>
      </c>
      <c r="L43" s="43">
        <f t="shared" ca="1" si="17"/>
        <v>18577.937596827098</v>
      </c>
      <c r="M43" s="43">
        <f t="shared" ca="1" si="17"/>
        <v>18865.358439660584</v>
      </c>
      <c r="N43" s="43">
        <f t="shared" ca="1" si="17"/>
        <v>18820.899340309836</v>
      </c>
      <c r="O43" s="43">
        <f t="shared" ca="1" si="17"/>
        <v>18685.625060868628</v>
      </c>
      <c r="P43" s="43">
        <f t="shared" ca="1" si="17"/>
        <v>19215.592708088734</v>
      </c>
      <c r="Q43" s="43">
        <f t="shared" ca="1" si="17"/>
        <v>19698.447916574485</v>
      </c>
      <c r="R43" s="44">
        <f t="shared" ca="1" si="17"/>
        <v>20150.752510680752</v>
      </c>
    </row>
    <row r="44" spans="3:18" ht="19" thickTop="1" thickBot="1" x14ac:dyDescent="0.25">
      <c r="C44" s="31" t="s">
        <v>45</v>
      </c>
      <c r="D44" s="189">
        <f ca="1">SUM(D37:D43)</f>
        <v>314522.66296973912</v>
      </c>
      <c r="E44" s="48">
        <f t="shared" ref="E44:R44" ca="1" si="18">SUM(E37:E43)</f>
        <v>326357.99449594057</v>
      </c>
      <c r="F44" s="48">
        <f t="shared" ca="1" si="18"/>
        <v>337432.07931294886</v>
      </c>
      <c r="G44" s="48">
        <f t="shared" ca="1" si="18"/>
        <v>352026.3401707781</v>
      </c>
      <c r="H44" s="48">
        <f t="shared" ca="1" si="18"/>
        <v>366822.93017532781</v>
      </c>
      <c r="I44" s="48">
        <f t="shared" ca="1" si="18"/>
        <v>382667.80423498317</v>
      </c>
      <c r="J44" s="48">
        <f t="shared" ca="1" si="18"/>
        <v>396433.94123523543</v>
      </c>
      <c r="K44" s="48">
        <f t="shared" ca="1" si="18"/>
        <v>424257.64570111176</v>
      </c>
      <c r="L44" s="48">
        <f t="shared" ca="1" si="18"/>
        <v>445796.6166206802</v>
      </c>
      <c r="M44" s="48">
        <f t="shared" ca="1" si="18"/>
        <v>462042.61887270887</v>
      </c>
      <c r="N44" s="48">
        <f t="shared" ca="1" si="18"/>
        <v>473117.79270702769</v>
      </c>
      <c r="O44" s="48">
        <f t="shared" ca="1" si="18"/>
        <v>483798.91705896967</v>
      </c>
      <c r="P44" s="48">
        <f t="shared" ca="1" si="18"/>
        <v>488397.73361697234</v>
      </c>
      <c r="Q44" s="48">
        <f t="shared" ca="1" si="18"/>
        <v>491252.9169888749</v>
      </c>
      <c r="R44" s="49">
        <f t="shared" ca="1" si="18"/>
        <v>492415.4774197829</v>
      </c>
    </row>
    <row r="45" spans="3:18" ht="14" thickTop="1" x14ac:dyDescent="0.15"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43"/>
    </row>
    <row r="46" spans="3:18" ht="14" thickBot="1" x14ac:dyDescent="0.2"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43"/>
    </row>
    <row r="47" spans="3:18" ht="18" thickTop="1" thickBot="1" x14ac:dyDescent="0.25">
      <c r="C47" s="180" t="str">
        <f ca="1">INDIRECT(ADDRESS(D47+27,3,4,TRUE,"Car+SUV"))</f>
        <v>Bay of Plenty</v>
      </c>
      <c r="D47" s="190">
        <v>4</v>
      </c>
      <c r="E47" s="145" t="s">
        <v>170</v>
      </c>
      <c r="F47" s="145"/>
      <c r="G47" s="145"/>
      <c r="H47" s="145"/>
      <c r="I47" s="145"/>
      <c r="J47" s="145"/>
      <c r="K47" s="145"/>
      <c r="L47" s="145"/>
      <c r="M47" s="145"/>
      <c r="N47" s="145"/>
      <c r="O47" s="43"/>
    </row>
    <row r="48" spans="3:18" ht="15" thickTop="1" thickBot="1" x14ac:dyDescent="0.2"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43"/>
    </row>
    <row r="49" spans="3:18" ht="17" thickTop="1" x14ac:dyDescent="0.2">
      <c r="C49" s="32" t="s">
        <v>46</v>
      </c>
      <c r="D49" s="183"/>
      <c r="E49" s="183"/>
      <c r="F49" s="183"/>
      <c r="G49" s="183"/>
      <c r="H49" s="183"/>
      <c r="I49" s="183"/>
      <c r="J49" s="183"/>
      <c r="K49" s="40"/>
      <c r="L49" s="40"/>
      <c r="M49" s="40"/>
      <c r="N49" s="40"/>
      <c r="O49" s="40"/>
      <c r="P49" s="34"/>
      <c r="Q49" s="34"/>
      <c r="R49" s="35"/>
    </row>
    <row r="50" spans="3:18" ht="14" thickBot="1" x14ac:dyDescent="0.2">
      <c r="C50" s="36"/>
      <c r="D50" s="184" t="s">
        <v>25</v>
      </c>
      <c r="E50" s="184" t="s">
        <v>37</v>
      </c>
      <c r="F50" s="184" t="s">
        <v>38</v>
      </c>
      <c r="G50" s="37" t="s">
        <v>177</v>
      </c>
      <c r="H50" s="37" t="s">
        <v>178</v>
      </c>
      <c r="I50" s="184" t="s">
        <v>26</v>
      </c>
      <c r="J50" s="184"/>
      <c r="K50" s="184" t="s">
        <v>27</v>
      </c>
      <c r="L50" s="184" t="s">
        <v>28</v>
      </c>
      <c r="M50" s="184" t="s">
        <v>29</v>
      </c>
      <c r="N50" s="184" t="s">
        <v>30</v>
      </c>
      <c r="O50" s="184" t="s">
        <v>31</v>
      </c>
      <c r="P50" s="37" t="s">
        <v>174</v>
      </c>
      <c r="Q50" s="37" t="s">
        <v>175</v>
      </c>
      <c r="R50" s="38" t="s">
        <v>176</v>
      </c>
    </row>
    <row r="51" spans="3:18" ht="15" thickTop="1" thickBot="1" x14ac:dyDescent="0.2">
      <c r="C51" s="70"/>
      <c r="D51" s="185" t="s">
        <v>39</v>
      </c>
      <c r="E51" s="186" t="s">
        <v>39</v>
      </c>
      <c r="F51" s="186" t="s">
        <v>39</v>
      </c>
      <c r="G51" s="65" t="s">
        <v>39</v>
      </c>
      <c r="H51" s="65" t="s">
        <v>39</v>
      </c>
      <c r="I51" s="186" t="s">
        <v>39</v>
      </c>
      <c r="J51" s="186"/>
      <c r="K51" s="186" t="s">
        <v>32</v>
      </c>
      <c r="L51" s="186" t="s">
        <v>32</v>
      </c>
      <c r="M51" s="186" t="s">
        <v>32</v>
      </c>
      <c r="N51" s="186" t="s">
        <v>32</v>
      </c>
      <c r="O51" s="186" t="s">
        <v>32</v>
      </c>
      <c r="P51" s="65" t="s">
        <v>32</v>
      </c>
      <c r="Q51" s="65" t="s">
        <v>32</v>
      </c>
      <c r="R51" s="66" t="s">
        <v>32</v>
      </c>
    </row>
    <row r="52" spans="3:18" ht="17" thickTop="1" x14ac:dyDescent="0.2">
      <c r="C52" s="24" t="s">
        <v>113</v>
      </c>
      <c r="D52" s="42">
        <f ca="1">INDIRECT(ADDRESS($D47+27,D$1,4,TRUE,"Car+SUV"))-D54</f>
        <v>190400.56451403711</v>
      </c>
      <c r="E52" s="40">
        <f t="shared" ref="E52:R52" ca="1" si="19">INDIRECT(ADDRESS($D47+27,E$1,4,TRUE,"Car+SUV"))-E54</f>
        <v>194482.74305089854</v>
      </c>
      <c r="F52" s="40">
        <f t="shared" ca="1" si="19"/>
        <v>198675.97142828369</v>
      </c>
      <c r="G52" s="40">
        <f t="shared" ca="1" si="19"/>
        <v>206947.61896827008</v>
      </c>
      <c r="H52" s="40">
        <f t="shared" ca="1" si="19"/>
        <v>215505.60903300028</v>
      </c>
      <c r="I52" s="40">
        <f t="shared" ca="1" si="19"/>
        <v>222492.82805300597</v>
      </c>
      <c r="J52" s="40">
        <f t="shared" ca="1" si="19"/>
        <v>229282.9757774765</v>
      </c>
      <c r="K52" s="40">
        <f t="shared" ca="1" si="19"/>
        <v>243481.99002334845</v>
      </c>
      <c r="L52" s="40">
        <f t="shared" ca="1" si="19"/>
        <v>246819.39661526051</v>
      </c>
      <c r="M52" s="40">
        <f t="shared" ca="1" si="19"/>
        <v>247389.5675070578</v>
      </c>
      <c r="N52" s="40">
        <f t="shared" ca="1" si="19"/>
        <v>244820.73766090377</v>
      </c>
      <c r="O52" s="40">
        <f t="shared" ca="1" si="19"/>
        <v>241924.46671982598</v>
      </c>
      <c r="P52" s="40">
        <f t="shared" ca="1" si="19"/>
        <v>234367.94830388544</v>
      </c>
      <c r="Q52" s="40">
        <f t="shared" ca="1" si="19"/>
        <v>225760.32708588496</v>
      </c>
      <c r="R52" s="41">
        <f t="shared" ca="1" si="19"/>
        <v>216258.32116322889</v>
      </c>
    </row>
    <row r="53" spans="3:18" ht="16" x14ac:dyDescent="0.2">
      <c r="C53" s="24" t="s">
        <v>114</v>
      </c>
      <c r="D53" s="42">
        <f ca="1">INDIRECT(ADDRESS($D47+27,D$1,4,TRUE,"Van+Ute"))-D55</f>
        <v>38283.901605202584</v>
      </c>
      <c r="E53" s="43">
        <f t="shared" ref="E53:R53" ca="1" si="20">INDIRECT(ADDRESS($D47+27,E$1,4,TRUE,"Van+Ute"))-E55</f>
        <v>40099.325873490794</v>
      </c>
      <c r="F53" s="43">
        <f t="shared" ca="1" si="20"/>
        <v>42435.027461840764</v>
      </c>
      <c r="G53" s="43">
        <f t="shared" ca="1" si="20"/>
        <v>45698.086979622429</v>
      </c>
      <c r="H53" s="43">
        <f t="shared" ca="1" si="20"/>
        <v>49744.136553712466</v>
      </c>
      <c r="I53" s="43">
        <f t="shared" ca="1" si="20"/>
        <v>55114.344528337533</v>
      </c>
      <c r="J53" s="43">
        <f t="shared" ca="1" si="20"/>
        <v>59627.880595857496</v>
      </c>
      <c r="K53" s="43">
        <f t="shared" ca="1" si="20"/>
        <v>63868.201860787231</v>
      </c>
      <c r="L53" s="43">
        <f t="shared" ca="1" si="20"/>
        <v>67301.947187512793</v>
      </c>
      <c r="M53" s="43">
        <f t="shared" ca="1" si="20"/>
        <v>69651.379800732408</v>
      </c>
      <c r="N53" s="43">
        <f t="shared" ca="1" si="20"/>
        <v>71328.08471327796</v>
      </c>
      <c r="O53" s="43">
        <f t="shared" ca="1" si="20"/>
        <v>73108.609807198358</v>
      </c>
      <c r="P53" s="43">
        <f t="shared" ca="1" si="20"/>
        <v>74153.471851869632</v>
      </c>
      <c r="Q53" s="43">
        <f t="shared" ca="1" si="20"/>
        <v>74906.508023133472</v>
      </c>
      <c r="R53" s="44">
        <f t="shared" ca="1" si="20"/>
        <v>75281.749664561416</v>
      </c>
    </row>
    <row r="54" spans="3:18" ht="16" x14ac:dyDescent="0.2">
      <c r="C54" s="24" t="s">
        <v>115</v>
      </c>
      <c r="D54" s="42">
        <f ca="1">INDIRECT(ADDRESS($D47+150,D$1,4,TRUE,"Car+SUV"))</f>
        <v>316.08091153501471</v>
      </c>
      <c r="E54" s="43">
        <f t="shared" ref="E54:R54" ca="1" si="21">INDIRECT(ADDRESS($D47+150,E$1,4,TRUE,"Car+SUV"))</f>
        <v>288.07258064516128</v>
      </c>
      <c r="F54" s="43">
        <f t="shared" ca="1" si="21"/>
        <v>297.06998114985862</v>
      </c>
      <c r="G54" s="43">
        <f t="shared" ca="1" si="21"/>
        <v>313.06348240543554</v>
      </c>
      <c r="H54" s="43">
        <f t="shared" ca="1" si="21"/>
        <v>347.0670660997294</v>
      </c>
      <c r="I54" s="43">
        <f t="shared" ca="1" si="21"/>
        <v>552.52990527740189</v>
      </c>
      <c r="J54" s="43">
        <f t="shared" ca="1" si="21"/>
        <v>595.39526597098495</v>
      </c>
      <c r="K54" s="43">
        <f t="shared" ca="1" si="21"/>
        <v>686.54745492634459</v>
      </c>
      <c r="L54" s="43">
        <f t="shared" ca="1" si="21"/>
        <v>5392.7255018598635</v>
      </c>
      <c r="M54" s="43">
        <f t="shared" ca="1" si="21"/>
        <v>10386.17348003326</v>
      </c>
      <c r="N54" s="43">
        <f t="shared" ca="1" si="21"/>
        <v>15537.204418095218</v>
      </c>
      <c r="O54" s="43">
        <f t="shared" ca="1" si="21"/>
        <v>20837.037082632378</v>
      </c>
      <c r="P54" s="43">
        <f t="shared" ca="1" si="21"/>
        <v>26241.065872435702</v>
      </c>
      <c r="Q54" s="43">
        <f t="shared" ca="1" si="21"/>
        <v>31713.012439780949</v>
      </c>
      <c r="R54" s="44">
        <f t="shared" ca="1" si="21"/>
        <v>37242.400578977366</v>
      </c>
    </row>
    <row r="55" spans="3:18" ht="16" x14ac:dyDescent="0.2">
      <c r="C55" s="24" t="s">
        <v>116</v>
      </c>
      <c r="D55" s="42">
        <f ca="1">INDIRECT(ADDRESS($D47+150,D$1,4,TRUE,"Van+Ute"))</f>
        <v>203</v>
      </c>
      <c r="E55" s="43">
        <f t="shared" ref="E55:R55" ca="1" si="22">INDIRECT(ADDRESS($D47+150,E$1,4,TRUE,"Van+Ute"))</f>
        <v>218</v>
      </c>
      <c r="F55" s="43">
        <f t="shared" ca="1" si="22"/>
        <v>216</v>
      </c>
      <c r="G55" s="43">
        <f t="shared" ca="1" si="22"/>
        <v>215</v>
      </c>
      <c r="H55" s="43">
        <f t="shared" ca="1" si="22"/>
        <v>256</v>
      </c>
      <c r="I55" s="43">
        <f t="shared" ca="1" si="22"/>
        <v>274.66404615416491</v>
      </c>
      <c r="J55" s="43">
        <f t="shared" ca="1" si="22"/>
        <v>287.64224865345551</v>
      </c>
      <c r="K55" s="43">
        <f t="shared" ca="1" si="22"/>
        <v>331.67891152151742</v>
      </c>
      <c r="L55" s="43">
        <f t="shared" ca="1" si="22"/>
        <v>1338.6135252726851</v>
      </c>
      <c r="M55" s="43">
        <f t="shared" ca="1" si="22"/>
        <v>2403.1930437093138</v>
      </c>
      <c r="N55" s="43">
        <f t="shared" ca="1" si="22"/>
        <v>3500.5103761589162</v>
      </c>
      <c r="O55" s="43">
        <f t="shared" ca="1" si="22"/>
        <v>4631.3805295917145</v>
      </c>
      <c r="P55" s="43">
        <f t="shared" ca="1" si="22"/>
        <v>5780.4402674679923</v>
      </c>
      <c r="Q55" s="43">
        <f t="shared" ca="1" si="22"/>
        <v>6945.9677895269188</v>
      </c>
      <c r="R55" s="44">
        <f t="shared" ca="1" si="22"/>
        <v>8126.1658826687089</v>
      </c>
    </row>
    <row r="56" spans="3:18" ht="16" x14ac:dyDescent="0.2">
      <c r="C56" s="24" t="s">
        <v>43</v>
      </c>
      <c r="D56" s="187" t="s">
        <v>108</v>
      </c>
      <c r="E56" s="188" t="s">
        <v>108</v>
      </c>
      <c r="F56" s="188" t="s">
        <v>108</v>
      </c>
      <c r="G56" s="188" t="s">
        <v>108</v>
      </c>
      <c r="H56" s="188" t="s">
        <v>108</v>
      </c>
      <c r="I56" s="188" t="s">
        <v>108</v>
      </c>
      <c r="J56" s="188" t="s">
        <v>108</v>
      </c>
      <c r="K56" s="188" t="s">
        <v>108</v>
      </c>
      <c r="L56" s="188" t="s">
        <v>108</v>
      </c>
      <c r="M56" s="188" t="s">
        <v>108</v>
      </c>
      <c r="N56" s="188" t="s">
        <v>108</v>
      </c>
      <c r="O56" s="188" t="s">
        <v>108</v>
      </c>
      <c r="P56" s="188" t="s">
        <v>108</v>
      </c>
      <c r="Q56" s="188" t="s">
        <v>108</v>
      </c>
      <c r="R56" s="194" t="s">
        <v>108</v>
      </c>
    </row>
    <row r="57" spans="3:18" ht="16" x14ac:dyDescent="0.2">
      <c r="C57" s="24" t="s">
        <v>44</v>
      </c>
      <c r="D57" s="187" t="s">
        <v>108</v>
      </c>
      <c r="E57" s="188" t="s">
        <v>108</v>
      </c>
      <c r="F57" s="188" t="s">
        <v>108</v>
      </c>
      <c r="G57" s="188" t="s">
        <v>108</v>
      </c>
      <c r="H57" s="188" t="s">
        <v>108</v>
      </c>
      <c r="I57" s="188" t="s">
        <v>108</v>
      </c>
      <c r="J57" s="188" t="s">
        <v>108</v>
      </c>
      <c r="K57" s="188" t="s">
        <v>108</v>
      </c>
      <c r="L57" s="188" t="s">
        <v>108</v>
      </c>
      <c r="M57" s="188" t="s">
        <v>108</v>
      </c>
      <c r="N57" s="188" t="s">
        <v>108</v>
      </c>
      <c r="O57" s="188" t="s">
        <v>108</v>
      </c>
      <c r="P57" s="188" t="s">
        <v>108</v>
      </c>
      <c r="Q57" s="188" t="s">
        <v>108</v>
      </c>
      <c r="R57" s="194" t="s">
        <v>108</v>
      </c>
    </row>
    <row r="58" spans="3:18" ht="17" thickBot="1" x14ac:dyDescent="0.25">
      <c r="C58" s="24" t="s">
        <v>42</v>
      </c>
      <c r="D58" s="42">
        <f ca="1">INDIRECT(ADDRESS($D47+27,D$1,4,TRUE,"Motorcycle"))</f>
        <v>10544.589878721537</v>
      </c>
      <c r="E58" s="43">
        <f t="shared" ref="E58:R58" ca="1" si="23">INDIRECT(ADDRESS($D47+27,E$1,4,TRUE,"Motorcycle"))</f>
        <v>10927.420725840502</v>
      </c>
      <c r="F58" s="43">
        <f t="shared" ca="1" si="23"/>
        <v>11352.053850133938</v>
      </c>
      <c r="G58" s="43">
        <f t="shared" ca="1" si="23"/>
        <v>11911.162928914209</v>
      </c>
      <c r="H58" s="43">
        <f t="shared" ca="1" si="23"/>
        <v>12526.090920892395</v>
      </c>
      <c r="I58" s="43">
        <f t="shared" ca="1" si="23"/>
        <v>13271.778023425089</v>
      </c>
      <c r="J58" s="43">
        <f t="shared" ca="1" si="23"/>
        <v>14049.395618723205</v>
      </c>
      <c r="K58" s="43">
        <f t="shared" ca="1" si="23"/>
        <v>14737.729066760214</v>
      </c>
      <c r="L58" s="43">
        <f t="shared" ca="1" si="23"/>
        <v>15022.484577445861</v>
      </c>
      <c r="M58" s="43">
        <f t="shared" ca="1" si="23"/>
        <v>15156.994316238441</v>
      </c>
      <c r="N58" s="43">
        <f t="shared" ca="1" si="23"/>
        <v>15018.668711641429</v>
      </c>
      <c r="O58" s="43">
        <f t="shared" ca="1" si="23"/>
        <v>14810.003464249774</v>
      </c>
      <c r="P58" s="43">
        <f t="shared" ca="1" si="23"/>
        <v>15127.173190127527</v>
      </c>
      <c r="Q58" s="43">
        <f t="shared" ca="1" si="23"/>
        <v>15402.544318767803</v>
      </c>
      <c r="R58" s="44">
        <f t="shared" ca="1" si="23"/>
        <v>15649.778388433226</v>
      </c>
    </row>
    <row r="59" spans="3:18" ht="19" thickTop="1" thickBot="1" x14ac:dyDescent="0.25">
      <c r="C59" s="31" t="s">
        <v>45</v>
      </c>
      <c r="D59" s="189">
        <f ca="1">SUM(D52:D58)</f>
        <v>239748.13690949624</v>
      </c>
      <c r="E59" s="48">
        <f t="shared" ref="E59:R59" ca="1" si="24">SUM(E52:E58)</f>
        <v>246015.56223087499</v>
      </c>
      <c r="F59" s="48">
        <f t="shared" ca="1" si="24"/>
        <v>252976.12272140826</v>
      </c>
      <c r="G59" s="48">
        <f t="shared" ca="1" si="24"/>
        <v>265084.93235921214</v>
      </c>
      <c r="H59" s="48">
        <f t="shared" ca="1" si="24"/>
        <v>278378.90357370483</v>
      </c>
      <c r="I59" s="48">
        <f t="shared" ca="1" si="24"/>
        <v>291706.14455620019</v>
      </c>
      <c r="J59" s="48">
        <f t="shared" ca="1" si="24"/>
        <v>303843.28950668161</v>
      </c>
      <c r="K59" s="48">
        <f t="shared" ca="1" si="24"/>
        <v>323106.1473173438</v>
      </c>
      <c r="L59" s="48">
        <f t="shared" ca="1" si="24"/>
        <v>335875.16740735166</v>
      </c>
      <c r="M59" s="48">
        <f t="shared" ca="1" si="24"/>
        <v>344987.30814777123</v>
      </c>
      <c r="N59" s="48">
        <f t="shared" ca="1" si="24"/>
        <v>350205.20588007732</v>
      </c>
      <c r="O59" s="48">
        <f t="shared" ca="1" si="24"/>
        <v>355311.49760349817</v>
      </c>
      <c r="P59" s="48">
        <f t="shared" ca="1" si="24"/>
        <v>355670.09948578628</v>
      </c>
      <c r="Q59" s="48">
        <f t="shared" ca="1" si="24"/>
        <v>354728.35965709406</v>
      </c>
      <c r="R59" s="49">
        <f t="shared" ca="1" si="24"/>
        <v>352558.41567786958</v>
      </c>
    </row>
    <row r="60" spans="3:18" ht="14" thickTop="1" x14ac:dyDescent="0.15"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43"/>
    </row>
    <row r="61" spans="3:18" ht="14" thickBot="1" x14ac:dyDescent="0.2"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43"/>
    </row>
    <row r="62" spans="3:18" ht="18" thickTop="1" thickBot="1" x14ac:dyDescent="0.25">
      <c r="C62" s="180" t="str">
        <f ca="1">INDIRECT(ADDRESS(D62+27,3,4,TRUE,"Car+SUV"))</f>
        <v>Gisborne</v>
      </c>
      <c r="D62" s="190">
        <v>5</v>
      </c>
      <c r="E62" s="145" t="s">
        <v>170</v>
      </c>
      <c r="F62" s="145"/>
      <c r="G62" s="145"/>
      <c r="H62" s="145"/>
      <c r="I62" s="145"/>
      <c r="J62" s="145"/>
      <c r="K62" s="145"/>
      <c r="L62" s="145"/>
      <c r="M62" s="145"/>
      <c r="N62" s="145"/>
      <c r="O62" s="43"/>
    </row>
    <row r="63" spans="3:18" ht="15" thickTop="1" thickBot="1" x14ac:dyDescent="0.2"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43"/>
    </row>
    <row r="64" spans="3:18" ht="17" thickTop="1" x14ac:dyDescent="0.2">
      <c r="C64" s="32" t="s">
        <v>46</v>
      </c>
      <c r="D64" s="183"/>
      <c r="E64" s="183"/>
      <c r="F64" s="183"/>
      <c r="G64" s="183"/>
      <c r="H64" s="183"/>
      <c r="I64" s="183"/>
      <c r="J64" s="183"/>
      <c r="K64" s="40"/>
      <c r="L64" s="40"/>
      <c r="M64" s="40"/>
      <c r="N64" s="40"/>
      <c r="O64" s="40"/>
      <c r="P64" s="34"/>
      <c r="Q64" s="34"/>
      <c r="R64" s="35"/>
    </row>
    <row r="65" spans="3:18" ht="14" thickBot="1" x14ac:dyDescent="0.2">
      <c r="C65" s="36"/>
      <c r="D65" s="184" t="s">
        <v>25</v>
      </c>
      <c r="E65" s="184" t="s">
        <v>37</v>
      </c>
      <c r="F65" s="184" t="s">
        <v>38</v>
      </c>
      <c r="G65" s="37" t="s">
        <v>177</v>
      </c>
      <c r="H65" s="37" t="s">
        <v>178</v>
      </c>
      <c r="I65" s="184" t="s">
        <v>26</v>
      </c>
      <c r="J65" s="184"/>
      <c r="K65" s="184" t="s">
        <v>27</v>
      </c>
      <c r="L65" s="184" t="s">
        <v>28</v>
      </c>
      <c r="M65" s="184" t="s">
        <v>29</v>
      </c>
      <c r="N65" s="184" t="s">
        <v>30</v>
      </c>
      <c r="O65" s="184" t="s">
        <v>31</v>
      </c>
      <c r="P65" s="37" t="s">
        <v>174</v>
      </c>
      <c r="Q65" s="37" t="s">
        <v>175</v>
      </c>
      <c r="R65" s="38" t="s">
        <v>176</v>
      </c>
    </row>
    <row r="66" spans="3:18" ht="15" thickTop="1" thickBot="1" x14ac:dyDescent="0.2">
      <c r="C66" s="70"/>
      <c r="D66" s="185" t="s">
        <v>39</v>
      </c>
      <c r="E66" s="186" t="s">
        <v>39</v>
      </c>
      <c r="F66" s="186" t="s">
        <v>39</v>
      </c>
      <c r="G66" s="65" t="s">
        <v>39</v>
      </c>
      <c r="H66" s="65" t="s">
        <v>39</v>
      </c>
      <c r="I66" s="186" t="s">
        <v>39</v>
      </c>
      <c r="J66" s="186"/>
      <c r="K66" s="186" t="s">
        <v>32</v>
      </c>
      <c r="L66" s="186" t="s">
        <v>32</v>
      </c>
      <c r="M66" s="186" t="s">
        <v>32</v>
      </c>
      <c r="N66" s="186" t="s">
        <v>32</v>
      </c>
      <c r="O66" s="186" t="s">
        <v>32</v>
      </c>
      <c r="P66" s="65" t="s">
        <v>32</v>
      </c>
      <c r="Q66" s="65" t="s">
        <v>32</v>
      </c>
      <c r="R66" s="66" t="s">
        <v>32</v>
      </c>
    </row>
    <row r="67" spans="3:18" ht="17" thickTop="1" x14ac:dyDescent="0.2">
      <c r="C67" s="24" t="s">
        <v>113</v>
      </c>
      <c r="D67" s="42">
        <f ca="1">INDIRECT(ADDRESS($D62+27,D$1,4,TRUE,"Car+SUV"))-D69</f>
        <v>23085.657609747974</v>
      </c>
      <c r="E67" s="40">
        <f t="shared" ref="E67:R67" ca="1" si="25">INDIRECT(ADDRESS($D62+27,E$1,4,TRUE,"Car+SUV"))-E69</f>
        <v>23173.420802937249</v>
      </c>
      <c r="F67" s="40">
        <f t="shared" ca="1" si="25"/>
        <v>23367.716440611617</v>
      </c>
      <c r="G67" s="40">
        <f t="shared" ca="1" si="25"/>
        <v>23588.257886153155</v>
      </c>
      <c r="H67" s="40">
        <f t="shared" ca="1" si="25"/>
        <v>24028.895264524996</v>
      </c>
      <c r="I67" s="40">
        <f t="shared" ca="1" si="25"/>
        <v>28009.050115569393</v>
      </c>
      <c r="J67" s="40">
        <f t="shared" ca="1" si="25"/>
        <v>27688.896794503187</v>
      </c>
      <c r="K67" s="40">
        <f t="shared" ca="1" si="25"/>
        <v>28618.575404702922</v>
      </c>
      <c r="L67" s="40">
        <f t="shared" ca="1" si="25"/>
        <v>28626.583260548643</v>
      </c>
      <c r="M67" s="40">
        <f t="shared" ca="1" si="25"/>
        <v>28140.234454583806</v>
      </c>
      <c r="N67" s="40">
        <f t="shared" ca="1" si="25"/>
        <v>27328.4887204189</v>
      </c>
      <c r="O67" s="40">
        <f t="shared" ca="1" si="25"/>
        <v>26489.046833660439</v>
      </c>
      <c r="P67" s="40">
        <f t="shared" ca="1" si="25"/>
        <v>24967.790328201318</v>
      </c>
      <c r="Q67" s="40">
        <f t="shared" ca="1" si="25"/>
        <v>23392.818145067686</v>
      </c>
      <c r="R67" s="41">
        <f t="shared" ca="1" si="25"/>
        <v>21789.590311115087</v>
      </c>
    </row>
    <row r="68" spans="3:18" ht="16" x14ac:dyDescent="0.2">
      <c r="C68" s="24" t="s">
        <v>114</v>
      </c>
      <c r="D68" s="42">
        <f ca="1">INDIRECT(ADDRESS($D62+27,D$1,4,TRUE,"Van+Ute"))-D70</f>
        <v>6793.2763687791949</v>
      </c>
      <c r="E68" s="43">
        <f t="shared" ref="E68:R68" ca="1" si="26">INDIRECT(ADDRESS($D62+27,E$1,4,TRUE,"Van+Ute"))-E70</f>
        <v>7132.648497588556</v>
      </c>
      <c r="F68" s="43">
        <f t="shared" ca="1" si="26"/>
        <v>7450.3583672574341</v>
      </c>
      <c r="G68" s="43">
        <f t="shared" ca="1" si="26"/>
        <v>7749.254388612404</v>
      </c>
      <c r="H68" s="43">
        <f t="shared" ca="1" si="26"/>
        <v>8091.0464735030255</v>
      </c>
      <c r="I68" s="43">
        <f t="shared" ca="1" si="26"/>
        <v>9325.3650866444241</v>
      </c>
      <c r="J68" s="43">
        <f t="shared" ca="1" si="26"/>
        <v>9903.3248401076471</v>
      </c>
      <c r="K68" s="43">
        <f t="shared" ca="1" si="26"/>
        <v>10301.455302660193</v>
      </c>
      <c r="L68" s="43">
        <f t="shared" ca="1" si="26"/>
        <v>10607.43473221593</v>
      </c>
      <c r="M68" s="43">
        <f t="shared" ca="1" si="26"/>
        <v>10693.967282418223</v>
      </c>
      <c r="N68" s="43">
        <f t="shared" ca="1" si="26"/>
        <v>10664.975820750977</v>
      </c>
      <c r="O68" s="43">
        <f t="shared" ca="1" si="26"/>
        <v>10638.072940713802</v>
      </c>
      <c r="P68" s="43">
        <f t="shared" ca="1" si="26"/>
        <v>10430.604302568288</v>
      </c>
      <c r="Q68" s="43">
        <f t="shared" ca="1" si="26"/>
        <v>10185.712436518281</v>
      </c>
      <c r="R68" s="44">
        <f t="shared" ca="1" si="26"/>
        <v>9898.6581928762826</v>
      </c>
    </row>
    <row r="69" spans="3:18" ht="16" x14ac:dyDescent="0.2">
      <c r="C69" s="24" t="s">
        <v>115</v>
      </c>
      <c r="D69" s="42">
        <f ca="1">INDIRECT(ADDRESS($D62+150,D$1,4,TRUE,"Car+SUV"))</f>
        <v>41.010498015619</v>
      </c>
      <c r="E69" s="43">
        <f t="shared" ref="E69:R69" ca="1" si="27">INDIRECT(ADDRESS($D62+150,E$1,4,TRUE,"Car+SUV"))</f>
        <v>44.011088709677416</v>
      </c>
      <c r="F69" s="43">
        <f t="shared" ca="1" si="27"/>
        <v>38.008953817153632</v>
      </c>
      <c r="G69" s="43">
        <f t="shared" ca="1" si="27"/>
        <v>36.007301490721019</v>
      </c>
      <c r="H69" s="43">
        <f t="shared" ca="1" si="27"/>
        <v>37.007151140316964</v>
      </c>
      <c r="I69" s="43">
        <f t="shared" ca="1" si="27"/>
        <v>38.792422192151555</v>
      </c>
      <c r="J69" s="43">
        <f t="shared" ca="1" si="27"/>
        <v>34.591626368032578</v>
      </c>
      <c r="K69" s="43">
        <f t="shared" ca="1" si="27"/>
        <v>39.104241950756439</v>
      </c>
      <c r="L69" s="43">
        <f t="shared" ca="1" si="27"/>
        <v>479.74361851787461</v>
      </c>
      <c r="M69" s="43">
        <f t="shared" ca="1" si="27"/>
        <v>927.56109319805853</v>
      </c>
      <c r="N69" s="43">
        <f t="shared" ca="1" si="27"/>
        <v>1367.900625578555</v>
      </c>
      <c r="O69" s="43">
        <f t="shared" ca="1" si="27"/>
        <v>1800.1949052445361</v>
      </c>
      <c r="P69" s="43">
        <f t="shared" ca="1" si="27"/>
        <v>2221.1326560756429</v>
      </c>
      <c r="Q69" s="43">
        <f t="shared" ca="1" si="27"/>
        <v>2627.0604021322793</v>
      </c>
      <c r="R69" s="44">
        <f t="shared" ca="1" si="27"/>
        <v>3017.4761490528695</v>
      </c>
    </row>
    <row r="70" spans="3:18" ht="16" x14ac:dyDescent="0.2">
      <c r="C70" s="24" t="s">
        <v>116</v>
      </c>
      <c r="D70" s="42">
        <f ca="1">INDIRECT(ADDRESS($D62+150,D$1,4,TRUE,"Van+Ute"))</f>
        <v>17</v>
      </c>
      <c r="E70" s="43">
        <f t="shared" ref="E70:R70" ca="1" si="28">INDIRECT(ADDRESS($D62+150,E$1,4,TRUE,"Van+Ute"))</f>
        <v>16</v>
      </c>
      <c r="F70" s="43">
        <f t="shared" ca="1" si="28"/>
        <v>25</v>
      </c>
      <c r="G70" s="43">
        <f t="shared" ca="1" si="28"/>
        <v>24</v>
      </c>
      <c r="H70" s="43">
        <f t="shared" ca="1" si="28"/>
        <v>27</v>
      </c>
      <c r="I70" s="43">
        <f t="shared" ca="1" si="28"/>
        <v>27.572452509684506</v>
      </c>
      <c r="J70" s="43">
        <f t="shared" ca="1" si="28"/>
        <v>28.658083814181914</v>
      </c>
      <c r="K70" s="43">
        <f t="shared" ca="1" si="28"/>
        <v>32.396645112658355</v>
      </c>
      <c r="L70" s="43">
        <f t="shared" ca="1" si="28"/>
        <v>249.46478079214484</v>
      </c>
      <c r="M70" s="43">
        <f t="shared" ca="1" si="28"/>
        <v>469.8591609886393</v>
      </c>
      <c r="N70" s="43">
        <f t="shared" ca="1" si="28"/>
        <v>686.56014620014309</v>
      </c>
      <c r="O70" s="43">
        <f t="shared" ca="1" si="28"/>
        <v>899.48578708755269</v>
      </c>
      <c r="P70" s="43">
        <f t="shared" ca="1" si="28"/>
        <v>1106.6338498090181</v>
      </c>
      <c r="Q70" s="43">
        <f t="shared" ca="1" si="28"/>
        <v>1306.6087121387668</v>
      </c>
      <c r="R70" s="44">
        <f t="shared" ca="1" si="28"/>
        <v>1499.1964577024819</v>
      </c>
    </row>
    <row r="71" spans="3:18" ht="16" x14ac:dyDescent="0.2">
      <c r="C71" s="24" t="s">
        <v>43</v>
      </c>
      <c r="D71" s="187" t="s">
        <v>108</v>
      </c>
      <c r="E71" s="188" t="s">
        <v>108</v>
      </c>
      <c r="F71" s="188" t="s">
        <v>108</v>
      </c>
      <c r="G71" s="188" t="s">
        <v>108</v>
      </c>
      <c r="H71" s="188" t="s">
        <v>108</v>
      </c>
      <c r="I71" s="188" t="s">
        <v>108</v>
      </c>
      <c r="J71" s="188" t="s">
        <v>108</v>
      </c>
      <c r="K71" s="188" t="s">
        <v>108</v>
      </c>
      <c r="L71" s="188" t="s">
        <v>108</v>
      </c>
      <c r="M71" s="188" t="s">
        <v>108</v>
      </c>
      <c r="N71" s="188" t="s">
        <v>108</v>
      </c>
      <c r="O71" s="188" t="s">
        <v>108</v>
      </c>
      <c r="P71" s="188" t="s">
        <v>108</v>
      </c>
      <c r="Q71" s="188" t="s">
        <v>108</v>
      </c>
      <c r="R71" s="194" t="s">
        <v>108</v>
      </c>
    </row>
    <row r="72" spans="3:18" ht="16" x14ac:dyDescent="0.2">
      <c r="C72" s="24" t="s">
        <v>44</v>
      </c>
      <c r="D72" s="187" t="s">
        <v>108</v>
      </c>
      <c r="E72" s="188" t="s">
        <v>108</v>
      </c>
      <c r="F72" s="188" t="s">
        <v>108</v>
      </c>
      <c r="G72" s="188" t="s">
        <v>108</v>
      </c>
      <c r="H72" s="188" t="s">
        <v>108</v>
      </c>
      <c r="I72" s="188" t="s">
        <v>108</v>
      </c>
      <c r="J72" s="188" t="s">
        <v>108</v>
      </c>
      <c r="K72" s="188" t="s">
        <v>108</v>
      </c>
      <c r="L72" s="188" t="s">
        <v>108</v>
      </c>
      <c r="M72" s="188" t="s">
        <v>108</v>
      </c>
      <c r="N72" s="188" t="s">
        <v>108</v>
      </c>
      <c r="O72" s="188" t="s">
        <v>108</v>
      </c>
      <c r="P72" s="188" t="s">
        <v>108</v>
      </c>
      <c r="Q72" s="188" t="s">
        <v>108</v>
      </c>
      <c r="R72" s="194" t="s">
        <v>108</v>
      </c>
    </row>
    <row r="73" spans="3:18" ht="17" thickBot="1" x14ac:dyDescent="0.25">
      <c r="C73" s="24" t="s">
        <v>42</v>
      </c>
      <c r="D73" s="42">
        <f ca="1">INDIRECT(ADDRESS($D62+27,D$1,4,TRUE,"Motorcycle"))</f>
        <v>1268.898692976288</v>
      </c>
      <c r="E73" s="43">
        <f t="shared" ref="E73:R73" ca="1" si="29">INDIRECT(ADDRESS($D62+27,E$1,4,TRUE,"Motorcycle"))</f>
        <v>1272.0891622308209</v>
      </c>
      <c r="F73" s="43">
        <f t="shared" ca="1" si="29"/>
        <v>1289.5916965215513</v>
      </c>
      <c r="G73" s="43">
        <f t="shared" ca="1" si="29"/>
        <v>1286.3245680034902</v>
      </c>
      <c r="H73" s="43">
        <f t="shared" ca="1" si="29"/>
        <v>1287.2013451445598</v>
      </c>
      <c r="I73" s="43">
        <f t="shared" ca="1" si="29"/>
        <v>1465.4038381385571</v>
      </c>
      <c r="J73" s="43">
        <f t="shared" ca="1" si="29"/>
        <v>1412.7121043049276</v>
      </c>
      <c r="K73" s="43">
        <f t="shared" ca="1" si="29"/>
        <v>1447.6305689342164</v>
      </c>
      <c r="L73" s="43">
        <f t="shared" ca="1" si="29"/>
        <v>1441.8975602196954</v>
      </c>
      <c r="M73" s="43">
        <f t="shared" ca="1" si="29"/>
        <v>1422.1405570756033</v>
      </c>
      <c r="N73" s="43">
        <f t="shared" ca="1" si="29"/>
        <v>1375.9547188038514</v>
      </c>
      <c r="O73" s="43">
        <f t="shared" ca="1" si="29"/>
        <v>1325.0469759908071</v>
      </c>
      <c r="P73" s="43">
        <f t="shared" ca="1" si="29"/>
        <v>1321.713436605572</v>
      </c>
      <c r="Q73" s="43">
        <f t="shared" ca="1" si="29"/>
        <v>1314.2421867510166</v>
      </c>
      <c r="R73" s="44">
        <f t="shared" ca="1" si="29"/>
        <v>1304.0508888060183</v>
      </c>
    </row>
    <row r="74" spans="3:18" ht="19" thickTop="1" thickBot="1" x14ac:dyDescent="0.25">
      <c r="C74" s="31" t="s">
        <v>45</v>
      </c>
      <c r="D74" s="189">
        <f ca="1">SUM(D67:D73)</f>
        <v>31205.843169519074</v>
      </c>
      <c r="E74" s="48">
        <f t="shared" ref="E74:R74" ca="1" si="30">SUM(E67:E73)</f>
        <v>31638.169551466308</v>
      </c>
      <c r="F74" s="48">
        <f t="shared" ca="1" si="30"/>
        <v>32170.675458207756</v>
      </c>
      <c r="G74" s="48">
        <f t="shared" ca="1" si="30"/>
        <v>32683.844144259769</v>
      </c>
      <c r="H74" s="48">
        <f t="shared" ca="1" si="30"/>
        <v>33471.150234312896</v>
      </c>
      <c r="I74" s="48">
        <f t="shared" ca="1" si="30"/>
        <v>38866.1839150542</v>
      </c>
      <c r="J74" s="48">
        <f t="shared" ca="1" si="30"/>
        <v>39068.183449097975</v>
      </c>
      <c r="K74" s="48">
        <f t="shared" ca="1" si="30"/>
        <v>40439.16216336075</v>
      </c>
      <c r="L74" s="48">
        <f t="shared" ca="1" si="30"/>
        <v>41405.123952294285</v>
      </c>
      <c r="M74" s="48">
        <f t="shared" ca="1" si="30"/>
        <v>41653.762548264334</v>
      </c>
      <c r="N74" s="48">
        <f t="shared" ca="1" si="30"/>
        <v>41423.880031752422</v>
      </c>
      <c r="O74" s="48">
        <f t="shared" ca="1" si="30"/>
        <v>41151.84744269713</v>
      </c>
      <c r="P74" s="48">
        <f t="shared" ca="1" si="30"/>
        <v>40047.874573259833</v>
      </c>
      <c r="Q74" s="48">
        <f t="shared" ca="1" si="30"/>
        <v>38826.441882608036</v>
      </c>
      <c r="R74" s="49">
        <f t="shared" ca="1" si="30"/>
        <v>37508.971999552748</v>
      </c>
    </row>
    <row r="75" spans="3:18" ht="14" thickTop="1" x14ac:dyDescent="0.15"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43"/>
    </row>
    <row r="76" spans="3:18" ht="14" thickBot="1" x14ac:dyDescent="0.2"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43"/>
    </row>
    <row r="77" spans="3:18" ht="18" thickTop="1" thickBot="1" x14ac:dyDescent="0.25">
      <c r="C77" s="180" t="str">
        <f ca="1">INDIRECT(ADDRESS(D77+27,3,4,TRUE,"Car+SUV"))</f>
        <v>Hawke’s Bay</v>
      </c>
      <c r="D77" s="190">
        <v>6</v>
      </c>
      <c r="E77" s="145" t="s">
        <v>170</v>
      </c>
      <c r="F77" s="145"/>
      <c r="G77" s="145"/>
      <c r="H77" s="145"/>
      <c r="I77" s="145"/>
      <c r="J77" s="145"/>
      <c r="K77" s="145"/>
      <c r="L77" s="145"/>
      <c r="M77" s="145"/>
      <c r="N77" s="145"/>
      <c r="O77" s="43"/>
    </row>
    <row r="78" spans="3:18" ht="15" thickTop="1" thickBot="1" x14ac:dyDescent="0.2"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43"/>
    </row>
    <row r="79" spans="3:18" ht="17" thickTop="1" x14ac:dyDescent="0.2">
      <c r="C79" s="32" t="s">
        <v>46</v>
      </c>
      <c r="D79" s="183"/>
      <c r="E79" s="183"/>
      <c r="F79" s="183"/>
      <c r="G79" s="183"/>
      <c r="H79" s="183"/>
      <c r="I79" s="183"/>
      <c r="J79" s="183"/>
      <c r="K79" s="40"/>
      <c r="L79" s="40"/>
      <c r="M79" s="40"/>
      <c r="N79" s="40"/>
      <c r="O79" s="40"/>
      <c r="P79" s="34"/>
      <c r="Q79" s="34"/>
      <c r="R79" s="35"/>
    </row>
    <row r="80" spans="3:18" ht="14" thickBot="1" x14ac:dyDescent="0.2">
      <c r="C80" s="36"/>
      <c r="D80" s="184" t="s">
        <v>25</v>
      </c>
      <c r="E80" s="184" t="s">
        <v>37</v>
      </c>
      <c r="F80" s="184" t="s">
        <v>38</v>
      </c>
      <c r="G80" s="37" t="s">
        <v>177</v>
      </c>
      <c r="H80" s="37" t="s">
        <v>178</v>
      </c>
      <c r="I80" s="184" t="s">
        <v>26</v>
      </c>
      <c r="J80" s="184"/>
      <c r="K80" s="184" t="s">
        <v>27</v>
      </c>
      <c r="L80" s="184" t="s">
        <v>28</v>
      </c>
      <c r="M80" s="184" t="s">
        <v>29</v>
      </c>
      <c r="N80" s="184" t="s">
        <v>30</v>
      </c>
      <c r="O80" s="184" t="s">
        <v>31</v>
      </c>
      <c r="P80" s="37" t="s">
        <v>174</v>
      </c>
      <c r="Q80" s="37" t="s">
        <v>175</v>
      </c>
      <c r="R80" s="38" t="s">
        <v>176</v>
      </c>
    </row>
    <row r="81" spans="3:18" ht="15" thickTop="1" thickBot="1" x14ac:dyDescent="0.2">
      <c r="C81" s="70"/>
      <c r="D81" s="185" t="s">
        <v>39</v>
      </c>
      <c r="E81" s="186" t="s">
        <v>39</v>
      </c>
      <c r="F81" s="186" t="s">
        <v>39</v>
      </c>
      <c r="G81" s="65" t="s">
        <v>39</v>
      </c>
      <c r="H81" s="65" t="s">
        <v>39</v>
      </c>
      <c r="I81" s="186" t="s">
        <v>39</v>
      </c>
      <c r="J81" s="186"/>
      <c r="K81" s="186" t="s">
        <v>32</v>
      </c>
      <c r="L81" s="186" t="s">
        <v>32</v>
      </c>
      <c r="M81" s="186" t="s">
        <v>32</v>
      </c>
      <c r="N81" s="186" t="s">
        <v>32</v>
      </c>
      <c r="O81" s="186" t="s">
        <v>32</v>
      </c>
      <c r="P81" s="65" t="s">
        <v>32</v>
      </c>
      <c r="Q81" s="65" t="s">
        <v>32</v>
      </c>
      <c r="R81" s="66" t="s">
        <v>32</v>
      </c>
    </row>
    <row r="82" spans="3:18" ht="17" thickTop="1" x14ac:dyDescent="0.2">
      <c r="C82" s="24" t="s">
        <v>113</v>
      </c>
      <c r="D82" s="42">
        <f ca="1">INDIRECT(ADDRESS($D77+27,D$1,4,TRUE,"Car+SUV"))-D84</f>
        <v>93585.669024202478</v>
      </c>
      <c r="E82" s="40">
        <f t="shared" ref="E82:R82" ca="1" si="31">INDIRECT(ADDRESS($D77+27,E$1,4,TRUE,"Car+SUV"))-E84</f>
        <v>94830.599004798671</v>
      </c>
      <c r="F82" s="40">
        <f t="shared" ca="1" si="31"/>
        <v>96290.774507573529</v>
      </c>
      <c r="G82" s="40">
        <f t="shared" ca="1" si="31"/>
        <v>99518.37077055969</v>
      </c>
      <c r="H82" s="40">
        <f t="shared" ca="1" si="31"/>
        <v>103320.42935409682</v>
      </c>
      <c r="I82" s="40">
        <f t="shared" ca="1" si="31"/>
        <v>106296.57325551537</v>
      </c>
      <c r="J82" s="40">
        <f t="shared" ca="1" si="31"/>
        <v>108724.69144704264</v>
      </c>
      <c r="K82" s="40">
        <f t="shared" ca="1" si="31"/>
        <v>112897.56312932787</v>
      </c>
      <c r="L82" s="40">
        <f t="shared" ca="1" si="31"/>
        <v>112061.51930111689</v>
      </c>
      <c r="M82" s="40">
        <f t="shared" ca="1" si="31"/>
        <v>109943.50444165412</v>
      </c>
      <c r="N82" s="40">
        <f t="shared" ca="1" si="31"/>
        <v>106531.05183448701</v>
      </c>
      <c r="O82" s="40">
        <f t="shared" ca="1" si="31"/>
        <v>103158.4188440134</v>
      </c>
      <c r="P82" s="40">
        <f t="shared" ca="1" si="31"/>
        <v>97859.926130534586</v>
      </c>
      <c r="Q82" s="40">
        <f t="shared" ca="1" si="31"/>
        <v>92309.058524579057</v>
      </c>
      <c r="R82" s="41">
        <f t="shared" ca="1" si="31"/>
        <v>86589.622414822399</v>
      </c>
    </row>
    <row r="83" spans="3:18" ht="16" x14ac:dyDescent="0.2">
      <c r="C83" s="24" t="s">
        <v>114</v>
      </c>
      <c r="D83" s="42">
        <f ca="1">INDIRECT(ADDRESS($D77+27,D$1,4,TRUE,"Van+Ute"))-D85</f>
        <v>19428.901435016782</v>
      </c>
      <c r="E83" s="43">
        <f t="shared" ref="E83:R83" ca="1" si="32">INDIRECT(ADDRESS($D77+27,E$1,4,TRUE,"Van+Ute"))-E85</f>
        <v>20215.417656315578</v>
      </c>
      <c r="F83" s="43">
        <f t="shared" ca="1" si="32"/>
        <v>20872.370347880722</v>
      </c>
      <c r="G83" s="43">
        <f t="shared" ca="1" si="32"/>
        <v>22063.9576657322</v>
      </c>
      <c r="H83" s="43">
        <f t="shared" ca="1" si="32"/>
        <v>23599.050378388813</v>
      </c>
      <c r="I83" s="43">
        <f t="shared" ca="1" si="32"/>
        <v>25877.601019386322</v>
      </c>
      <c r="J83" s="43">
        <f t="shared" ca="1" si="32"/>
        <v>27914.249176996847</v>
      </c>
      <c r="K83" s="43">
        <f t="shared" ca="1" si="32"/>
        <v>29172.406966483271</v>
      </c>
      <c r="L83" s="43">
        <f t="shared" ca="1" si="32"/>
        <v>30042.310367747072</v>
      </c>
      <c r="M83" s="43">
        <f t="shared" ca="1" si="32"/>
        <v>30384.292629900759</v>
      </c>
      <c r="N83" s="43">
        <f t="shared" ca="1" si="32"/>
        <v>30416.889258155512</v>
      </c>
      <c r="O83" s="43">
        <f t="shared" ca="1" si="32"/>
        <v>30483.471049561958</v>
      </c>
      <c r="P83" s="43">
        <f t="shared" ca="1" si="32"/>
        <v>30206.51217434687</v>
      </c>
      <c r="Q83" s="43">
        <f t="shared" ca="1" si="32"/>
        <v>29810.638873810261</v>
      </c>
      <c r="R83" s="44">
        <f t="shared" ca="1" si="32"/>
        <v>29272.225190522036</v>
      </c>
    </row>
    <row r="84" spans="3:18" ht="16" x14ac:dyDescent="0.2">
      <c r="C84" s="24" t="s">
        <v>115</v>
      </c>
      <c r="D84" s="42">
        <f ca="1">INDIRECT(ADDRESS($D77+150,D$1,4,TRUE,"Car+SUV"))</f>
        <v>173.04429650492895</v>
      </c>
      <c r="E84" s="43">
        <f t="shared" ref="E84:R84" ca="1" si="33">INDIRECT(ADDRESS($D77+150,E$1,4,TRUE,"Car+SUV"))</f>
        <v>178.04485887096774</v>
      </c>
      <c r="F84" s="43">
        <f t="shared" ca="1" si="33"/>
        <v>183.04311969839773</v>
      </c>
      <c r="G84" s="43">
        <f t="shared" ca="1" si="33"/>
        <v>206.04178075245918</v>
      </c>
      <c r="H84" s="43">
        <f t="shared" ca="1" si="33"/>
        <v>253.04889833784304</v>
      </c>
      <c r="I84" s="43">
        <f t="shared" ca="1" si="33"/>
        <v>257.9171853856563</v>
      </c>
      <c r="J84" s="43">
        <f t="shared" ca="1" si="33"/>
        <v>250.5272333927208</v>
      </c>
      <c r="K84" s="43">
        <f t="shared" ca="1" si="33"/>
        <v>283.22326456351573</v>
      </c>
      <c r="L84" s="43">
        <f t="shared" ca="1" si="33"/>
        <v>2036.9350062974274</v>
      </c>
      <c r="M84" s="43">
        <f t="shared" ca="1" si="33"/>
        <v>3822.6234581225294</v>
      </c>
      <c r="N84" s="43">
        <f t="shared" ca="1" si="33"/>
        <v>5592.4207494605889</v>
      </c>
      <c r="O84" s="43">
        <f t="shared" ca="1" si="33"/>
        <v>7337.9252821684631</v>
      </c>
      <c r="P84" s="43">
        <f t="shared" ca="1" si="33"/>
        <v>9044.7014012393247</v>
      </c>
      <c r="Q84" s="43">
        <f t="shared" ca="1" si="33"/>
        <v>10701.439776255396</v>
      </c>
      <c r="R84" s="44">
        <f t="shared" ca="1" si="33"/>
        <v>12305.992054748742</v>
      </c>
    </row>
    <row r="85" spans="3:18" ht="16" x14ac:dyDescent="0.2">
      <c r="C85" s="24" t="s">
        <v>116</v>
      </c>
      <c r="D85" s="42">
        <f ca="1">INDIRECT(ADDRESS($D77+150,D$1,4,TRUE,"Van+Ute"))</f>
        <v>72</v>
      </c>
      <c r="E85" s="43">
        <f t="shared" ref="E85:R85" ca="1" si="34">INDIRECT(ADDRESS($D77+150,E$1,4,TRUE,"Van+Ute"))</f>
        <v>75</v>
      </c>
      <c r="F85" s="43">
        <f t="shared" ca="1" si="34"/>
        <v>79</v>
      </c>
      <c r="G85" s="43">
        <f t="shared" ca="1" si="34"/>
        <v>91</v>
      </c>
      <c r="H85" s="43">
        <f t="shared" ca="1" si="34"/>
        <v>93</v>
      </c>
      <c r="I85" s="43">
        <f t="shared" ca="1" si="34"/>
        <v>121.95507840821993</v>
      </c>
      <c r="J85" s="43">
        <f t="shared" ca="1" si="34"/>
        <v>119.93938781490949</v>
      </c>
      <c r="K85" s="43">
        <f t="shared" ca="1" si="34"/>
        <v>135.59254419833155</v>
      </c>
      <c r="L85" s="43">
        <f t="shared" ca="1" si="34"/>
        <v>654.93036218658756</v>
      </c>
      <c r="M85" s="43">
        <f t="shared" ca="1" si="34"/>
        <v>1182.8451559200123</v>
      </c>
      <c r="N85" s="43">
        <f t="shared" ca="1" si="34"/>
        <v>1706.0385686206571</v>
      </c>
      <c r="O85" s="43">
        <f t="shared" ca="1" si="34"/>
        <v>2222.7272978699984</v>
      </c>
      <c r="P85" s="43">
        <f t="shared" ca="1" si="34"/>
        <v>2727.2267921833718</v>
      </c>
      <c r="Q85" s="43">
        <f t="shared" ca="1" si="34"/>
        <v>3217.749525868041</v>
      </c>
      <c r="R85" s="44">
        <f t="shared" ca="1" si="34"/>
        <v>3693.790889220832</v>
      </c>
    </row>
    <row r="86" spans="3:18" ht="16" x14ac:dyDescent="0.2">
      <c r="C86" s="24" t="s">
        <v>43</v>
      </c>
      <c r="D86" s="187" t="s">
        <v>108</v>
      </c>
      <c r="E86" s="188" t="s">
        <v>108</v>
      </c>
      <c r="F86" s="188" t="s">
        <v>108</v>
      </c>
      <c r="G86" s="188" t="s">
        <v>108</v>
      </c>
      <c r="H86" s="188" t="s">
        <v>108</v>
      </c>
      <c r="I86" s="188" t="s">
        <v>108</v>
      </c>
      <c r="J86" s="188" t="s">
        <v>108</v>
      </c>
      <c r="K86" s="188" t="s">
        <v>108</v>
      </c>
      <c r="L86" s="188" t="s">
        <v>108</v>
      </c>
      <c r="M86" s="188" t="s">
        <v>108</v>
      </c>
      <c r="N86" s="188" t="s">
        <v>108</v>
      </c>
      <c r="O86" s="188" t="s">
        <v>108</v>
      </c>
      <c r="P86" s="188" t="s">
        <v>108</v>
      </c>
      <c r="Q86" s="188" t="s">
        <v>108</v>
      </c>
      <c r="R86" s="194" t="s">
        <v>108</v>
      </c>
    </row>
    <row r="87" spans="3:18" ht="16" x14ac:dyDescent="0.2">
      <c r="C87" s="24" t="s">
        <v>44</v>
      </c>
      <c r="D87" s="187" t="s">
        <v>108</v>
      </c>
      <c r="E87" s="188" t="s">
        <v>108</v>
      </c>
      <c r="F87" s="188" t="s">
        <v>108</v>
      </c>
      <c r="G87" s="188" t="s">
        <v>108</v>
      </c>
      <c r="H87" s="188" t="s">
        <v>108</v>
      </c>
      <c r="I87" s="188" t="s">
        <v>108</v>
      </c>
      <c r="J87" s="188" t="s">
        <v>108</v>
      </c>
      <c r="K87" s="188" t="s">
        <v>108</v>
      </c>
      <c r="L87" s="188" t="s">
        <v>108</v>
      </c>
      <c r="M87" s="188" t="s">
        <v>108</v>
      </c>
      <c r="N87" s="188" t="s">
        <v>108</v>
      </c>
      <c r="O87" s="188" t="s">
        <v>108</v>
      </c>
      <c r="P87" s="188" t="s">
        <v>108</v>
      </c>
      <c r="Q87" s="188" t="s">
        <v>108</v>
      </c>
      <c r="R87" s="194" t="s">
        <v>108</v>
      </c>
    </row>
    <row r="88" spans="3:18" ht="17" thickBot="1" x14ac:dyDescent="0.25">
      <c r="C88" s="24" t="s">
        <v>42</v>
      </c>
      <c r="D88" s="42">
        <f ca="1">INDIRECT(ADDRESS($D77+27,D$1,4,TRUE,"Motorcycle"))</f>
        <v>4852.2852979767595</v>
      </c>
      <c r="E88" s="43">
        <f t="shared" ref="E88:R88" ca="1" si="35">INDIRECT(ADDRESS($D77+27,E$1,4,TRUE,"Motorcycle"))</f>
        <v>4943.3569950230849</v>
      </c>
      <c r="F88" s="43">
        <f t="shared" ca="1" si="35"/>
        <v>5132.0279140441307</v>
      </c>
      <c r="G88" s="43">
        <f t="shared" ca="1" si="35"/>
        <v>5199.992387503873</v>
      </c>
      <c r="H88" s="43">
        <f t="shared" ca="1" si="35"/>
        <v>5366.4183671577021</v>
      </c>
      <c r="I88" s="43">
        <f t="shared" ca="1" si="35"/>
        <v>5697.4069792025321</v>
      </c>
      <c r="J88" s="43">
        <f t="shared" ca="1" si="35"/>
        <v>5940.7432430845129</v>
      </c>
      <c r="K88" s="43">
        <f t="shared" ca="1" si="35"/>
        <v>6094.9597020407828</v>
      </c>
      <c r="L88" s="43">
        <f t="shared" ca="1" si="35"/>
        <v>6087.547598702391</v>
      </c>
      <c r="M88" s="43">
        <f t="shared" ca="1" si="35"/>
        <v>6013.9925493650417</v>
      </c>
      <c r="N88" s="43">
        <f t="shared" ca="1" si="35"/>
        <v>5837.0824909075045</v>
      </c>
      <c r="O88" s="43">
        <f t="shared" ca="1" si="35"/>
        <v>5635.1202039481568</v>
      </c>
      <c r="P88" s="43">
        <f t="shared" ca="1" si="35"/>
        <v>5634.9417967655745</v>
      </c>
      <c r="Q88" s="43">
        <f t="shared" ca="1" si="35"/>
        <v>5617.0430653159465</v>
      </c>
      <c r="R88" s="44">
        <f t="shared" ca="1" si="35"/>
        <v>5587.3658563440058</v>
      </c>
    </row>
    <row r="89" spans="3:18" ht="19" thickTop="1" thickBot="1" x14ac:dyDescent="0.25">
      <c r="C89" s="31" t="s">
        <v>45</v>
      </c>
      <c r="D89" s="189">
        <f ca="1">SUM(D82:D88)</f>
        <v>118111.90005370096</v>
      </c>
      <c r="E89" s="48">
        <f t="shared" ref="E89:R89" ca="1" si="36">SUM(E82:E88)</f>
        <v>120242.41851500831</v>
      </c>
      <c r="F89" s="48">
        <f t="shared" ca="1" si="36"/>
        <v>122557.21588919677</v>
      </c>
      <c r="G89" s="48">
        <f t="shared" ca="1" si="36"/>
        <v>127079.36260454822</v>
      </c>
      <c r="H89" s="48">
        <f t="shared" ca="1" si="36"/>
        <v>132631.94699798117</v>
      </c>
      <c r="I89" s="48">
        <f t="shared" ca="1" si="36"/>
        <v>138251.45351789807</v>
      </c>
      <c r="J89" s="48">
        <f t="shared" ca="1" si="36"/>
        <v>142950.15048833165</v>
      </c>
      <c r="K89" s="48">
        <f t="shared" ca="1" si="36"/>
        <v>148583.74560661378</v>
      </c>
      <c r="L89" s="48">
        <f t="shared" ca="1" si="36"/>
        <v>150883.24263605039</v>
      </c>
      <c r="M89" s="48">
        <f t="shared" ca="1" si="36"/>
        <v>151347.25823496247</v>
      </c>
      <c r="N89" s="48">
        <f t="shared" ca="1" si="36"/>
        <v>150083.48290163127</v>
      </c>
      <c r="O89" s="48">
        <f t="shared" ca="1" si="36"/>
        <v>148837.66267756198</v>
      </c>
      <c r="P89" s="48">
        <f t="shared" ca="1" si="36"/>
        <v>145473.30829506973</v>
      </c>
      <c r="Q89" s="48">
        <f t="shared" ca="1" si="36"/>
        <v>141655.92976582871</v>
      </c>
      <c r="R89" s="49">
        <f t="shared" ca="1" si="36"/>
        <v>137448.99640565799</v>
      </c>
    </row>
    <row r="90" spans="3:18" ht="14" thickTop="1" x14ac:dyDescent="0.15"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43"/>
    </row>
    <row r="91" spans="3:18" ht="14" thickBot="1" x14ac:dyDescent="0.2"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43"/>
    </row>
    <row r="92" spans="3:18" ht="18" thickTop="1" thickBot="1" x14ac:dyDescent="0.25">
      <c r="C92" s="180" t="str">
        <f ca="1">INDIRECT(ADDRESS(D92+27,3,4,TRUE,"Car+SUV"))</f>
        <v>Taranaki</v>
      </c>
      <c r="D92" s="190">
        <v>7</v>
      </c>
      <c r="E92" s="145" t="s">
        <v>170</v>
      </c>
      <c r="F92" s="145"/>
      <c r="G92" s="145"/>
      <c r="H92" s="145"/>
      <c r="I92" s="145"/>
      <c r="J92" s="145"/>
      <c r="K92" s="145"/>
      <c r="L92" s="145"/>
      <c r="M92" s="145"/>
      <c r="N92" s="145"/>
      <c r="O92" s="43"/>
    </row>
    <row r="93" spans="3:18" ht="15" thickTop="1" thickBot="1" x14ac:dyDescent="0.2"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43"/>
    </row>
    <row r="94" spans="3:18" ht="17" thickTop="1" x14ac:dyDescent="0.2">
      <c r="C94" s="32" t="s">
        <v>46</v>
      </c>
      <c r="D94" s="183"/>
      <c r="E94" s="183"/>
      <c r="F94" s="183"/>
      <c r="G94" s="183"/>
      <c r="H94" s="183"/>
      <c r="I94" s="183"/>
      <c r="J94" s="183"/>
      <c r="K94" s="40"/>
      <c r="L94" s="40"/>
      <c r="M94" s="40"/>
      <c r="N94" s="40"/>
      <c r="O94" s="40"/>
      <c r="P94" s="34"/>
      <c r="Q94" s="34"/>
      <c r="R94" s="35"/>
    </row>
    <row r="95" spans="3:18" ht="14" thickBot="1" x14ac:dyDescent="0.2">
      <c r="C95" s="36"/>
      <c r="D95" s="184" t="s">
        <v>25</v>
      </c>
      <c r="E95" s="184" t="s">
        <v>37</v>
      </c>
      <c r="F95" s="184" t="s">
        <v>38</v>
      </c>
      <c r="G95" s="37" t="s">
        <v>177</v>
      </c>
      <c r="H95" s="37" t="s">
        <v>178</v>
      </c>
      <c r="I95" s="184" t="s">
        <v>26</v>
      </c>
      <c r="J95" s="184"/>
      <c r="K95" s="184" t="s">
        <v>27</v>
      </c>
      <c r="L95" s="184" t="s">
        <v>28</v>
      </c>
      <c r="M95" s="184" t="s">
        <v>29</v>
      </c>
      <c r="N95" s="184" t="s">
        <v>30</v>
      </c>
      <c r="O95" s="184" t="s">
        <v>31</v>
      </c>
      <c r="P95" s="37" t="s">
        <v>174</v>
      </c>
      <c r="Q95" s="37" t="s">
        <v>175</v>
      </c>
      <c r="R95" s="38" t="s">
        <v>176</v>
      </c>
    </row>
    <row r="96" spans="3:18" ht="15" thickTop="1" thickBot="1" x14ac:dyDescent="0.2">
      <c r="C96" s="70"/>
      <c r="D96" s="185" t="s">
        <v>39</v>
      </c>
      <c r="E96" s="186" t="s">
        <v>39</v>
      </c>
      <c r="F96" s="186" t="s">
        <v>39</v>
      </c>
      <c r="G96" s="65" t="s">
        <v>39</v>
      </c>
      <c r="H96" s="65" t="s">
        <v>39</v>
      </c>
      <c r="I96" s="186" t="s">
        <v>39</v>
      </c>
      <c r="J96" s="186"/>
      <c r="K96" s="186" t="s">
        <v>32</v>
      </c>
      <c r="L96" s="186" t="s">
        <v>32</v>
      </c>
      <c r="M96" s="186" t="s">
        <v>32</v>
      </c>
      <c r="N96" s="186" t="s">
        <v>32</v>
      </c>
      <c r="O96" s="186" t="s">
        <v>32</v>
      </c>
      <c r="P96" s="65" t="s">
        <v>32</v>
      </c>
      <c r="Q96" s="65" t="s">
        <v>32</v>
      </c>
      <c r="R96" s="66" t="s">
        <v>32</v>
      </c>
    </row>
    <row r="97" spans="3:18" ht="17" thickTop="1" x14ac:dyDescent="0.2">
      <c r="C97" s="24" t="s">
        <v>113</v>
      </c>
      <c r="D97" s="42">
        <f ca="1">INDIRECT(ADDRESS($D92+27,D$1,4,TRUE,"Car+SUV"))-D99</f>
        <v>69368.50443677466</v>
      </c>
      <c r="E97" s="40">
        <f t="shared" ref="E97:R97" ca="1" si="37">INDIRECT(ADDRESS($D92+27,E$1,4,TRUE,"Car+SUV"))-E99</f>
        <v>71159.723623058235</v>
      </c>
      <c r="F97" s="40">
        <f t="shared" ca="1" si="37"/>
        <v>72025.367835245997</v>
      </c>
      <c r="G97" s="40">
        <f t="shared" ca="1" si="37"/>
        <v>73259.912879703625</v>
      </c>
      <c r="H97" s="40">
        <f t="shared" ca="1" si="37"/>
        <v>74530.447315389669</v>
      </c>
      <c r="I97" s="40">
        <f t="shared" ca="1" si="37"/>
        <v>78808.270843436258</v>
      </c>
      <c r="J97" s="40">
        <f t="shared" ca="1" si="37"/>
        <v>80217.058172276724</v>
      </c>
      <c r="K97" s="40">
        <f t="shared" ca="1" si="37"/>
        <v>83550.766626491735</v>
      </c>
      <c r="L97" s="40">
        <f t="shared" ca="1" si="37"/>
        <v>83438.982664178911</v>
      </c>
      <c r="M97" s="40">
        <f t="shared" ca="1" si="37"/>
        <v>82216.922548755421</v>
      </c>
      <c r="N97" s="40">
        <f t="shared" ca="1" si="37"/>
        <v>80564.005254731965</v>
      </c>
      <c r="O97" s="40">
        <f t="shared" ca="1" si="37"/>
        <v>78781.850820116379</v>
      </c>
      <c r="P97" s="40">
        <f t="shared" ca="1" si="37"/>
        <v>75526.006161308309</v>
      </c>
      <c r="Q97" s="40">
        <f t="shared" ca="1" si="37"/>
        <v>71976.973812355689</v>
      </c>
      <c r="R97" s="41">
        <f t="shared" ca="1" si="37"/>
        <v>68200.12337899112</v>
      </c>
    </row>
    <row r="98" spans="3:18" ht="16" x14ac:dyDescent="0.2">
      <c r="C98" s="24" t="s">
        <v>114</v>
      </c>
      <c r="D98" s="42">
        <f ca="1">INDIRECT(ADDRESS($D92+27,D$1,4,TRUE,"Van+Ute"))-D100</f>
        <v>14168.272381789251</v>
      </c>
      <c r="E98" s="43">
        <f t="shared" ref="E98:R98" ca="1" si="38">INDIRECT(ADDRESS($D92+27,E$1,4,TRUE,"Van+Ute"))-E100</f>
        <v>14833.92259916243</v>
      </c>
      <c r="F98" s="43">
        <f t="shared" ca="1" si="38"/>
        <v>15377.650170660454</v>
      </c>
      <c r="G98" s="43">
        <f t="shared" ca="1" si="38"/>
        <v>15886.678361221431</v>
      </c>
      <c r="H98" s="43">
        <f t="shared" ca="1" si="38"/>
        <v>16465.693375187133</v>
      </c>
      <c r="I98" s="43">
        <f t="shared" ca="1" si="38"/>
        <v>18623.350188105112</v>
      </c>
      <c r="J98" s="43">
        <f t="shared" ca="1" si="38"/>
        <v>19494.77575280334</v>
      </c>
      <c r="K98" s="43">
        <f t="shared" ca="1" si="38"/>
        <v>20453.199019399042</v>
      </c>
      <c r="L98" s="43">
        <f t="shared" ca="1" si="38"/>
        <v>21144.163119384306</v>
      </c>
      <c r="M98" s="43">
        <f t="shared" ca="1" si="38"/>
        <v>21466.342140290544</v>
      </c>
      <c r="N98" s="43">
        <f t="shared" ca="1" si="38"/>
        <v>21683.280127770173</v>
      </c>
      <c r="O98" s="43">
        <f t="shared" ca="1" si="38"/>
        <v>21918.304379573219</v>
      </c>
      <c r="P98" s="43">
        <f t="shared" ca="1" si="38"/>
        <v>21907.793470311677</v>
      </c>
      <c r="Q98" s="43">
        <f t="shared" ca="1" si="38"/>
        <v>21808.821963119335</v>
      </c>
      <c r="R98" s="44">
        <f t="shared" ca="1" si="38"/>
        <v>21604.262453791242</v>
      </c>
    </row>
    <row r="99" spans="3:18" ht="16" x14ac:dyDescent="0.2">
      <c r="C99" s="24" t="s">
        <v>115</v>
      </c>
      <c r="D99" s="42">
        <f ca="1">INDIRECT(ADDRESS($D92+150,D$1,4,TRUE,"Car+SUV"))</f>
        <v>83.021252080399435</v>
      </c>
      <c r="E99" s="43">
        <f t="shared" ref="E99:R99" ca="1" si="39">INDIRECT(ADDRESS($D92+150,E$1,4,TRUE,"Car+SUV"))</f>
        <v>89.022429435483872</v>
      </c>
      <c r="F99" s="43">
        <f t="shared" ca="1" si="39"/>
        <v>86.020263901979263</v>
      </c>
      <c r="G99" s="43">
        <f t="shared" ca="1" si="39"/>
        <v>82.01663117330898</v>
      </c>
      <c r="H99" s="43">
        <f t="shared" ca="1" si="39"/>
        <v>92.017781213761111</v>
      </c>
      <c r="I99" s="43">
        <f t="shared" ca="1" si="39"/>
        <v>98.553721244925569</v>
      </c>
      <c r="J99" s="43">
        <f t="shared" ca="1" si="39"/>
        <v>102.72664800203614</v>
      </c>
      <c r="K99" s="43">
        <f t="shared" ca="1" si="39"/>
        <v>116.87609825067567</v>
      </c>
      <c r="L99" s="43">
        <f t="shared" ca="1" si="39"/>
        <v>1240.5358364524145</v>
      </c>
      <c r="M99" s="43">
        <f t="shared" ca="1" si="39"/>
        <v>2409.7450674416782</v>
      </c>
      <c r="N99" s="43">
        <f t="shared" ca="1" si="39"/>
        <v>3598.3321722604724</v>
      </c>
      <c r="O99" s="43">
        <f t="shared" ca="1" si="39"/>
        <v>4804.9875430539887</v>
      </c>
      <c r="P99" s="43">
        <f t="shared" ca="1" si="39"/>
        <v>6018.1953746418649</v>
      </c>
      <c r="Q99" s="43">
        <f t="shared" ca="1" si="39"/>
        <v>7227.8124510047219</v>
      </c>
      <c r="R99" s="44">
        <f t="shared" ca="1" si="39"/>
        <v>8431.2777271650048</v>
      </c>
    </row>
    <row r="100" spans="3:18" ht="16" x14ac:dyDescent="0.2">
      <c r="C100" s="24" t="s">
        <v>116</v>
      </c>
      <c r="D100" s="42">
        <f ca="1">INDIRECT(ADDRESS($D92+150,D$1,4,TRUE,"Van+Ute"))</f>
        <v>32</v>
      </c>
      <c r="E100" s="43">
        <f t="shared" ref="E100:R100" ca="1" si="40">INDIRECT(ADDRESS($D92+150,E$1,4,TRUE,"Van+Ute"))</f>
        <v>36</v>
      </c>
      <c r="F100" s="43">
        <f t="shared" ca="1" si="40"/>
        <v>36</v>
      </c>
      <c r="G100" s="43">
        <f t="shared" ca="1" si="40"/>
        <v>35</v>
      </c>
      <c r="H100" s="43">
        <f t="shared" ca="1" si="40"/>
        <v>38</v>
      </c>
      <c r="I100" s="43">
        <f t="shared" ca="1" si="40"/>
        <v>50.902989248648318</v>
      </c>
      <c r="J100" s="43">
        <f t="shared" ca="1" si="40"/>
        <v>53.070525581818359</v>
      </c>
      <c r="K100" s="43">
        <f t="shared" ca="1" si="40"/>
        <v>60.380398686742467</v>
      </c>
      <c r="L100" s="43">
        <f t="shared" ca="1" si="40"/>
        <v>493.83694299851061</v>
      </c>
      <c r="M100" s="43">
        <f t="shared" ca="1" si="40"/>
        <v>944.58578625187579</v>
      </c>
      <c r="N100" s="43">
        <f t="shared" ca="1" si="40"/>
        <v>1402.7802396797993</v>
      </c>
      <c r="O100" s="43">
        <f t="shared" ca="1" si="40"/>
        <v>1868.1227743226857</v>
      </c>
      <c r="P100" s="43">
        <f t="shared" ca="1" si="40"/>
        <v>2335.7050113552327</v>
      </c>
      <c r="Q100" s="43">
        <f t="shared" ca="1" si="40"/>
        <v>2802.1001821108039</v>
      </c>
      <c r="R100" s="44">
        <f t="shared" ca="1" si="40"/>
        <v>3266.3587494389003</v>
      </c>
    </row>
    <row r="101" spans="3:18" ht="16" x14ac:dyDescent="0.2">
      <c r="C101" s="24" t="s">
        <v>43</v>
      </c>
      <c r="D101" s="187" t="s">
        <v>108</v>
      </c>
      <c r="E101" s="188" t="s">
        <v>108</v>
      </c>
      <c r="F101" s="188" t="s">
        <v>108</v>
      </c>
      <c r="G101" s="188" t="s">
        <v>108</v>
      </c>
      <c r="H101" s="188" t="s">
        <v>108</v>
      </c>
      <c r="I101" s="188" t="s">
        <v>108</v>
      </c>
      <c r="J101" s="188" t="s">
        <v>108</v>
      </c>
      <c r="K101" s="188" t="s">
        <v>108</v>
      </c>
      <c r="L101" s="188" t="s">
        <v>108</v>
      </c>
      <c r="M101" s="188" t="s">
        <v>108</v>
      </c>
      <c r="N101" s="188" t="s">
        <v>108</v>
      </c>
      <c r="O101" s="188" t="s">
        <v>108</v>
      </c>
      <c r="P101" s="188" t="s">
        <v>108</v>
      </c>
      <c r="Q101" s="188" t="s">
        <v>108</v>
      </c>
      <c r="R101" s="194" t="s">
        <v>108</v>
      </c>
    </row>
    <row r="102" spans="3:18" ht="16" x14ac:dyDescent="0.2">
      <c r="C102" s="24" t="s">
        <v>44</v>
      </c>
      <c r="D102" s="187" t="s">
        <v>108</v>
      </c>
      <c r="E102" s="188" t="s">
        <v>108</v>
      </c>
      <c r="F102" s="188" t="s">
        <v>108</v>
      </c>
      <c r="G102" s="188" t="s">
        <v>108</v>
      </c>
      <c r="H102" s="188" t="s">
        <v>108</v>
      </c>
      <c r="I102" s="188" t="s">
        <v>108</v>
      </c>
      <c r="J102" s="188" t="s">
        <v>108</v>
      </c>
      <c r="K102" s="188" t="s">
        <v>108</v>
      </c>
      <c r="L102" s="188" t="s">
        <v>108</v>
      </c>
      <c r="M102" s="188" t="s">
        <v>108</v>
      </c>
      <c r="N102" s="188" t="s">
        <v>108</v>
      </c>
      <c r="O102" s="188" t="s">
        <v>108</v>
      </c>
      <c r="P102" s="188" t="s">
        <v>108</v>
      </c>
      <c r="Q102" s="188" t="s">
        <v>108</v>
      </c>
      <c r="R102" s="194" t="s">
        <v>108</v>
      </c>
    </row>
    <row r="103" spans="3:18" ht="17" thickBot="1" x14ac:dyDescent="0.25">
      <c r="C103" s="24" t="s">
        <v>42</v>
      </c>
      <c r="D103" s="42">
        <f ca="1">INDIRECT(ADDRESS($D92+27,D$1,4,TRUE,"Motorcycle"))</f>
        <v>5425.1680138024021</v>
      </c>
      <c r="E103" s="43">
        <f t="shared" ref="E103:R103" ca="1" si="41">INDIRECT(ADDRESS($D92+27,E$1,4,TRUE,"Motorcycle"))</f>
        <v>5490.4478877529118</v>
      </c>
      <c r="F103" s="43">
        <f t="shared" ca="1" si="41"/>
        <v>5640.5707511641767</v>
      </c>
      <c r="G103" s="43">
        <f t="shared" ca="1" si="41"/>
        <v>5667.9309311397883</v>
      </c>
      <c r="H103" s="43">
        <f t="shared" ca="1" si="41"/>
        <v>5835.5180599256955</v>
      </c>
      <c r="I103" s="43">
        <f t="shared" ca="1" si="41"/>
        <v>5962.4268222701439</v>
      </c>
      <c r="J103" s="43">
        <f t="shared" ca="1" si="41"/>
        <v>6130.8554296117936</v>
      </c>
      <c r="K103" s="43">
        <f t="shared" ca="1" si="41"/>
        <v>6331.2886562854574</v>
      </c>
      <c r="L103" s="43">
        <f t="shared" ca="1" si="41"/>
        <v>6383.1251240920292</v>
      </c>
      <c r="M103" s="43">
        <f t="shared" ca="1" si="41"/>
        <v>6372.8048554664401</v>
      </c>
      <c r="N103" s="43">
        <f t="shared" ca="1" si="41"/>
        <v>6260.3039919227758</v>
      </c>
      <c r="O103" s="43">
        <f t="shared" ca="1" si="41"/>
        <v>6125.8125449412855</v>
      </c>
      <c r="P103" s="43">
        <f t="shared" ca="1" si="41"/>
        <v>6208.8458819151301</v>
      </c>
      <c r="Q103" s="43">
        <f t="shared" ca="1" si="41"/>
        <v>6273.2143260429493</v>
      </c>
      <c r="R103" s="44">
        <f t="shared" ca="1" si="41"/>
        <v>6324.8525938079456</v>
      </c>
    </row>
    <row r="104" spans="3:18" ht="19" thickTop="1" thickBot="1" x14ac:dyDescent="0.25">
      <c r="C104" s="31" t="s">
        <v>45</v>
      </c>
      <c r="D104" s="189">
        <f ca="1">SUM(D97:D103)</f>
        <v>89076.966084446729</v>
      </c>
      <c r="E104" s="48">
        <f t="shared" ref="E104:R104" ca="1" si="42">SUM(E97:E103)</f>
        <v>91609.116539409064</v>
      </c>
      <c r="F104" s="48">
        <f t="shared" ca="1" si="42"/>
        <v>93165.609020972624</v>
      </c>
      <c r="G104" s="48">
        <f t="shared" ca="1" si="42"/>
        <v>94931.53880323816</v>
      </c>
      <c r="H104" s="48">
        <f t="shared" ca="1" si="42"/>
        <v>96961.676531716264</v>
      </c>
      <c r="I104" s="48">
        <f t="shared" ca="1" si="42"/>
        <v>103543.5045643051</v>
      </c>
      <c r="J104" s="48">
        <f t="shared" ca="1" si="42"/>
        <v>105998.48652827571</v>
      </c>
      <c r="K104" s="48">
        <f t="shared" ca="1" si="42"/>
        <v>110512.51079911365</v>
      </c>
      <c r="L104" s="48">
        <f t="shared" ca="1" si="42"/>
        <v>112700.64368710617</v>
      </c>
      <c r="M104" s="48">
        <f t="shared" ca="1" si="42"/>
        <v>113410.40039820595</v>
      </c>
      <c r="N104" s="48">
        <f t="shared" ca="1" si="42"/>
        <v>113508.70178636517</v>
      </c>
      <c r="O104" s="48">
        <f t="shared" ca="1" si="42"/>
        <v>113499.07806200757</v>
      </c>
      <c r="P104" s="48">
        <f t="shared" ca="1" si="42"/>
        <v>111996.54589953221</v>
      </c>
      <c r="Q104" s="48">
        <f t="shared" ca="1" si="42"/>
        <v>110088.9227346335</v>
      </c>
      <c r="R104" s="49">
        <f t="shared" ca="1" si="42"/>
        <v>107826.87490319421</v>
      </c>
    </row>
    <row r="105" spans="3:18" ht="14" thickTop="1" x14ac:dyDescent="0.15"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43"/>
    </row>
    <row r="106" spans="3:18" ht="14" thickBot="1" x14ac:dyDescent="0.2"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43"/>
    </row>
    <row r="107" spans="3:18" ht="18" thickTop="1" thickBot="1" x14ac:dyDescent="0.25">
      <c r="C107" s="180" t="str">
        <f ca="1">INDIRECT(ADDRESS(D107+27,3,4,TRUE,"Car+SUV"))</f>
        <v>Manawatu</v>
      </c>
      <c r="D107" s="190">
        <v>8</v>
      </c>
      <c r="E107" s="145" t="s">
        <v>170</v>
      </c>
      <c r="F107" s="145"/>
      <c r="G107" s="145"/>
      <c r="H107" s="145"/>
      <c r="I107" s="145"/>
      <c r="J107" s="145"/>
      <c r="K107" s="145"/>
      <c r="L107" s="145"/>
      <c r="M107" s="145"/>
      <c r="N107" s="145"/>
      <c r="O107" s="43"/>
    </row>
    <row r="108" spans="3:18" ht="15" thickTop="1" thickBot="1" x14ac:dyDescent="0.2"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43"/>
    </row>
    <row r="109" spans="3:18" ht="17" thickTop="1" x14ac:dyDescent="0.2">
      <c r="C109" s="32" t="s">
        <v>46</v>
      </c>
      <c r="D109" s="183"/>
      <c r="E109" s="183"/>
      <c r="F109" s="183"/>
      <c r="G109" s="183"/>
      <c r="H109" s="183"/>
      <c r="I109" s="183"/>
      <c r="J109" s="183"/>
      <c r="K109" s="40"/>
      <c r="L109" s="40"/>
      <c r="M109" s="40"/>
      <c r="N109" s="40"/>
      <c r="O109" s="40"/>
      <c r="P109" s="34"/>
      <c r="Q109" s="34"/>
      <c r="R109" s="35"/>
    </row>
    <row r="110" spans="3:18" ht="14" thickBot="1" x14ac:dyDescent="0.2">
      <c r="C110" s="36"/>
      <c r="D110" s="184" t="s">
        <v>25</v>
      </c>
      <c r="E110" s="184" t="s">
        <v>37</v>
      </c>
      <c r="F110" s="184" t="s">
        <v>38</v>
      </c>
      <c r="G110" s="37" t="s">
        <v>177</v>
      </c>
      <c r="H110" s="37" t="s">
        <v>178</v>
      </c>
      <c r="I110" s="184" t="s">
        <v>26</v>
      </c>
      <c r="J110" s="184"/>
      <c r="K110" s="184" t="s">
        <v>27</v>
      </c>
      <c r="L110" s="184" t="s">
        <v>28</v>
      </c>
      <c r="M110" s="184" t="s">
        <v>29</v>
      </c>
      <c r="N110" s="184" t="s">
        <v>30</v>
      </c>
      <c r="O110" s="184" t="s">
        <v>31</v>
      </c>
      <c r="P110" s="37" t="s">
        <v>174</v>
      </c>
      <c r="Q110" s="37" t="s">
        <v>175</v>
      </c>
      <c r="R110" s="38" t="s">
        <v>176</v>
      </c>
    </row>
    <row r="111" spans="3:18" ht="15" thickTop="1" thickBot="1" x14ac:dyDescent="0.2">
      <c r="C111" s="70"/>
      <c r="D111" s="185" t="s">
        <v>39</v>
      </c>
      <c r="E111" s="186" t="s">
        <v>39</v>
      </c>
      <c r="F111" s="186" t="s">
        <v>39</v>
      </c>
      <c r="G111" s="65" t="s">
        <v>39</v>
      </c>
      <c r="H111" s="65" t="s">
        <v>39</v>
      </c>
      <c r="I111" s="186" t="s">
        <v>39</v>
      </c>
      <c r="J111" s="186"/>
      <c r="K111" s="186" t="s">
        <v>32</v>
      </c>
      <c r="L111" s="186" t="s">
        <v>32</v>
      </c>
      <c r="M111" s="186" t="s">
        <v>32</v>
      </c>
      <c r="N111" s="186" t="s">
        <v>32</v>
      </c>
      <c r="O111" s="186" t="s">
        <v>32</v>
      </c>
      <c r="P111" s="65" t="s">
        <v>32</v>
      </c>
      <c r="Q111" s="65" t="s">
        <v>32</v>
      </c>
      <c r="R111" s="66" t="s">
        <v>32</v>
      </c>
    </row>
    <row r="112" spans="3:18" ht="17" thickTop="1" x14ac:dyDescent="0.2">
      <c r="C112" s="24" t="s">
        <v>113</v>
      </c>
      <c r="D112" s="42">
        <f ca="1">INDIRECT(ADDRESS($D107+27,D$1,4,TRUE,"Car+SUV"))-D114</f>
        <v>139118.63632789496</v>
      </c>
      <c r="E112" s="40">
        <f t="shared" ref="E112:R112" ca="1" si="43">INDIRECT(ADDRESS($D107+27,E$1,4,TRUE,"Car+SUV"))-E114</f>
        <v>140884.66423313753</v>
      </c>
      <c r="F112" s="40">
        <f t="shared" ca="1" si="43"/>
        <v>143852.29786635653</v>
      </c>
      <c r="G112" s="40">
        <f t="shared" ca="1" si="43"/>
        <v>147595.93862903633</v>
      </c>
      <c r="H112" s="40">
        <f t="shared" ca="1" si="43"/>
        <v>151671.56936519183</v>
      </c>
      <c r="I112" s="40">
        <f t="shared" ca="1" si="43"/>
        <v>155305.74056378801</v>
      </c>
      <c r="J112" s="40">
        <f t="shared" ca="1" si="43"/>
        <v>159296.27743425424</v>
      </c>
      <c r="K112" s="40">
        <f t="shared" ca="1" si="43"/>
        <v>164592.6807736574</v>
      </c>
      <c r="L112" s="40">
        <f t="shared" ca="1" si="43"/>
        <v>162527.48338547131</v>
      </c>
      <c r="M112" s="40">
        <f t="shared" ca="1" si="43"/>
        <v>159188.63722102853</v>
      </c>
      <c r="N112" s="40">
        <f t="shared" ca="1" si="43"/>
        <v>153884.09009285033</v>
      </c>
      <c r="O112" s="40">
        <f t="shared" ca="1" si="43"/>
        <v>148616.51715449989</v>
      </c>
      <c r="P112" s="40">
        <f t="shared" ca="1" si="43"/>
        <v>140457.14252963482</v>
      </c>
      <c r="Q112" s="40">
        <f t="shared" ca="1" si="43"/>
        <v>131968.18625949498</v>
      </c>
      <c r="R112" s="41">
        <f t="shared" ca="1" si="43"/>
        <v>123283.95217051479</v>
      </c>
    </row>
    <row r="113" spans="3:18" ht="16" x14ac:dyDescent="0.2">
      <c r="C113" s="24" t="s">
        <v>114</v>
      </c>
      <c r="D113" s="42">
        <f ca="1">INDIRECT(ADDRESS($D107+27,D$1,4,TRUE,"Van+Ute"))-D115</f>
        <v>28243.755748022464</v>
      </c>
      <c r="E113" s="43">
        <f t="shared" ref="E113:R113" ca="1" si="44">INDIRECT(ADDRESS($D107+27,E$1,4,TRUE,"Van+Ute"))-E115</f>
        <v>29323.233841753048</v>
      </c>
      <c r="F113" s="43">
        <f t="shared" ca="1" si="44"/>
        <v>30686.775079626481</v>
      </c>
      <c r="G113" s="43">
        <f t="shared" ca="1" si="44"/>
        <v>32572.066889883863</v>
      </c>
      <c r="H113" s="43">
        <f t="shared" ca="1" si="44"/>
        <v>34543.320405365143</v>
      </c>
      <c r="I113" s="43">
        <f t="shared" ca="1" si="44"/>
        <v>37232.089696095885</v>
      </c>
      <c r="J113" s="43">
        <f t="shared" ca="1" si="44"/>
        <v>39564.890826354764</v>
      </c>
      <c r="K113" s="43">
        <f t="shared" ca="1" si="44"/>
        <v>41129.338499879916</v>
      </c>
      <c r="L113" s="43">
        <f t="shared" ca="1" si="44"/>
        <v>41958.334127660914</v>
      </c>
      <c r="M113" s="43">
        <f t="shared" ca="1" si="44"/>
        <v>42197.816736920155</v>
      </c>
      <c r="N113" s="43">
        <f t="shared" ca="1" si="44"/>
        <v>41984.905097331786</v>
      </c>
      <c r="O113" s="43">
        <f t="shared" ca="1" si="44"/>
        <v>41812.406674498372</v>
      </c>
      <c r="P113" s="43">
        <f t="shared" ca="1" si="44"/>
        <v>41108.878216246601</v>
      </c>
      <c r="Q113" s="43">
        <f t="shared" ca="1" si="44"/>
        <v>40253.698393316678</v>
      </c>
      <c r="R113" s="44">
        <f t="shared" ca="1" si="44"/>
        <v>39225.257828912494</v>
      </c>
    </row>
    <row r="114" spans="3:18" ht="16" x14ac:dyDescent="0.2">
      <c r="C114" s="24" t="s">
        <v>115</v>
      </c>
      <c r="D114" s="42">
        <f ca="1">INDIRECT(ADDRESS($D107+150,D$1,4,TRUE,"Car+SUV"))</f>
        <v>156.03994366918448</v>
      </c>
      <c r="E114" s="43">
        <f t="shared" ref="E114:R114" ca="1" si="45">INDIRECT(ADDRESS($D107+150,E$1,4,TRUE,"Car+SUV"))</f>
        <v>150.03780241935485</v>
      </c>
      <c r="F114" s="43">
        <f t="shared" ca="1" si="45"/>
        <v>149.03510838831292</v>
      </c>
      <c r="G114" s="43">
        <f t="shared" ca="1" si="45"/>
        <v>159.03224825068449</v>
      </c>
      <c r="H114" s="43">
        <f t="shared" ca="1" si="45"/>
        <v>168.03247004252029</v>
      </c>
      <c r="I114" s="43">
        <f t="shared" ca="1" si="45"/>
        <v>214.93098782138026</v>
      </c>
      <c r="J114" s="43">
        <f t="shared" ca="1" si="45"/>
        <v>229.56261135148893</v>
      </c>
      <c r="K114" s="43">
        <f t="shared" ca="1" si="45"/>
        <v>258.72503940588922</v>
      </c>
      <c r="L114" s="43">
        <f t="shared" ca="1" si="45"/>
        <v>2897.8301350416809</v>
      </c>
      <c r="M114" s="43">
        <f t="shared" ca="1" si="45"/>
        <v>5577.6110848008493</v>
      </c>
      <c r="N114" s="43">
        <f t="shared" ca="1" si="45"/>
        <v>8226.4536049074122</v>
      </c>
      <c r="O114" s="43">
        <f t="shared" ca="1" si="45"/>
        <v>10830.980233990931</v>
      </c>
      <c r="P114" s="43">
        <f t="shared" ca="1" si="45"/>
        <v>13373.289614787498</v>
      </c>
      <c r="Q114" s="43">
        <f t="shared" ca="1" si="45"/>
        <v>15831.475940148677</v>
      </c>
      <c r="R114" s="44">
        <f t="shared" ca="1" si="45"/>
        <v>18202.255230688079</v>
      </c>
    </row>
    <row r="115" spans="3:18" ht="16" x14ac:dyDescent="0.2">
      <c r="C115" s="24" t="s">
        <v>116</v>
      </c>
      <c r="D115" s="42">
        <f ca="1">INDIRECT(ADDRESS($D107+150,D$1,4,TRUE,"Van+Ute"))</f>
        <v>102</v>
      </c>
      <c r="E115" s="43">
        <f t="shared" ref="E115:R115" ca="1" si="46">INDIRECT(ADDRESS($D107+150,E$1,4,TRUE,"Van+Ute"))</f>
        <v>107</v>
      </c>
      <c r="F115" s="43">
        <f t="shared" ca="1" si="46"/>
        <v>97</v>
      </c>
      <c r="G115" s="43">
        <f t="shared" ca="1" si="46"/>
        <v>97</v>
      </c>
      <c r="H115" s="43">
        <f t="shared" ca="1" si="46"/>
        <v>201</v>
      </c>
      <c r="I115" s="43">
        <f t="shared" ca="1" si="46"/>
        <v>133.62034677770183</v>
      </c>
      <c r="J115" s="43">
        <f t="shared" ca="1" si="46"/>
        <v>127.36926139636407</v>
      </c>
      <c r="K115" s="43">
        <f t="shared" ca="1" si="46"/>
        <v>143.54958318285205</v>
      </c>
      <c r="L115" s="43">
        <f t="shared" ca="1" si="46"/>
        <v>856.80075878169669</v>
      </c>
      <c r="M115" s="43">
        <f t="shared" ca="1" si="46"/>
        <v>1579.8385465991819</v>
      </c>
      <c r="N115" s="43">
        <f t="shared" ca="1" si="46"/>
        <v>2294.5443902028414</v>
      </c>
      <c r="O115" s="43">
        <f t="shared" ca="1" si="46"/>
        <v>2998.2655637131779</v>
      </c>
      <c r="P115" s="43">
        <f t="shared" ca="1" si="46"/>
        <v>3684.2420718364688</v>
      </c>
      <c r="Q115" s="43">
        <f t="shared" ca="1" si="46"/>
        <v>4348.6983071700288</v>
      </c>
      <c r="R115" s="44">
        <f t="shared" ca="1" si="46"/>
        <v>4990.933667468913</v>
      </c>
    </row>
    <row r="116" spans="3:18" ht="16" x14ac:dyDescent="0.2">
      <c r="C116" s="24" t="s">
        <v>43</v>
      </c>
      <c r="D116" s="187" t="s">
        <v>108</v>
      </c>
      <c r="E116" s="188" t="s">
        <v>108</v>
      </c>
      <c r="F116" s="188" t="s">
        <v>108</v>
      </c>
      <c r="G116" s="188" t="s">
        <v>108</v>
      </c>
      <c r="H116" s="188" t="s">
        <v>108</v>
      </c>
      <c r="I116" s="188" t="s">
        <v>108</v>
      </c>
      <c r="J116" s="188" t="s">
        <v>108</v>
      </c>
      <c r="K116" s="188" t="s">
        <v>108</v>
      </c>
      <c r="L116" s="188" t="s">
        <v>108</v>
      </c>
      <c r="M116" s="188" t="s">
        <v>108</v>
      </c>
      <c r="N116" s="188" t="s">
        <v>108</v>
      </c>
      <c r="O116" s="188" t="s">
        <v>108</v>
      </c>
      <c r="P116" s="188" t="s">
        <v>108</v>
      </c>
      <c r="Q116" s="188" t="s">
        <v>108</v>
      </c>
      <c r="R116" s="194" t="s">
        <v>108</v>
      </c>
    </row>
    <row r="117" spans="3:18" ht="16" x14ac:dyDescent="0.2">
      <c r="C117" s="24" t="s">
        <v>44</v>
      </c>
      <c r="D117" s="187" t="s">
        <v>108</v>
      </c>
      <c r="E117" s="188" t="s">
        <v>108</v>
      </c>
      <c r="F117" s="188" t="s">
        <v>108</v>
      </c>
      <c r="G117" s="188" t="s">
        <v>108</v>
      </c>
      <c r="H117" s="188" t="s">
        <v>108</v>
      </c>
      <c r="I117" s="188" t="s">
        <v>108</v>
      </c>
      <c r="J117" s="188" t="s">
        <v>108</v>
      </c>
      <c r="K117" s="188" t="s">
        <v>108</v>
      </c>
      <c r="L117" s="188" t="s">
        <v>108</v>
      </c>
      <c r="M117" s="188" t="s">
        <v>108</v>
      </c>
      <c r="N117" s="188" t="s">
        <v>108</v>
      </c>
      <c r="O117" s="188" t="s">
        <v>108</v>
      </c>
      <c r="P117" s="188" t="s">
        <v>108</v>
      </c>
      <c r="Q117" s="188" t="s">
        <v>108</v>
      </c>
      <c r="R117" s="194" t="s">
        <v>108</v>
      </c>
    </row>
    <row r="118" spans="3:18" ht="17" thickBot="1" x14ac:dyDescent="0.25">
      <c r="C118" s="24" t="s">
        <v>42</v>
      </c>
      <c r="D118" s="42">
        <f ca="1">INDIRECT(ADDRESS($D107+27,D$1,4,TRUE,"Motorcycle"))</f>
        <v>9266.2996658136817</v>
      </c>
      <c r="E118" s="43">
        <f t="shared" ref="E118:R118" ca="1" si="47">INDIRECT(ADDRESS($D107+27,E$1,4,TRUE,"Motorcycle"))</f>
        <v>9512.388642388918</v>
      </c>
      <c r="F118" s="43">
        <f t="shared" ca="1" si="47"/>
        <v>9760.5781586686153</v>
      </c>
      <c r="G118" s="43">
        <f t="shared" ca="1" si="47"/>
        <v>10031.305922446116</v>
      </c>
      <c r="H118" s="43">
        <f t="shared" ca="1" si="47"/>
        <v>10250.392848974141</v>
      </c>
      <c r="I118" s="43">
        <f t="shared" ca="1" si="47"/>
        <v>10291.08425904113</v>
      </c>
      <c r="J118" s="43">
        <f t="shared" ca="1" si="47"/>
        <v>10649.433476243614</v>
      </c>
      <c r="K118" s="43">
        <f t="shared" ca="1" si="47"/>
        <v>10899.802240416351</v>
      </c>
      <c r="L118" s="43">
        <f t="shared" ca="1" si="47"/>
        <v>10853.52910594133</v>
      </c>
      <c r="M118" s="43">
        <f t="shared" ca="1" si="47"/>
        <v>10701.158652355178</v>
      </c>
      <c r="N118" s="43">
        <f t="shared" ca="1" si="47"/>
        <v>10370.081513907237</v>
      </c>
      <c r="O118" s="43">
        <f t="shared" ca="1" si="47"/>
        <v>9997.9909510062789</v>
      </c>
      <c r="P118" s="43">
        <f t="shared" ca="1" si="47"/>
        <v>9984.4053652710172</v>
      </c>
      <c r="Q118" s="43">
        <f t="shared" ca="1" si="47"/>
        <v>9939.4817250190008</v>
      </c>
      <c r="R118" s="44">
        <f t="shared" ca="1" si="47"/>
        <v>9873.8451299346998</v>
      </c>
    </row>
    <row r="119" spans="3:18" ht="19" thickTop="1" thickBot="1" x14ac:dyDescent="0.25">
      <c r="C119" s="31" t="s">
        <v>45</v>
      </c>
      <c r="D119" s="189">
        <f ca="1">SUM(D112:D118)</f>
        <v>176886.7316854003</v>
      </c>
      <c r="E119" s="48">
        <f t="shared" ref="E119:R119" ca="1" si="48">SUM(E112:E118)</f>
        <v>179977.32451969886</v>
      </c>
      <c r="F119" s="48">
        <f t="shared" ca="1" si="48"/>
        <v>184545.68621303994</v>
      </c>
      <c r="G119" s="48">
        <f t="shared" ca="1" si="48"/>
        <v>190455.34368961697</v>
      </c>
      <c r="H119" s="48">
        <f t="shared" ca="1" si="48"/>
        <v>196834.31508957365</v>
      </c>
      <c r="I119" s="48">
        <f t="shared" ca="1" si="48"/>
        <v>203177.46585352407</v>
      </c>
      <c r="J119" s="48">
        <f t="shared" ca="1" si="48"/>
        <v>209867.53360960045</v>
      </c>
      <c r="K119" s="48">
        <f t="shared" ca="1" si="48"/>
        <v>217024.09613654242</v>
      </c>
      <c r="L119" s="48">
        <f t="shared" ca="1" si="48"/>
        <v>219093.97751289693</v>
      </c>
      <c r="M119" s="48">
        <f t="shared" ca="1" si="48"/>
        <v>219245.06224170388</v>
      </c>
      <c r="N119" s="48">
        <f t="shared" ca="1" si="48"/>
        <v>216760.07469919961</v>
      </c>
      <c r="O119" s="48">
        <f t="shared" ca="1" si="48"/>
        <v>214256.16057770865</v>
      </c>
      <c r="P119" s="48">
        <f t="shared" ca="1" si="48"/>
        <v>208607.95779777641</v>
      </c>
      <c r="Q119" s="48">
        <f t="shared" ca="1" si="48"/>
        <v>202341.54062514936</v>
      </c>
      <c r="R119" s="49">
        <f t="shared" ca="1" si="48"/>
        <v>195576.24402751899</v>
      </c>
    </row>
    <row r="120" spans="3:18" ht="14" thickTop="1" x14ac:dyDescent="0.15"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43"/>
    </row>
    <row r="121" spans="3:18" ht="14" thickBot="1" x14ac:dyDescent="0.2"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43"/>
    </row>
    <row r="122" spans="3:18" ht="18" thickTop="1" thickBot="1" x14ac:dyDescent="0.25">
      <c r="C122" s="180" t="str">
        <f ca="1">INDIRECT(ADDRESS(D122+27,3,4,TRUE,"Car+SUV"))</f>
        <v>Wellington</v>
      </c>
      <c r="D122" s="190">
        <v>9</v>
      </c>
      <c r="E122" s="145" t="s">
        <v>170</v>
      </c>
      <c r="F122" s="145"/>
      <c r="G122" s="145"/>
      <c r="H122" s="145"/>
      <c r="I122" s="145"/>
      <c r="J122" s="145"/>
      <c r="K122" s="145"/>
      <c r="L122" s="145"/>
      <c r="M122" s="145"/>
      <c r="N122" s="145"/>
      <c r="O122" s="43"/>
    </row>
    <row r="123" spans="3:18" ht="15" thickTop="1" thickBot="1" x14ac:dyDescent="0.2"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43"/>
    </row>
    <row r="124" spans="3:18" ht="17" thickTop="1" x14ac:dyDescent="0.2">
      <c r="C124" s="32" t="s">
        <v>46</v>
      </c>
      <c r="D124" s="183"/>
      <c r="E124" s="183"/>
      <c r="F124" s="183"/>
      <c r="G124" s="183"/>
      <c r="H124" s="183"/>
      <c r="I124" s="183"/>
      <c r="J124" s="183"/>
      <c r="K124" s="40"/>
      <c r="L124" s="40"/>
      <c r="M124" s="40"/>
      <c r="N124" s="40"/>
      <c r="O124" s="40"/>
      <c r="P124" s="34"/>
      <c r="Q124" s="34"/>
      <c r="R124" s="35"/>
    </row>
    <row r="125" spans="3:18" ht="14" thickBot="1" x14ac:dyDescent="0.2">
      <c r="C125" s="36"/>
      <c r="D125" s="184" t="s">
        <v>25</v>
      </c>
      <c r="E125" s="184" t="s">
        <v>37</v>
      </c>
      <c r="F125" s="184" t="s">
        <v>38</v>
      </c>
      <c r="G125" s="37" t="s">
        <v>177</v>
      </c>
      <c r="H125" s="37" t="s">
        <v>178</v>
      </c>
      <c r="I125" s="184" t="s">
        <v>26</v>
      </c>
      <c r="J125" s="184"/>
      <c r="K125" s="184" t="s">
        <v>27</v>
      </c>
      <c r="L125" s="184" t="s">
        <v>28</v>
      </c>
      <c r="M125" s="184" t="s">
        <v>29</v>
      </c>
      <c r="N125" s="184" t="s">
        <v>30</v>
      </c>
      <c r="O125" s="184" t="s">
        <v>31</v>
      </c>
      <c r="P125" s="37" t="s">
        <v>174</v>
      </c>
      <c r="Q125" s="37" t="s">
        <v>175</v>
      </c>
      <c r="R125" s="38" t="s">
        <v>176</v>
      </c>
    </row>
    <row r="126" spans="3:18" ht="15" thickTop="1" thickBot="1" x14ac:dyDescent="0.2">
      <c r="C126" s="70"/>
      <c r="D126" s="185" t="s">
        <v>39</v>
      </c>
      <c r="E126" s="186" t="s">
        <v>39</v>
      </c>
      <c r="F126" s="186" t="s">
        <v>39</v>
      </c>
      <c r="G126" s="65" t="s">
        <v>39</v>
      </c>
      <c r="H126" s="65" t="s">
        <v>39</v>
      </c>
      <c r="I126" s="186" t="s">
        <v>39</v>
      </c>
      <c r="J126" s="186"/>
      <c r="K126" s="186" t="s">
        <v>32</v>
      </c>
      <c r="L126" s="186" t="s">
        <v>32</v>
      </c>
      <c r="M126" s="186" t="s">
        <v>32</v>
      </c>
      <c r="N126" s="186" t="s">
        <v>32</v>
      </c>
      <c r="O126" s="186" t="s">
        <v>32</v>
      </c>
      <c r="P126" s="65" t="s">
        <v>32</v>
      </c>
      <c r="Q126" s="65" t="s">
        <v>32</v>
      </c>
      <c r="R126" s="66" t="s">
        <v>32</v>
      </c>
    </row>
    <row r="127" spans="3:18" ht="17" thickTop="1" x14ac:dyDescent="0.2">
      <c r="C127" s="24" t="s">
        <v>113</v>
      </c>
      <c r="D127" s="42">
        <f ca="1">INDIRECT(ADDRESS($D122+27,D$1,4,TRUE,"Car+SUV"))-D129</f>
        <v>268634.87683079089</v>
      </c>
      <c r="E127" s="40">
        <f t="shared" ref="E127:R127" ca="1" si="49">INDIRECT(ADDRESS($D122+27,E$1,4,TRUE,"Car+SUV"))-E129</f>
        <v>273050.37300221738</v>
      </c>
      <c r="F127" s="40">
        <f t="shared" ca="1" si="49"/>
        <v>278980.44661427988</v>
      </c>
      <c r="G127" s="40">
        <f t="shared" ca="1" si="49"/>
        <v>286550.20421613945</v>
      </c>
      <c r="H127" s="40">
        <f t="shared" ca="1" si="49"/>
        <v>295423.31974232965</v>
      </c>
      <c r="I127" s="40">
        <f t="shared" ca="1" si="49"/>
        <v>302542.15804063634</v>
      </c>
      <c r="J127" s="40">
        <f t="shared" ca="1" si="49"/>
        <v>310062.92628867622</v>
      </c>
      <c r="K127" s="40">
        <f t="shared" ca="1" si="49"/>
        <v>324333.77001088561</v>
      </c>
      <c r="L127" s="40">
        <f t="shared" ca="1" si="49"/>
        <v>325543.75685573067</v>
      </c>
      <c r="M127" s="40">
        <f t="shared" ca="1" si="49"/>
        <v>321957.80517220142</v>
      </c>
      <c r="N127" s="40">
        <f t="shared" ca="1" si="49"/>
        <v>316271.15972233663</v>
      </c>
      <c r="O127" s="40">
        <f t="shared" ca="1" si="49"/>
        <v>310086.82010436867</v>
      </c>
      <c r="P127" s="40">
        <f t="shared" ca="1" si="49"/>
        <v>298369.82048451371</v>
      </c>
      <c r="Q127" s="40">
        <f t="shared" ca="1" si="49"/>
        <v>285489.46610146074</v>
      </c>
      <c r="R127" s="41">
        <f t="shared" ca="1" si="49"/>
        <v>271660.08769600769</v>
      </c>
    </row>
    <row r="128" spans="3:18" ht="16" x14ac:dyDescent="0.2">
      <c r="C128" s="24" t="s">
        <v>114</v>
      </c>
      <c r="D128" s="42">
        <f ca="1">INDIRECT(ADDRESS($D122+27,D$1,4,TRUE,"Van+Ute"))-D130</f>
        <v>32411.975857539139</v>
      </c>
      <c r="E128" s="43">
        <f t="shared" ref="E128:R128" ca="1" si="50">INDIRECT(ADDRESS($D122+27,E$1,4,TRUE,"Van+Ute"))-E130</f>
        <v>33873.670674965695</v>
      </c>
      <c r="F128" s="43">
        <f t="shared" ca="1" si="50"/>
        <v>35293.504027070041</v>
      </c>
      <c r="G128" s="43">
        <f t="shared" ca="1" si="50"/>
        <v>37223.208034302574</v>
      </c>
      <c r="H128" s="43">
        <f t="shared" ca="1" si="50"/>
        <v>40207.151171683276</v>
      </c>
      <c r="I128" s="43">
        <f t="shared" ca="1" si="50"/>
        <v>44623.347466100109</v>
      </c>
      <c r="J128" s="43">
        <f t="shared" ca="1" si="50"/>
        <v>48144.863515093195</v>
      </c>
      <c r="K128" s="43">
        <f t="shared" ca="1" si="50"/>
        <v>50868.666554771808</v>
      </c>
      <c r="L128" s="43">
        <f t="shared" ca="1" si="50"/>
        <v>53393.663028572271</v>
      </c>
      <c r="M128" s="43">
        <f t="shared" ca="1" si="50"/>
        <v>54896.535296192771</v>
      </c>
      <c r="N128" s="43">
        <f t="shared" ca="1" si="50"/>
        <v>56084.516293952678</v>
      </c>
      <c r="O128" s="43">
        <f t="shared" ca="1" si="50"/>
        <v>57329.82896027642</v>
      </c>
      <c r="P128" s="43">
        <f t="shared" ca="1" si="50"/>
        <v>58082.645805171218</v>
      </c>
      <c r="Q128" s="43">
        <f t="shared" ca="1" si="50"/>
        <v>58598.134966462232</v>
      </c>
      <c r="R128" s="44">
        <f t="shared" ca="1" si="50"/>
        <v>58800.772193643672</v>
      </c>
    </row>
    <row r="129" spans="3:18" ht="16" x14ac:dyDescent="0.2">
      <c r="C129" s="24" t="s">
        <v>115</v>
      </c>
      <c r="D129" s="42">
        <f ca="1">INDIRECT(ADDRESS($D122+150,D$1,4,TRUE,"Car+SUV"))</f>
        <v>1306.3344002048393</v>
      </c>
      <c r="E129" s="43">
        <f t="shared" ref="E129:R129" ca="1" si="51">INDIRECT(ADDRESS($D122+150,E$1,4,TRUE,"Car+SUV"))</f>
        <v>1327.3344254032259</v>
      </c>
      <c r="F129" s="43">
        <f t="shared" ca="1" si="51"/>
        <v>1370.3228086710651</v>
      </c>
      <c r="G129" s="43">
        <f t="shared" ca="1" si="51"/>
        <v>1575.3194402190445</v>
      </c>
      <c r="H129" s="43">
        <f t="shared" ca="1" si="51"/>
        <v>1555.3005411673753</v>
      </c>
      <c r="I129" s="43">
        <f t="shared" ca="1" si="51"/>
        <v>2672.4833558863329</v>
      </c>
      <c r="J129" s="43">
        <f t="shared" ca="1" si="51"/>
        <v>2972.7834054466784</v>
      </c>
      <c r="K129" s="43">
        <f t="shared" ca="1" si="51"/>
        <v>3392.9896238736196</v>
      </c>
      <c r="L129" s="43">
        <f t="shared" ca="1" si="51"/>
        <v>8660.0070087043787</v>
      </c>
      <c r="M129" s="43">
        <f t="shared" ca="1" si="51"/>
        <v>14096.370823419873</v>
      </c>
      <c r="N129" s="43">
        <f t="shared" ca="1" si="51"/>
        <v>19611.719638180708</v>
      </c>
      <c r="O129" s="43">
        <f t="shared" ca="1" si="51"/>
        <v>25208.472616394349</v>
      </c>
      <c r="P129" s="43">
        <f t="shared" ca="1" si="51"/>
        <v>30766.049381392113</v>
      </c>
      <c r="Q129" s="43">
        <f t="shared" ca="1" si="51"/>
        <v>36319.216863337584</v>
      </c>
      <c r="R129" s="44">
        <f t="shared" ca="1" si="51"/>
        <v>41860.650115433658</v>
      </c>
    </row>
    <row r="130" spans="3:18" ht="16" x14ac:dyDescent="0.2">
      <c r="C130" s="24" t="s">
        <v>116</v>
      </c>
      <c r="D130" s="42">
        <f ca="1">INDIRECT(ADDRESS($D122+150,D$1,4,TRUE,"Van+Ute"))</f>
        <v>144</v>
      </c>
      <c r="E130" s="43">
        <f t="shared" ref="E130:R130" ca="1" si="52">INDIRECT(ADDRESS($D122+150,E$1,4,TRUE,"Van+Ute"))</f>
        <v>142</v>
      </c>
      <c r="F130" s="43">
        <f t="shared" ca="1" si="52"/>
        <v>146</v>
      </c>
      <c r="G130" s="43">
        <f t="shared" ca="1" si="52"/>
        <v>147</v>
      </c>
      <c r="H130" s="43">
        <f t="shared" ca="1" si="52"/>
        <v>149</v>
      </c>
      <c r="I130" s="43">
        <f t="shared" ca="1" si="52"/>
        <v>200.43052016655275</v>
      </c>
      <c r="J130" s="43">
        <f t="shared" ca="1" si="52"/>
        <v>196.36094465272794</v>
      </c>
      <c r="K130" s="43">
        <f t="shared" ca="1" si="52"/>
        <v>224.11678110152118</v>
      </c>
      <c r="L130" s="43">
        <f t="shared" ca="1" si="52"/>
        <v>765.8486985290964</v>
      </c>
      <c r="M130" s="43">
        <f t="shared" ca="1" si="52"/>
        <v>1327.2330143477213</v>
      </c>
      <c r="N130" s="43">
        <f t="shared" ca="1" si="52"/>
        <v>1896.9911475086481</v>
      </c>
      <c r="O130" s="43">
        <f t="shared" ca="1" si="52"/>
        <v>2473.6839154419963</v>
      </c>
      <c r="P130" s="43">
        <f t="shared" ca="1" si="52"/>
        <v>3048.5400151014683</v>
      </c>
      <c r="Q130" s="43">
        <f t="shared" ca="1" si="52"/>
        <v>3621.2061230885092</v>
      </c>
      <c r="R130" s="44">
        <f t="shared" ca="1" si="52"/>
        <v>4190.6010167599316</v>
      </c>
    </row>
    <row r="131" spans="3:18" ht="16" x14ac:dyDescent="0.2">
      <c r="C131" s="24" t="s">
        <v>43</v>
      </c>
      <c r="D131" s="187" t="s">
        <v>108</v>
      </c>
      <c r="E131" s="188" t="s">
        <v>108</v>
      </c>
      <c r="F131" s="188" t="s">
        <v>108</v>
      </c>
      <c r="G131" s="188" t="s">
        <v>108</v>
      </c>
      <c r="H131" s="188" t="s">
        <v>108</v>
      </c>
      <c r="I131" s="188" t="s">
        <v>108</v>
      </c>
      <c r="J131" s="188" t="s">
        <v>108</v>
      </c>
      <c r="K131" s="188" t="s">
        <v>108</v>
      </c>
      <c r="L131" s="188" t="s">
        <v>108</v>
      </c>
      <c r="M131" s="188" t="s">
        <v>108</v>
      </c>
      <c r="N131" s="188" t="s">
        <v>108</v>
      </c>
      <c r="O131" s="188" t="s">
        <v>108</v>
      </c>
      <c r="P131" s="188" t="s">
        <v>108</v>
      </c>
      <c r="Q131" s="188" t="s">
        <v>108</v>
      </c>
      <c r="R131" s="194" t="s">
        <v>108</v>
      </c>
    </row>
    <row r="132" spans="3:18" ht="16" x14ac:dyDescent="0.2">
      <c r="C132" s="24" t="s">
        <v>44</v>
      </c>
      <c r="D132" s="187" t="s">
        <v>108</v>
      </c>
      <c r="E132" s="188" t="s">
        <v>108</v>
      </c>
      <c r="F132" s="188" t="s">
        <v>108</v>
      </c>
      <c r="G132" s="188" t="s">
        <v>108</v>
      </c>
      <c r="H132" s="188" t="s">
        <v>108</v>
      </c>
      <c r="I132" s="188" t="s">
        <v>108</v>
      </c>
      <c r="J132" s="188" t="s">
        <v>108</v>
      </c>
      <c r="K132" s="188" t="s">
        <v>108</v>
      </c>
      <c r="L132" s="188" t="s">
        <v>108</v>
      </c>
      <c r="M132" s="188" t="s">
        <v>108</v>
      </c>
      <c r="N132" s="188" t="s">
        <v>108</v>
      </c>
      <c r="O132" s="188" t="s">
        <v>108</v>
      </c>
      <c r="P132" s="188" t="s">
        <v>108</v>
      </c>
      <c r="Q132" s="188" t="s">
        <v>108</v>
      </c>
      <c r="R132" s="194" t="s">
        <v>108</v>
      </c>
    </row>
    <row r="133" spans="3:18" ht="17" thickBot="1" x14ac:dyDescent="0.25">
      <c r="C133" s="24" t="s">
        <v>42</v>
      </c>
      <c r="D133" s="42">
        <f ca="1">INDIRECT(ADDRESS($D122+27,D$1,4,TRUE,"Motorcycle"))</f>
        <v>16266.112521475639</v>
      </c>
      <c r="E133" s="43">
        <f t="shared" ref="E133:R133" ca="1" si="53">INDIRECT(ADDRESS($D122+27,E$1,4,TRUE,"Motorcycle"))</f>
        <v>16607.088020101477</v>
      </c>
      <c r="F133" s="43">
        <f t="shared" ca="1" si="53"/>
        <v>17268.169724199815</v>
      </c>
      <c r="G133" s="43">
        <f t="shared" ca="1" si="53"/>
        <v>17922.451362851778</v>
      </c>
      <c r="H133" s="43">
        <f t="shared" ca="1" si="53"/>
        <v>18554.586534954593</v>
      </c>
      <c r="I133" s="43">
        <f t="shared" ca="1" si="53"/>
        <v>19306.955390851046</v>
      </c>
      <c r="J133" s="43">
        <f t="shared" ca="1" si="53"/>
        <v>20164.49589475539</v>
      </c>
      <c r="K133" s="43">
        <f t="shared" ca="1" si="53"/>
        <v>20904.474109928888</v>
      </c>
      <c r="L133" s="43">
        <f t="shared" ca="1" si="53"/>
        <v>21101.092266713233</v>
      </c>
      <c r="M133" s="43">
        <f t="shared" ca="1" si="53"/>
        <v>21112.04677013203</v>
      </c>
      <c r="N133" s="43">
        <f t="shared" ca="1" si="53"/>
        <v>20768.190732995445</v>
      </c>
      <c r="O133" s="43">
        <f t="shared" ca="1" si="53"/>
        <v>20322.811631221499</v>
      </c>
      <c r="P133" s="43">
        <f t="shared" ca="1" si="53"/>
        <v>20599.079625033108</v>
      </c>
      <c r="Q133" s="43">
        <f t="shared" ca="1" si="53"/>
        <v>20813.442131178737</v>
      </c>
      <c r="R133" s="44">
        <f t="shared" ca="1" si="53"/>
        <v>20985.58307231958</v>
      </c>
    </row>
    <row r="134" spans="3:18" ht="19" thickTop="1" thickBot="1" x14ac:dyDescent="0.25">
      <c r="C134" s="31" t="s">
        <v>45</v>
      </c>
      <c r="D134" s="189">
        <f ca="1">SUM(D127:D133)</f>
        <v>318763.29961001052</v>
      </c>
      <c r="E134" s="48">
        <f t="shared" ref="E134:R134" ca="1" si="54">SUM(E127:E133)</f>
        <v>325000.46612268779</v>
      </c>
      <c r="F134" s="48">
        <f t="shared" ca="1" si="54"/>
        <v>333058.44317422074</v>
      </c>
      <c r="G134" s="48">
        <f t="shared" ca="1" si="54"/>
        <v>343418.18305351282</v>
      </c>
      <c r="H134" s="48">
        <f t="shared" ca="1" si="54"/>
        <v>355889.35799013491</v>
      </c>
      <c r="I134" s="48">
        <f t="shared" ca="1" si="54"/>
        <v>369345.37477364042</v>
      </c>
      <c r="J134" s="48">
        <f t="shared" ca="1" si="54"/>
        <v>381541.43004862429</v>
      </c>
      <c r="K134" s="48">
        <f t="shared" ca="1" si="54"/>
        <v>399724.01708056143</v>
      </c>
      <c r="L134" s="48">
        <f t="shared" ca="1" si="54"/>
        <v>409464.36785824964</v>
      </c>
      <c r="M134" s="48">
        <f t="shared" ca="1" si="54"/>
        <v>413389.99107629387</v>
      </c>
      <c r="N134" s="48">
        <f t="shared" ca="1" si="54"/>
        <v>414632.57753497409</v>
      </c>
      <c r="O134" s="48">
        <f t="shared" ca="1" si="54"/>
        <v>415421.61722770293</v>
      </c>
      <c r="P134" s="48">
        <f t="shared" ca="1" si="54"/>
        <v>410866.13531121169</v>
      </c>
      <c r="Q134" s="48">
        <f t="shared" ca="1" si="54"/>
        <v>404841.4661855278</v>
      </c>
      <c r="R134" s="49">
        <f t="shared" ca="1" si="54"/>
        <v>397497.69409416453</v>
      </c>
    </row>
    <row r="135" spans="3:18" ht="14" thickTop="1" x14ac:dyDescent="0.15"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43"/>
    </row>
    <row r="136" spans="3:18" ht="14" thickBot="1" x14ac:dyDescent="0.2"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43"/>
    </row>
    <row r="137" spans="3:18" ht="18" thickTop="1" thickBot="1" x14ac:dyDescent="0.25">
      <c r="C137" s="180" t="str">
        <f ca="1">INDIRECT(ADDRESS(D137+27,3,4,TRUE,"Car+SUV"))</f>
        <v>TNM</v>
      </c>
      <c r="D137" s="190">
        <v>10</v>
      </c>
      <c r="E137" s="145" t="s">
        <v>170</v>
      </c>
      <c r="F137" s="145"/>
      <c r="G137" s="145"/>
      <c r="H137" s="145"/>
      <c r="I137" s="145"/>
      <c r="J137" s="145"/>
      <c r="K137" s="145"/>
      <c r="L137" s="145"/>
      <c r="M137" s="145"/>
      <c r="N137" s="145"/>
      <c r="O137" s="43"/>
    </row>
    <row r="138" spans="3:18" ht="15" thickTop="1" thickBot="1" x14ac:dyDescent="0.2"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43"/>
    </row>
    <row r="139" spans="3:18" ht="17" thickTop="1" x14ac:dyDescent="0.2">
      <c r="C139" s="32" t="s">
        <v>46</v>
      </c>
      <c r="D139" s="183"/>
      <c r="E139" s="183"/>
      <c r="F139" s="183"/>
      <c r="G139" s="183"/>
      <c r="H139" s="183"/>
      <c r="I139" s="183"/>
      <c r="J139" s="183"/>
      <c r="K139" s="40"/>
      <c r="L139" s="40"/>
      <c r="M139" s="40"/>
      <c r="N139" s="40"/>
      <c r="O139" s="40"/>
      <c r="P139" s="34"/>
      <c r="Q139" s="34"/>
      <c r="R139" s="35"/>
    </row>
    <row r="140" spans="3:18" ht="14" thickBot="1" x14ac:dyDescent="0.2">
      <c r="C140" s="36"/>
      <c r="D140" s="184" t="s">
        <v>25</v>
      </c>
      <c r="E140" s="184" t="s">
        <v>37</v>
      </c>
      <c r="F140" s="184" t="s">
        <v>38</v>
      </c>
      <c r="G140" s="37" t="s">
        <v>177</v>
      </c>
      <c r="H140" s="37" t="s">
        <v>178</v>
      </c>
      <c r="I140" s="184" t="s">
        <v>26</v>
      </c>
      <c r="J140" s="184"/>
      <c r="K140" s="184" t="s">
        <v>27</v>
      </c>
      <c r="L140" s="184" t="s">
        <v>28</v>
      </c>
      <c r="M140" s="184" t="s">
        <v>29</v>
      </c>
      <c r="N140" s="184" t="s">
        <v>30</v>
      </c>
      <c r="O140" s="184" t="s">
        <v>31</v>
      </c>
      <c r="P140" s="37" t="s">
        <v>174</v>
      </c>
      <c r="Q140" s="37" t="s">
        <v>175</v>
      </c>
      <c r="R140" s="38" t="s">
        <v>176</v>
      </c>
    </row>
    <row r="141" spans="3:18" ht="15" thickTop="1" thickBot="1" x14ac:dyDescent="0.2">
      <c r="C141" s="70"/>
      <c r="D141" s="185" t="s">
        <v>39</v>
      </c>
      <c r="E141" s="186" t="s">
        <v>39</v>
      </c>
      <c r="F141" s="186" t="s">
        <v>39</v>
      </c>
      <c r="G141" s="65" t="s">
        <v>39</v>
      </c>
      <c r="H141" s="65" t="s">
        <v>39</v>
      </c>
      <c r="I141" s="186" t="s">
        <v>39</v>
      </c>
      <c r="J141" s="186"/>
      <c r="K141" s="186" t="s">
        <v>32</v>
      </c>
      <c r="L141" s="186" t="s">
        <v>32</v>
      </c>
      <c r="M141" s="186" t="s">
        <v>32</v>
      </c>
      <c r="N141" s="186" t="s">
        <v>32</v>
      </c>
      <c r="O141" s="186" t="s">
        <v>32</v>
      </c>
      <c r="P141" s="65" t="s">
        <v>32</v>
      </c>
      <c r="Q141" s="65" t="s">
        <v>32</v>
      </c>
      <c r="R141" s="66" t="s">
        <v>32</v>
      </c>
    </row>
    <row r="142" spans="3:18" ht="17" thickTop="1" x14ac:dyDescent="0.2">
      <c r="C142" s="24" t="s">
        <v>113</v>
      </c>
      <c r="D142" s="42">
        <f ca="1">INDIRECT(ADDRESS($D137+27,D$1,4,TRUE,"Car+SUV"))-D144</f>
        <v>98125.000345462846</v>
      </c>
      <c r="E142" s="40">
        <f t="shared" ref="E142:R142" ca="1" si="55">INDIRECT(ADDRESS($D137+27,E$1,4,TRUE,"Car+SUV"))-E144</f>
        <v>100758.40293814942</v>
      </c>
      <c r="F142" s="40">
        <f t="shared" ca="1" si="55"/>
        <v>104193.67623756194</v>
      </c>
      <c r="G142" s="40">
        <f t="shared" ca="1" si="55"/>
        <v>111251.13989472011</v>
      </c>
      <c r="H142" s="40">
        <f t="shared" ca="1" si="55"/>
        <v>118163.56226152487</v>
      </c>
      <c r="I142" s="40">
        <f t="shared" ca="1" si="55"/>
        <v>121881.47982044755</v>
      </c>
      <c r="J142" s="40">
        <f t="shared" ca="1" si="55"/>
        <v>125774.61803057879</v>
      </c>
      <c r="K142" s="40">
        <f t="shared" ca="1" si="55"/>
        <v>131748.34572580119</v>
      </c>
      <c r="L142" s="40">
        <f t="shared" ca="1" si="55"/>
        <v>132531.84186266857</v>
      </c>
      <c r="M142" s="40">
        <f t="shared" ca="1" si="55"/>
        <v>131033.4490469797</v>
      </c>
      <c r="N142" s="40">
        <f t="shared" ca="1" si="55"/>
        <v>127533.2117885015</v>
      </c>
      <c r="O142" s="40">
        <f t="shared" ca="1" si="55"/>
        <v>123948.43117857062</v>
      </c>
      <c r="P142" s="40">
        <f t="shared" ca="1" si="55"/>
        <v>118737.20840475769</v>
      </c>
      <c r="Q142" s="40">
        <f t="shared" ca="1" si="55"/>
        <v>113146.6385499208</v>
      </c>
      <c r="R142" s="41">
        <f t="shared" ca="1" si="55"/>
        <v>107252.85533506646</v>
      </c>
    </row>
    <row r="143" spans="3:18" ht="16" x14ac:dyDescent="0.2">
      <c r="C143" s="24" t="s">
        <v>114</v>
      </c>
      <c r="D143" s="42">
        <f ca="1">INDIRECT(ADDRESS($D137+27,D$1,4,TRUE,"Van+Ute"))-D145</f>
        <v>22658.292583474093</v>
      </c>
      <c r="E143" s="43">
        <f t="shared" ref="E143:R143" ca="1" si="56">INDIRECT(ADDRESS($D137+27,E$1,4,TRUE,"Van+Ute"))-E145</f>
        <v>23475.753806636047</v>
      </c>
      <c r="F143" s="43">
        <f t="shared" ca="1" si="56"/>
        <v>24585.775298321823</v>
      </c>
      <c r="G143" s="43">
        <f t="shared" ca="1" si="56"/>
        <v>25989.820965127859</v>
      </c>
      <c r="H143" s="43">
        <f t="shared" ca="1" si="56"/>
        <v>27626.23499602059</v>
      </c>
      <c r="I143" s="43">
        <f t="shared" ca="1" si="56"/>
        <v>29715.710581225452</v>
      </c>
      <c r="J143" s="43">
        <f t="shared" ca="1" si="56"/>
        <v>31465.55546327724</v>
      </c>
      <c r="K143" s="43">
        <f t="shared" ca="1" si="56"/>
        <v>33162.651136522371</v>
      </c>
      <c r="L143" s="43">
        <f t="shared" ca="1" si="56"/>
        <v>34429.918644167919</v>
      </c>
      <c r="M143" s="43">
        <f t="shared" ca="1" si="56"/>
        <v>34991.691590768656</v>
      </c>
      <c r="N143" s="43">
        <f t="shared" ca="1" si="56"/>
        <v>35113.179532712187</v>
      </c>
      <c r="O143" s="43">
        <f t="shared" ca="1" si="56"/>
        <v>35237.645343514472</v>
      </c>
      <c r="P143" s="43">
        <f t="shared" ca="1" si="56"/>
        <v>35076.657312455442</v>
      </c>
      <c r="Q143" s="43">
        <f t="shared" ca="1" si="56"/>
        <v>34776.620336775472</v>
      </c>
      <c r="R143" s="44">
        <f t="shared" ca="1" si="56"/>
        <v>34308.598111581581</v>
      </c>
    </row>
    <row r="144" spans="3:18" ht="16" x14ac:dyDescent="0.2">
      <c r="C144" s="24" t="s">
        <v>115</v>
      </c>
      <c r="D144" s="42">
        <f ca="1">INDIRECT(ADDRESS($D137+150,D$1,4,TRUE,"Car+SUV"))</f>
        <v>166.04250416079887</v>
      </c>
      <c r="E144" s="43">
        <f t="shared" ref="E144:R144" ca="1" si="57">INDIRECT(ADDRESS($D137+150,E$1,4,TRUE,"Car+SUV"))</f>
        <v>146.03679435483872</v>
      </c>
      <c r="F144" s="43">
        <f t="shared" ca="1" si="57"/>
        <v>150.03534401508011</v>
      </c>
      <c r="G144" s="43">
        <f t="shared" ca="1" si="57"/>
        <v>154.03123415475102</v>
      </c>
      <c r="H144" s="43">
        <f t="shared" ca="1" si="57"/>
        <v>183.03536915345958</v>
      </c>
      <c r="I144" s="43">
        <f t="shared" ca="1" si="57"/>
        <v>224.36698240866036</v>
      </c>
      <c r="J144" s="43">
        <f t="shared" ca="1" si="57"/>
        <v>238.99669127004327</v>
      </c>
      <c r="K144" s="43">
        <f t="shared" ca="1" si="57"/>
        <v>271.76990758536868</v>
      </c>
      <c r="L144" s="43">
        <f t="shared" ca="1" si="57"/>
        <v>2667.9996866795291</v>
      </c>
      <c r="M144" s="43">
        <f t="shared" ca="1" si="57"/>
        <v>5146.2717804666772</v>
      </c>
      <c r="N144" s="43">
        <f t="shared" ca="1" si="57"/>
        <v>7635.1760940437716</v>
      </c>
      <c r="O144" s="43">
        <f t="shared" ca="1" si="57"/>
        <v>10106.943622682873</v>
      </c>
      <c r="P144" s="43">
        <f t="shared" ca="1" si="57"/>
        <v>12552.849923814003</v>
      </c>
      <c r="Q144" s="43">
        <f t="shared" ca="1" si="57"/>
        <v>14952.878723642807</v>
      </c>
      <c r="R144" s="44">
        <f t="shared" ca="1" si="57"/>
        <v>17302.941923719296</v>
      </c>
    </row>
    <row r="145" spans="3:18" ht="16" x14ac:dyDescent="0.2">
      <c r="C145" s="24" t="s">
        <v>116</v>
      </c>
      <c r="D145" s="42">
        <f ca="1">INDIRECT(ADDRESS($D137+150,D$1,4,TRUE,"Van+Ute"))</f>
        <v>94</v>
      </c>
      <c r="E145" s="43">
        <f t="shared" ref="E145:R145" ca="1" si="58">INDIRECT(ADDRESS($D137+150,E$1,4,TRUE,"Van+Ute"))</f>
        <v>97</v>
      </c>
      <c r="F145" s="43">
        <f t="shared" ca="1" si="58"/>
        <v>105</v>
      </c>
      <c r="G145" s="43">
        <f t="shared" ca="1" si="58"/>
        <v>112</v>
      </c>
      <c r="H145" s="43">
        <f t="shared" ca="1" si="58"/>
        <v>124</v>
      </c>
      <c r="I145" s="43">
        <f t="shared" ca="1" si="58"/>
        <v>142.10417831914322</v>
      </c>
      <c r="J145" s="43">
        <f t="shared" ca="1" si="58"/>
        <v>152.84311367563689</v>
      </c>
      <c r="K145" s="43">
        <f t="shared" ca="1" si="58"/>
        <v>173.8022340725785</v>
      </c>
      <c r="L145" s="43">
        <f t="shared" ca="1" si="58"/>
        <v>722.99903035408227</v>
      </c>
      <c r="M145" s="43">
        <f t="shared" ca="1" si="58"/>
        <v>1288.9384278135879</v>
      </c>
      <c r="N145" s="43">
        <f t="shared" ca="1" si="58"/>
        <v>1857.0857330783695</v>
      </c>
      <c r="O145" s="43">
        <f t="shared" ca="1" si="58"/>
        <v>2422.5642648754229</v>
      </c>
      <c r="P145" s="43">
        <f t="shared" ca="1" si="58"/>
        <v>2980.4173678342127</v>
      </c>
      <c r="Q145" s="43">
        <f t="shared" ca="1" si="58"/>
        <v>3529.421608240511</v>
      </c>
      <c r="R145" s="44">
        <f t="shared" ca="1" si="58"/>
        <v>4068.9206707597773</v>
      </c>
    </row>
    <row r="146" spans="3:18" ht="16" x14ac:dyDescent="0.2">
      <c r="C146" s="24" t="s">
        <v>43</v>
      </c>
      <c r="D146" s="187" t="s">
        <v>108</v>
      </c>
      <c r="E146" s="188" t="s">
        <v>108</v>
      </c>
      <c r="F146" s="188" t="s">
        <v>108</v>
      </c>
      <c r="G146" s="188" t="s">
        <v>108</v>
      </c>
      <c r="H146" s="188" t="s">
        <v>108</v>
      </c>
      <c r="I146" s="188" t="s">
        <v>108</v>
      </c>
      <c r="J146" s="188" t="s">
        <v>108</v>
      </c>
      <c r="K146" s="188" t="s">
        <v>108</v>
      </c>
      <c r="L146" s="188" t="s">
        <v>108</v>
      </c>
      <c r="M146" s="188" t="s">
        <v>108</v>
      </c>
      <c r="N146" s="188" t="s">
        <v>108</v>
      </c>
      <c r="O146" s="188" t="s">
        <v>108</v>
      </c>
      <c r="P146" s="188" t="s">
        <v>108</v>
      </c>
      <c r="Q146" s="188" t="s">
        <v>108</v>
      </c>
      <c r="R146" s="194" t="s">
        <v>108</v>
      </c>
    </row>
    <row r="147" spans="3:18" ht="16" x14ac:dyDescent="0.2">
      <c r="C147" s="24" t="s">
        <v>44</v>
      </c>
      <c r="D147" s="187" t="s">
        <v>108</v>
      </c>
      <c r="E147" s="188" t="s">
        <v>108</v>
      </c>
      <c r="F147" s="188" t="s">
        <v>108</v>
      </c>
      <c r="G147" s="188" t="s">
        <v>108</v>
      </c>
      <c r="H147" s="188" t="s">
        <v>108</v>
      </c>
      <c r="I147" s="188" t="s">
        <v>108</v>
      </c>
      <c r="J147" s="188" t="s">
        <v>108</v>
      </c>
      <c r="K147" s="188" t="s">
        <v>108</v>
      </c>
      <c r="L147" s="188" t="s">
        <v>108</v>
      </c>
      <c r="M147" s="188" t="s">
        <v>108</v>
      </c>
      <c r="N147" s="188" t="s">
        <v>108</v>
      </c>
      <c r="O147" s="188" t="s">
        <v>108</v>
      </c>
      <c r="P147" s="188" t="s">
        <v>108</v>
      </c>
      <c r="Q147" s="188" t="s">
        <v>108</v>
      </c>
      <c r="R147" s="194" t="s">
        <v>108</v>
      </c>
    </row>
    <row r="148" spans="3:18" ht="17" thickBot="1" x14ac:dyDescent="0.25">
      <c r="C148" s="24" t="s">
        <v>42</v>
      </c>
      <c r="D148" s="42">
        <f ca="1">INDIRECT(ADDRESS($D137+27,D$1,4,TRUE,"Motorcycle"))</f>
        <v>8070.4461278607005</v>
      </c>
      <c r="E148" s="43">
        <f t="shared" ref="E148:R148" ca="1" si="59">INDIRECT(ADDRESS($D137+27,E$1,4,TRUE,"Motorcycle"))</f>
        <v>8207.3917572871305</v>
      </c>
      <c r="F148" s="43">
        <f t="shared" ca="1" si="59"/>
        <v>8422.3608522232353</v>
      </c>
      <c r="G148" s="43">
        <f t="shared" ca="1" si="59"/>
        <v>8681.1715530377278</v>
      </c>
      <c r="H148" s="43">
        <f t="shared" ca="1" si="59"/>
        <v>8980.6416018100099</v>
      </c>
      <c r="I148" s="43">
        <f t="shared" ca="1" si="59"/>
        <v>9304.7947254287246</v>
      </c>
      <c r="J148" s="43">
        <f t="shared" ca="1" si="59"/>
        <v>9740.8862864861694</v>
      </c>
      <c r="K148" s="43">
        <f t="shared" ca="1" si="59"/>
        <v>10072.013804026379</v>
      </c>
      <c r="L148" s="43">
        <f t="shared" ca="1" si="59"/>
        <v>10131.14089699332</v>
      </c>
      <c r="M148" s="43">
        <f t="shared" ca="1" si="59"/>
        <v>10084.564642716738</v>
      </c>
      <c r="N148" s="43">
        <f t="shared" ca="1" si="59"/>
        <v>9856.2248344246782</v>
      </c>
      <c r="O148" s="43">
        <f t="shared" ca="1" si="59"/>
        <v>9566.4522017491945</v>
      </c>
      <c r="P148" s="43">
        <f t="shared" ca="1" si="59"/>
        <v>9618.128744568372</v>
      </c>
      <c r="Q148" s="43">
        <f t="shared" ca="1" si="59"/>
        <v>9640.1288464371792</v>
      </c>
      <c r="R148" s="44">
        <f t="shared" ca="1" si="59"/>
        <v>9642.2115076715272</v>
      </c>
    </row>
    <row r="149" spans="3:18" ht="19" thickTop="1" thickBot="1" x14ac:dyDescent="0.25">
      <c r="C149" s="31" t="s">
        <v>45</v>
      </c>
      <c r="D149" s="189">
        <f ca="1">SUM(D142:D148)</f>
        <v>129113.78156095844</v>
      </c>
      <c r="E149" s="48">
        <f t="shared" ref="E149:R149" ca="1" si="60">SUM(E142:E148)</f>
        <v>132684.58529642742</v>
      </c>
      <c r="F149" s="48">
        <f t="shared" ca="1" si="60"/>
        <v>137456.84773212209</v>
      </c>
      <c r="G149" s="48">
        <f t="shared" ca="1" si="60"/>
        <v>146188.16364704043</v>
      </c>
      <c r="H149" s="48">
        <f t="shared" ca="1" si="60"/>
        <v>155077.47422850892</v>
      </c>
      <c r="I149" s="48">
        <f t="shared" ca="1" si="60"/>
        <v>161268.4562878295</v>
      </c>
      <c r="J149" s="48">
        <f t="shared" ca="1" si="60"/>
        <v>167372.89958528787</v>
      </c>
      <c r="K149" s="48">
        <f t="shared" ca="1" si="60"/>
        <v>175428.58280800789</v>
      </c>
      <c r="L149" s="48">
        <f t="shared" ca="1" si="60"/>
        <v>180483.90012086343</v>
      </c>
      <c r="M149" s="48">
        <f t="shared" ca="1" si="60"/>
        <v>182544.91548874538</v>
      </c>
      <c r="N149" s="48">
        <f t="shared" ca="1" si="60"/>
        <v>181994.87798276049</v>
      </c>
      <c r="O149" s="48">
        <f t="shared" ca="1" si="60"/>
        <v>181282.0366113926</v>
      </c>
      <c r="P149" s="48">
        <f t="shared" ca="1" si="60"/>
        <v>178965.26175342975</v>
      </c>
      <c r="Q149" s="48">
        <f t="shared" ca="1" si="60"/>
        <v>176045.68806501679</v>
      </c>
      <c r="R149" s="49">
        <f t="shared" ca="1" si="60"/>
        <v>172575.52754879865</v>
      </c>
    </row>
    <row r="150" spans="3:18" ht="14" thickTop="1" x14ac:dyDescent="0.15"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43"/>
    </row>
    <row r="151" spans="3:18" ht="14" thickBot="1" x14ac:dyDescent="0.2"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43"/>
    </row>
    <row r="152" spans="3:18" ht="18" thickTop="1" thickBot="1" x14ac:dyDescent="0.25">
      <c r="C152" s="180" t="str">
        <f ca="1">INDIRECT(ADDRESS(D152+27,3,4,TRUE,"Car+SUV"))</f>
        <v>West Coast</v>
      </c>
      <c r="D152" s="190">
        <v>11</v>
      </c>
      <c r="E152" s="145" t="s">
        <v>170</v>
      </c>
      <c r="F152" s="145"/>
      <c r="G152" s="145"/>
      <c r="H152" s="145"/>
      <c r="I152" s="145"/>
      <c r="J152" s="145"/>
      <c r="K152" s="145"/>
      <c r="L152" s="145"/>
      <c r="M152" s="145"/>
      <c r="N152" s="145"/>
      <c r="O152" s="43"/>
    </row>
    <row r="153" spans="3:18" ht="15" thickTop="1" thickBot="1" x14ac:dyDescent="0.2"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43"/>
    </row>
    <row r="154" spans="3:18" ht="17" thickTop="1" x14ac:dyDescent="0.2">
      <c r="C154" s="32" t="s">
        <v>46</v>
      </c>
      <c r="D154" s="183"/>
      <c r="E154" s="183"/>
      <c r="F154" s="183"/>
      <c r="G154" s="183"/>
      <c r="H154" s="183"/>
      <c r="I154" s="183"/>
      <c r="J154" s="183"/>
      <c r="K154" s="40"/>
      <c r="L154" s="40"/>
      <c r="M154" s="40"/>
      <c r="N154" s="40"/>
      <c r="O154" s="40"/>
      <c r="P154" s="34"/>
      <c r="Q154" s="34"/>
      <c r="R154" s="35"/>
    </row>
    <row r="155" spans="3:18" ht="14" thickBot="1" x14ac:dyDescent="0.2">
      <c r="C155" s="36"/>
      <c r="D155" s="184" t="s">
        <v>25</v>
      </c>
      <c r="E155" s="184" t="s">
        <v>37</v>
      </c>
      <c r="F155" s="184" t="s">
        <v>38</v>
      </c>
      <c r="G155" s="37" t="s">
        <v>177</v>
      </c>
      <c r="H155" s="37" t="s">
        <v>178</v>
      </c>
      <c r="I155" s="184" t="s">
        <v>26</v>
      </c>
      <c r="J155" s="184"/>
      <c r="K155" s="184" t="s">
        <v>27</v>
      </c>
      <c r="L155" s="184" t="s">
        <v>28</v>
      </c>
      <c r="M155" s="184" t="s">
        <v>29</v>
      </c>
      <c r="N155" s="184" t="s">
        <v>30</v>
      </c>
      <c r="O155" s="184" t="s">
        <v>31</v>
      </c>
      <c r="P155" s="37" t="s">
        <v>174</v>
      </c>
      <c r="Q155" s="37" t="s">
        <v>175</v>
      </c>
      <c r="R155" s="38" t="s">
        <v>176</v>
      </c>
    </row>
    <row r="156" spans="3:18" ht="15" thickTop="1" thickBot="1" x14ac:dyDescent="0.2">
      <c r="C156" s="70"/>
      <c r="D156" s="185" t="s">
        <v>39</v>
      </c>
      <c r="E156" s="186" t="s">
        <v>39</v>
      </c>
      <c r="F156" s="186" t="s">
        <v>39</v>
      </c>
      <c r="G156" s="65" t="s">
        <v>39</v>
      </c>
      <c r="H156" s="65" t="s">
        <v>39</v>
      </c>
      <c r="I156" s="186" t="s">
        <v>39</v>
      </c>
      <c r="J156" s="186"/>
      <c r="K156" s="186" t="s">
        <v>32</v>
      </c>
      <c r="L156" s="186" t="s">
        <v>32</v>
      </c>
      <c r="M156" s="186" t="s">
        <v>32</v>
      </c>
      <c r="N156" s="186" t="s">
        <v>32</v>
      </c>
      <c r="O156" s="186" t="s">
        <v>32</v>
      </c>
      <c r="P156" s="65" t="s">
        <v>32</v>
      </c>
      <c r="Q156" s="65" t="s">
        <v>32</v>
      </c>
      <c r="R156" s="66" t="s">
        <v>32</v>
      </c>
    </row>
    <row r="157" spans="3:18" ht="17" thickTop="1" x14ac:dyDescent="0.2">
      <c r="C157" s="24" t="s">
        <v>113</v>
      </c>
      <c r="D157" s="42">
        <f ca="1">INDIRECT(ADDRESS($D152+27,D$1,4,TRUE,"Car+SUV"))-D159</f>
        <v>20182.479333360752</v>
      </c>
      <c r="E157" s="40">
        <f t="shared" ref="E157:R157" ca="1" si="61">INDIRECT(ADDRESS($D152+27,E$1,4,TRUE,"Car+SUV"))-E159</f>
        <v>20281.832878820827</v>
      </c>
      <c r="F157" s="40">
        <f t="shared" ca="1" si="61"/>
        <v>20070.969518175076</v>
      </c>
      <c r="G157" s="40">
        <f t="shared" ca="1" si="61"/>
        <v>20006.223620791247</v>
      </c>
      <c r="H157" s="40">
        <f t="shared" ca="1" si="61"/>
        <v>19976.275860820511</v>
      </c>
      <c r="I157" s="40">
        <f t="shared" ca="1" si="61"/>
        <v>20551.235900972828</v>
      </c>
      <c r="J157" s="40">
        <f t="shared" ca="1" si="61"/>
        <v>21074.221606609681</v>
      </c>
      <c r="K157" s="40">
        <f t="shared" ca="1" si="61"/>
        <v>21332.042163932572</v>
      </c>
      <c r="L157" s="40">
        <f t="shared" ca="1" si="61"/>
        <v>20802.350734564538</v>
      </c>
      <c r="M157" s="40">
        <f t="shared" ca="1" si="61"/>
        <v>19691.391464006767</v>
      </c>
      <c r="N157" s="40">
        <f t="shared" ca="1" si="61"/>
        <v>18667.946633285439</v>
      </c>
      <c r="O157" s="40">
        <f t="shared" ca="1" si="61"/>
        <v>17697.41632602879</v>
      </c>
      <c r="P157" s="40">
        <f t="shared" ca="1" si="61"/>
        <v>16454.975773234379</v>
      </c>
      <c r="Q157" s="40">
        <f t="shared" ca="1" si="61"/>
        <v>15212.087616721477</v>
      </c>
      <c r="R157" s="41">
        <f t="shared" ca="1" si="61"/>
        <v>13984.134830265755</v>
      </c>
    </row>
    <row r="158" spans="3:18" ht="16" x14ac:dyDescent="0.2">
      <c r="C158" s="24" t="s">
        <v>114</v>
      </c>
      <c r="D158" s="42">
        <f ca="1">INDIRECT(ADDRESS($D152+27,D$1,4,TRUE,"Van+Ute"))-D160</f>
        <v>6009.9335797665171</v>
      </c>
      <c r="E158" s="43">
        <f t="shared" ref="E158:R158" ca="1" si="62">INDIRECT(ADDRESS($D152+27,E$1,4,TRUE,"Van+Ute"))-E160</f>
        <v>6086.6430271763165</v>
      </c>
      <c r="F158" s="43">
        <f t="shared" ca="1" si="62"/>
        <v>6176.900503929548</v>
      </c>
      <c r="G158" s="43">
        <f t="shared" ca="1" si="62"/>
        <v>6113.9929247168629</v>
      </c>
      <c r="H158" s="43">
        <f t="shared" ca="1" si="62"/>
        <v>6192.8087262688941</v>
      </c>
      <c r="I158" s="43">
        <f t="shared" ca="1" si="62"/>
        <v>6642.92505894643</v>
      </c>
      <c r="J158" s="43">
        <f t="shared" ca="1" si="62"/>
        <v>6920.1113143480798</v>
      </c>
      <c r="K158" s="43">
        <f t="shared" ca="1" si="62"/>
        <v>7051.979949296825</v>
      </c>
      <c r="L158" s="43">
        <f t="shared" ca="1" si="62"/>
        <v>7083.9157186758748</v>
      </c>
      <c r="M158" s="43">
        <f t="shared" ca="1" si="62"/>
        <v>6909.7544443147381</v>
      </c>
      <c r="N158" s="43">
        <f t="shared" ca="1" si="62"/>
        <v>6737.5764164316997</v>
      </c>
      <c r="O158" s="43">
        <f t="shared" ca="1" si="62"/>
        <v>6581.6985153665355</v>
      </c>
      <c r="P158" s="43">
        <f t="shared" ca="1" si="62"/>
        <v>6355.0836563036664</v>
      </c>
      <c r="Q158" s="43">
        <f t="shared" ca="1" si="62"/>
        <v>6111.4412854634274</v>
      </c>
      <c r="R158" s="44">
        <f t="shared" ca="1" si="62"/>
        <v>5848.6874752149324</v>
      </c>
    </row>
    <row r="159" spans="3:18" ht="16" x14ac:dyDescent="0.2">
      <c r="C159" s="24" t="s">
        <v>115</v>
      </c>
      <c r="D159" s="42">
        <f ca="1">INDIRECT(ADDRESS($D152+150,D$1,4,TRUE,"Car+SUV"))</f>
        <v>29.007425425681731</v>
      </c>
      <c r="E159" s="43">
        <f t="shared" ref="E159:R159" ca="1" si="63">INDIRECT(ADDRESS($D152+150,E$1,4,TRUE,"Car+SUV"))</f>
        <v>27.006804435483872</v>
      </c>
      <c r="F159" s="43">
        <f t="shared" ca="1" si="63"/>
        <v>29.006833176248822</v>
      </c>
      <c r="G159" s="43">
        <f t="shared" ca="1" si="63"/>
        <v>32.006490213974239</v>
      </c>
      <c r="H159" s="43">
        <f t="shared" ca="1" si="63"/>
        <v>35.006764592191722</v>
      </c>
      <c r="I159" s="43">
        <f t="shared" ca="1" si="63"/>
        <v>36.695534506089309</v>
      </c>
      <c r="J159" s="43">
        <f t="shared" ca="1" si="63"/>
        <v>38.784550776278955</v>
      </c>
      <c r="K159" s="43">
        <f t="shared" ca="1" si="63"/>
        <v>43.30082854848321</v>
      </c>
      <c r="L159" s="43">
        <f t="shared" ca="1" si="63"/>
        <v>442.02745080223769</v>
      </c>
      <c r="M159" s="43">
        <f t="shared" ca="1" si="63"/>
        <v>832.5443538763717</v>
      </c>
      <c r="N159" s="43">
        <f t="shared" ca="1" si="63"/>
        <v>1203.9549117953413</v>
      </c>
      <c r="O159" s="43">
        <f t="shared" ca="1" si="63"/>
        <v>1556.5219322077262</v>
      </c>
      <c r="P159" s="43">
        <f t="shared" ca="1" si="63"/>
        <v>1887.6280191929338</v>
      </c>
      <c r="Q159" s="43">
        <f t="shared" ca="1" si="63"/>
        <v>2195.2438284587442</v>
      </c>
      <c r="R159" s="44">
        <f t="shared" ca="1" si="63"/>
        <v>2479.9111285420854</v>
      </c>
    </row>
    <row r="160" spans="3:18" ht="16" x14ac:dyDescent="0.2">
      <c r="C160" s="24" t="s">
        <v>116</v>
      </c>
      <c r="D160" s="42">
        <f ca="1">INDIRECT(ADDRESS($D152+150,D$1,4,TRUE,"Van+Ute"))</f>
        <v>51</v>
      </c>
      <c r="E160" s="43">
        <f t="shared" ref="E160:R160" ca="1" si="64">INDIRECT(ADDRESS($D152+150,E$1,4,TRUE,"Van+Ute"))</f>
        <v>55</v>
      </c>
      <c r="F160" s="43">
        <f t="shared" ca="1" si="64"/>
        <v>53</v>
      </c>
      <c r="G160" s="43">
        <f t="shared" ca="1" si="64"/>
        <v>57</v>
      </c>
      <c r="H160" s="43">
        <f t="shared" ca="1" si="64"/>
        <v>58</v>
      </c>
      <c r="I160" s="43">
        <f t="shared" ca="1" si="64"/>
        <v>63.628736560810395</v>
      </c>
      <c r="J160" s="43">
        <f t="shared" ca="1" si="64"/>
        <v>64.746041209818401</v>
      </c>
      <c r="K160" s="43">
        <f t="shared" ca="1" si="64"/>
        <v>72.285411936086177</v>
      </c>
      <c r="L160" s="43">
        <f t="shared" ca="1" si="64"/>
        <v>210.70824822965253</v>
      </c>
      <c r="M160" s="43">
        <f t="shared" ca="1" si="64"/>
        <v>345.52927011727905</v>
      </c>
      <c r="N160" s="43">
        <f t="shared" ca="1" si="64"/>
        <v>473.90132538710679</v>
      </c>
      <c r="O160" s="43">
        <f t="shared" ca="1" si="64"/>
        <v>596.7069990962616</v>
      </c>
      <c r="P160" s="43">
        <f t="shared" ca="1" si="64"/>
        <v>711.5379432475404</v>
      </c>
      <c r="Q160" s="43">
        <f t="shared" ca="1" si="64"/>
        <v>819.35134657858396</v>
      </c>
      <c r="R160" s="44">
        <f t="shared" ca="1" si="64"/>
        <v>920.47502030559701</v>
      </c>
    </row>
    <row r="161" spans="3:18" ht="16" x14ac:dyDescent="0.2">
      <c r="C161" s="24" t="s">
        <v>43</v>
      </c>
      <c r="D161" s="187" t="s">
        <v>108</v>
      </c>
      <c r="E161" s="188" t="s">
        <v>108</v>
      </c>
      <c r="F161" s="188" t="s">
        <v>108</v>
      </c>
      <c r="G161" s="188" t="s">
        <v>108</v>
      </c>
      <c r="H161" s="188" t="s">
        <v>108</v>
      </c>
      <c r="I161" s="188" t="s">
        <v>108</v>
      </c>
      <c r="J161" s="188" t="s">
        <v>108</v>
      </c>
      <c r="K161" s="188" t="s">
        <v>108</v>
      </c>
      <c r="L161" s="188" t="s">
        <v>108</v>
      </c>
      <c r="M161" s="188" t="s">
        <v>108</v>
      </c>
      <c r="N161" s="188" t="s">
        <v>108</v>
      </c>
      <c r="O161" s="188" t="s">
        <v>108</v>
      </c>
      <c r="P161" s="188" t="s">
        <v>108</v>
      </c>
      <c r="Q161" s="188" t="s">
        <v>108</v>
      </c>
      <c r="R161" s="194" t="s">
        <v>108</v>
      </c>
    </row>
    <row r="162" spans="3:18" ht="16" x14ac:dyDescent="0.2">
      <c r="C162" s="24" t="s">
        <v>44</v>
      </c>
      <c r="D162" s="187" t="s">
        <v>108</v>
      </c>
      <c r="E162" s="188" t="s">
        <v>108</v>
      </c>
      <c r="F162" s="188" t="s">
        <v>108</v>
      </c>
      <c r="G162" s="188" t="s">
        <v>108</v>
      </c>
      <c r="H162" s="188" t="s">
        <v>108</v>
      </c>
      <c r="I162" s="188" t="s">
        <v>108</v>
      </c>
      <c r="J162" s="188" t="s">
        <v>108</v>
      </c>
      <c r="K162" s="188" t="s">
        <v>108</v>
      </c>
      <c r="L162" s="188" t="s">
        <v>108</v>
      </c>
      <c r="M162" s="188" t="s">
        <v>108</v>
      </c>
      <c r="N162" s="188" t="s">
        <v>108</v>
      </c>
      <c r="O162" s="188" t="s">
        <v>108</v>
      </c>
      <c r="P162" s="188" t="s">
        <v>108</v>
      </c>
      <c r="Q162" s="188" t="s">
        <v>108</v>
      </c>
      <c r="R162" s="194" t="s">
        <v>108</v>
      </c>
    </row>
    <row r="163" spans="3:18" ht="17" thickBot="1" x14ac:dyDescent="0.25">
      <c r="C163" s="24" t="s">
        <v>42</v>
      </c>
      <c r="D163" s="42">
        <f ca="1">INDIRECT(ADDRESS($D152+27,D$1,4,TRUE,"Motorcycle"))</f>
        <v>1816.7373556510834</v>
      </c>
      <c r="E163" s="43">
        <f t="shared" ref="E163:R163" ca="1" si="65">INDIRECT(ADDRESS($D152+27,E$1,4,TRUE,"Motorcycle"))</f>
        <v>1844.8892134535913</v>
      </c>
      <c r="F163" s="43">
        <f t="shared" ca="1" si="65"/>
        <v>1838.6558752447884</v>
      </c>
      <c r="G163" s="43">
        <f t="shared" ca="1" si="65"/>
        <v>1827.1885989592886</v>
      </c>
      <c r="H163" s="43">
        <f t="shared" ca="1" si="65"/>
        <v>1851.7633386290158</v>
      </c>
      <c r="I163" s="43">
        <f t="shared" ca="1" si="65"/>
        <v>1903.9856960778984</v>
      </c>
      <c r="J163" s="43">
        <f t="shared" ca="1" si="65"/>
        <v>1978.8472895988725</v>
      </c>
      <c r="K163" s="43">
        <f t="shared" ca="1" si="65"/>
        <v>1998.2772655016518</v>
      </c>
      <c r="L163" s="43">
        <f t="shared" ca="1" si="65"/>
        <v>1954.3777739615646</v>
      </c>
      <c r="M163" s="43">
        <f t="shared" ca="1" si="65"/>
        <v>1892.3732919211291</v>
      </c>
      <c r="N163" s="43">
        <f t="shared" ca="1" si="65"/>
        <v>1800.0573931745228</v>
      </c>
      <c r="O163" s="43">
        <f t="shared" ca="1" si="65"/>
        <v>1704.8797256512667</v>
      </c>
      <c r="P163" s="43">
        <f t="shared" ca="1" si="65"/>
        <v>1672.5535692526173</v>
      </c>
      <c r="Q163" s="43">
        <f t="shared" ca="1" si="65"/>
        <v>1635.6801964005383</v>
      </c>
      <c r="R163" s="44">
        <f t="shared" ca="1" si="65"/>
        <v>1596.2385378699246</v>
      </c>
    </row>
    <row r="164" spans="3:18" ht="19" thickTop="1" thickBot="1" x14ac:dyDescent="0.25">
      <c r="C164" s="31" t="s">
        <v>45</v>
      </c>
      <c r="D164" s="189">
        <f ca="1">SUM(D157:D163)</f>
        <v>28089.157694204037</v>
      </c>
      <c r="E164" s="48">
        <f t="shared" ref="E164:R164" ca="1" si="66">SUM(E157:E163)</f>
        <v>28295.371923886221</v>
      </c>
      <c r="F164" s="48">
        <f t="shared" ca="1" si="66"/>
        <v>28168.532730525661</v>
      </c>
      <c r="G164" s="48">
        <f t="shared" ca="1" si="66"/>
        <v>28036.411634681372</v>
      </c>
      <c r="H164" s="48">
        <f t="shared" ca="1" si="66"/>
        <v>28113.854690310611</v>
      </c>
      <c r="I164" s="48">
        <f t="shared" ca="1" si="66"/>
        <v>29198.47092706406</v>
      </c>
      <c r="J164" s="48">
        <f t="shared" ca="1" si="66"/>
        <v>30076.71080254273</v>
      </c>
      <c r="K164" s="48">
        <f t="shared" ca="1" si="66"/>
        <v>30497.885619215616</v>
      </c>
      <c r="L164" s="48">
        <f t="shared" ca="1" si="66"/>
        <v>30493.379926233869</v>
      </c>
      <c r="M164" s="48">
        <f t="shared" ca="1" si="66"/>
        <v>29671.592824236286</v>
      </c>
      <c r="N164" s="48">
        <f t="shared" ca="1" si="66"/>
        <v>28883.436680074112</v>
      </c>
      <c r="O164" s="48">
        <f t="shared" ca="1" si="66"/>
        <v>28137.22349835058</v>
      </c>
      <c r="P164" s="48">
        <f t="shared" ca="1" si="66"/>
        <v>27081.778961231135</v>
      </c>
      <c r="Q164" s="48">
        <f t="shared" ca="1" si="66"/>
        <v>25973.804273622773</v>
      </c>
      <c r="R164" s="49">
        <f t="shared" ca="1" si="66"/>
        <v>24829.446992198293</v>
      </c>
    </row>
    <row r="165" spans="3:18" ht="14" thickTop="1" x14ac:dyDescent="0.15"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43"/>
    </row>
    <row r="166" spans="3:18" ht="14" thickBot="1" x14ac:dyDescent="0.2"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43"/>
    </row>
    <row r="167" spans="3:18" ht="18" thickTop="1" thickBot="1" x14ac:dyDescent="0.25">
      <c r="C167" s="180" t="str">
        <f ca="1">INDIRECT(ADDRESS(D167+27,3,4,TRUE,"Car+SUV"))</f>
        <v>Canterbury</v>
      </c>
      <c r="D167" s="190">
        <v>12</v>
      </c>
      <c r="E167" s="145" t="s">
        <v>170</v>
      </c>
      <c r="F167" s="145"/>
      <c r="G167" s="145"/>
      <c r="H167" s="145"/>
      <c r="I167" s="145"/>
      <c r="J167" s="145"/>
      <c r="K167" s="145"/>
      <c r="L167" s="145"/>
      <c r="M167" s="145"/>
      <c r="N167" s="145"/>
      <c r="O167" s="43"/>
    </row>
    <row r="168" spans="3:18" ht="15" thickTop="1" thickBot="1" x14ac:dyDescent="0.2"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43"/>
    </row>
    <row r="169" spans="3:18" ht="17" thickTop="1" x14ac:dyDescent="0.2">
      <c r="C169" s="32" t="s">
        <v>46</v>
      </c>
      <c r="D169" s="183"/>
      <c r="E169" s="183"/>
      <c r="F169" s="183"/>
      <c r="G169" s="183"/>
      <c r="H169" s="183"/>
      <c r="I169" s="183"/>
      <c r="J169" s="183"/>
      <c r="K169" s="40"/>
      <c r="L169" s="40"/>
      <c r="M169" s="40"/>
      <c r="N169" s="40"/>
      <c r="O169" s="40"/>
      <c r="P169" s="34"/>
      <c r="Q169" s="34"/>
      <c r="R169" s="35"/>
    </row>
    <row r="170" spans="3:18" ht="14" thickBot="1" x14ac:dyDescent="0.2">
      <c r="C170" s="36"/>
      <c r="D170" s="184" t="s">
        <v>25</v>
      </c>
      <c r="E170" s="184" t="s">
        <v>37</v>
      </c>
      <c r="F170" s="184" t="s">
        <v>38</v>
      </c>
      <c r="G170" s="37" t="s">
        <v>177</v>
      </c>
      <c r="H170" s="37" t="s">
        <v>178</v>
      </c>
      <c r="I170" s="184" t="s">
        <v>26</v>
      </c>
      <c r="J170" s="184"/>
      <c r="K170" s="184" t="s">
        <v>27</v>
      </c>
      <c r="L170" s="184" t="s">
        <v>28</v>
      </c>
      <c r="M170" s="184" t="s">
        <v>29</v>
      </c>
      <c r="N170" s="184" t="s">
        <v>30</v>
      </c>
      <c r="O170" s="184" t="s">
        <v>31</v>
      </c>
      <c r="P170" s="37" t="s">
        <v>174</v>
      </c>
      <c r="Q170" s="37" t="s">
        <v>175</v>
      </c>
      <c r="R170" s="38" t="s">
        <v>176</v>
      </c>
    </row>
    <row r="171" spans="3:18" ht="15" thickTop="1" thickBot="1" x14ac:dyDescent="0.2">
      <c r="C171" s="70"/>
      <c r="D171" s="185" t="s">
        <v>39</v>
      </c>
      <c r="E171" s="186" t="s">
        <v>39</v>
      </c>
      <c r="F171" s="186" t="s">
        <v>39</v>
      </c>
      <c r="G171" s="65" t="s">
        <v>39</v>
      </c>
      <c r="H171" s="65" t="s">
        <v>39</v>
      </c>
      <c r="I171" s="186" t="s">
        <v>39</v>
      </c>
      <c r="J171" s="186"/>
      <c r="K171" s="186" t="s">
        <v>32</v>
      </c>
      <c r="L171" s="186" t="s">
        <v>32</v>
      </c>
      <c r="M171" s="186" t="s">
        <v>32</v>
      </c>
      <c r="N171" s="186" t="s">
        <v>32</v>
      </c>
      <c r="O171" s="186" t="s">
        <v>32</v>
      </c>
      <c r="P171" s="65" t="s">
        <v>32</v>
      </c>
      <c r="Q171" s="65" t="s">
        <v>32</v>
      </c>
      <c r="R171" s="66" t="s">
        <v>32</v>
      </c>
    </row>
    <row r="172" spans="3:18" ht="17" thickTop="1" x14ac:dyDescent="0.2">
      <c r="C172" s="24" t="s">
        <v>113</v>
      </c>
      <c r="D172" s="42">
        <f ca="1">INDIRECT(ADDRESS($D167+27,D$1,4,TRUE,"Car+SUV"))-D174</f>
        <v>416307.31071847206</v>
      </c>
      <c r="E172" s="40">
        <f t="shared" ref="E172:R172" ca="1" si="67">INDIRECT(ADDRESS($D167+27,E$1,4,TRUE,"Car+SUV"))-E174</f>
        <v>426777.83957787784</v>
      </c>
      <c r="F172" s="40">
        <f t="shared" ca="1" si="67"/>
        <v>441392.55226762872</v>
      </c>
      <c r="G172" s="40">
        <f t="shared" ca="1" si="67"/>
        <v>455200.44126689329</v>
      </c>
      <c r="H172" s="40">
        <f t="shared" ca="1" si="67"/>
        <v>468186.67760890455</v>
      </c>
      <c r="I172" s="40">
        <f t="shared" ca="1" si="67"/>
        <v>480358.52765205735</v>
      </c>
      <c r="J172" s="40">
        <f t="shared" ca="1" si="67"/>
        <v>491550.8995198445</v>
      </c>
      <c r="K172" s="40">
        <f t="shared" ca="1" si="67"/>
        <v>527968.30911653314</v>
      </c>
      <c r="L172" s="40">
        <f t="shared" ca="1" si="67"/>
        <v>543024.85641022201</v>
      </c>
      <c r="M172" s="40">
        <f t="shared" ca="1" si="67"/>
        <v>550592.73178617936</v>
      </c>
      <c r="N172" s="40">
        <f t="shared" ca="1" si="67"/>
        <v>551810.00949709385</v>
      </c>
      <c r="O172" s="40">
        <f t="shared" ca="1" si="67"/>
        <v>551658.95355106483</v>
      </c>
      <c r="P172" s="40">
        <f t="shared" ca="1" si="67"/>
        <v>542762.04309588415</v>
      </c>
      <c r="Q172" s="40">
        <f t="shared" ca="1" si="67"/>
        <v>531181.25217620446</v>
      </c>
      <c r="R172" s="41">
        <f t="shared" ca="1" si="67"/>
        <v>517097.05761213263</v>
      </c>
    </row>
    <row r="173" spans="3:18" ht="16" x14ac:dyDescent="0.2">
      <c r="C173" s="24" t="s">
        <v>114</v>
      </c>
      <c r="D173" s="42">
        <f ca="1">INDIRECT(ADDRESS($D167+27,D$1,4,TRUE,"Van+Ute"))-D175</f>
        <v>69186.324727235275</v>
      </c>
      <c r="E173" s="43">
        <f t="shared" ref="E173:R173" ca="1" si="68">INDIRECT(ADDRESS($D167+27,E$1,4,TRUE,"Van+Ute"))-E175</f>
        <v>74491.70263884704</v>
      </c>
      <c r="F173" s="43">
        <f t="shared" ca="1" si="68"/>
        <v>79446.413023884728</v>
      </c>
      <c r="G173" s="43">
        <f t="shared" ca="1" si="68"/>
        <v>83044.270429304306</v>
      </c>
      <c r="H173" s="43">
        <f t="shared" ca="1" si="68"/>
        <v>86337.556500343228</v>
      </c>
      <c r="I173" s="43">
        <f t="shared" ca="1" si="68"/>
        <v>91909.859596774564</v>
      </c>
      <c r="J173" s="43">
        <f t="shared" ca="1" si="68"/>
        <v>96408.937761686073</v>
      </c>
      <c r="K173" s="43">
        <f t="shared" ca="1" si="68"/>
        <v>104790.44682419093</v>
      </c>
      <c r="L173" s="43">
        <f t="shared" ca="1" si="68"/>
        <v>112576.63632999975</v>
      </c>
      <c r="M173" s="43">
        <f t="shared" ca="1" si="68"/>
        <v>118423.18193876588</v>
      </c>
      <c r="N173" s="43">
        <f t="shared" ca="1" si="68"/>
        <v>123409.90635475263</v>
      </c>
      <c r="O173" s="43">
        <f t="shared" ca="1" si="68"/>
        <v>128640.92662214284</v>
      </c>
      <c r="P173" s="43">
        <f t="shared" ca="1" si="68"/>
        <v>133093.67306536617</v>
      </c>
      <c r="Q173" s="43">
        <f t="shared" ca="1" si="68"/>
        <v>137112.24613211319</v>
      </c>
      <c r="R173" s="44">
        <f t="shared" ca="1" si="68"/>
        <v>140475.52044559992</v>
      </c>
    </row>
    <row r="174" spans="3:18" ht="16" x14ac:dyDescent="0.2">
      <c r="C174" s="24" t="s">
        <v>115</v>
      </c>
      <c r="D174" s="42">
        <f ca="1">INDIRECT(ADDRESS($D167+150,D$1,4,TRUE,"Car+SUV"))</f>
        <v>913.23377288439372</v>
      </c>
      <c r="E174" s="43">
        <f t="shared" ref="E174:R174" ca="1" si="69">INDIRECT(ADDRESS($D167+150,E$1,4,TRUE,"Car+SUV"))</f>
        <v>938.2363911290322</v>
      </c>
      <c r="F174" s="43">
        <f t="shared" ca="1" si="69"/>
        <v>991.23350612629599</v>
      </c>
      <c r="G174" s="43">
        <f t="shared" ca="1" si="69"/>
        <v>1010.2048473785619</v>
      </c>
      <c r="H174" s="43">
        <f t="shared" ca="1" si="69"/>
        <v>1099.2124081948202</v>
      </c>
      <c r="I174" s="43">
        <f t="shared" ca="1" si="69"/>
        <v>2123.0987821380245</v>
      </c>
      <c r="J174" s="43">
        <f t="shared" ca="1" si="69"/>
        <v>2432.9443878849579</v>
      </c>
      <c r="K174" s="43">
        <f t="shared" ca="1" si="69"/>
        <v>2831.6900869014507</v>
      </c>
      <c r="L174" s="43">
        <f t="shared" ca="1" si="69"/>
        <v>12895.710356888485</v>
      </c>
      <c r="M174" s="43">
        <f t="shared" ca="1" si="69"/>
        <v>23749.774720540143</v>
      </c>
      <c r="N174" s="43">
        <f t="shared" ca="1" si="69"/>
        <v>35185.484416515872</v>
      </c>
      <c r="O174" s="43">
        <f t="shared" ca="1" si="69"/>
        <v>47192.446170155803</v>
      </c>
      <c r="P174" s="43">
        <f t="shared" ca="1" si="69"/>
        <v>59649.927515202522</v>
      </c>
      <c r="Q174" s="43">
        <f t="shared" ca="1" si="69"/>
        <v>72529.448396835753</v>
      </c>
      <c r="R174" s="44">
        <f t="shared" ca="1" si="69"/>
        <v>85818.168703841031</v>
      </c>
    </row>
    <row r="175" spans="3:18" ht="16" x14ac:dyDescent="0.2">
      <c r="C175" s="24" t="s">
        <v>116</v>
      </c>
      <c r="D175" s="42">
        <f ca="1">INDIRECT(ADDRESS($D167+150,D$1,4,TRUE,"Van+Ute"))</f>
        <v>372</v>
      </c>
      <c r="E175" s="43">
        <f t="shared" ref="E175:R175" ca="1" si="70">INDIRECT(ADDRESS($D167+150,E$1,4,TRUE,"Van+Ute"))</f>
        <v>331</v>
      </c>
      <c r="F175" s="43">
        <f t="shared" ca="1" si="70"/>
        <v>343</v>
      </c>
      <c r="G175" s="43">
        <f t="shared" ca="1" si="70"/>
        <v>357</v>
      </c>
      <c r="H175" s="43">
        <f t="shared" ca="1" si="70"/>
        <v>397</v>
      </c>
      <c r="I175" s="43">
        <f t="shared" ca="1" si="70"/>
        <v>486.75983469019951</v>
      </c>
      <c r="J175" s="43">
        <f t="shared" ca="1" si="70"/>
        <v>530.70525581818367</v>
      </c>
      <c r="K175" s="43">
        <f t="shared" ca="1" si="70"/>
        <v>617.68481821866828</v>
      </c>
      <c r="L175" s="43">
        <f t="shared" ca="1" si="70"/>
        <v>2095.9857566013438</v>
      </c>
      <c r="M175" s="43">
        <f t="shared" ca="1" si="70"/>
        <v>3685.801361103157</v>
      </c>
      <c r="N175" s="43">
        <f t="shared" ca="1" si="70"/>
        <v>5359.5888123890199</v>
      </c>
      <c r="O175" s="43">
        <f t="shared" ca="1" si="70"/>
        <v>7118.5283480952849</v>
      </c>
      <c r="P175" s="43">
        <f t="shared" ca="1" si="70"/>
        <v>8938.5068537423158</v>
      </c>
      <c r="Q175" s="43">
        <f t="shared" ca="1" si="70"/>
        <v>10821.839891214275</v>
      </c>
      <c r="R175" s="44">
        <f t="shared" ca="1" si="70"/>
        <v>12767.0769364514</v>
      </c>
    </row>
    <row r="176" spans="3:18" ht="16" x14ac:dyDescent="0.2">
      <c r="C176" s="24" t="s">
        <v>43</v>
      </c>
      <c r="D176" s="187" t="s">
        <v>108</v>
      </c>
      <c r="E176" s="188" t="s">
        <v>108</v>
      </c>
      <c r="F176" s="188" t="s">
        <v>108</v>
      </c>
      <c r="G176" s="188" t="s">
        <v>108</v>
      </c>
      <c r="H176" s="188" t="s">
        <v>108</v>
      </c>
      <c r="I176" s="188" t="s">
        <v>108</v>
      </c>
      <c r="J176" s="188" t="s">
        <v>108</v>
      </c>
      <c r="K176" s="188" t="s">
        <v>108</v>
      </c>
      <c r="L176" s="188" t="s">
        <v>108</v>
      </c>
      <c r="M176" s="188" t="s">
        <v>108</v>
      </c>
      <c r="N176" s="188" t="s">
        <v>108</v>
      </c>
      <c r="O176" s="188" t="s">
        <v>108</v>
      </c>
      <c r="P176" s="188" t="s">
        <v>108</v>
      </c>
      <c r="Q176" s="188" t="s">
        <v>108</v>
      </c>
      <c r="R176" s="194" t="s">
        <v>108</v>
      </c>
    </row>
    <row r="177" spans="3:18" ht="16" x14ac:dyDescent="0.2">
      <c r="C177" s="24" t="s">
        <v>44</v>
      </c>
      <c r="D177" s="187" t="s">
        <v>108</v>
      </c>
      <c r="E177" s="188" t="s">
        <v>108</v>
      </c>
      <c r="F177" s="188" t="s">
        <v>108</v>
      </c>
      <c r="G177" s="188" t="s">
        <v>108</v>
      </c>
      <c r="H177" s="188" t="s">
        <v>108</v>
      </c>
      <c r="I177" s="188" t="s">
        <v>108</v>
      </c>
      <c r="J177" s="188" t="s">
        <v>108</v>
      </c>
      <c r="K177" s="188" t="s">
        <v>108</v>
      </c>
      <c r="L177" s="188" t="s">
        <v>108</v>
      </c>
      <c r="M177" s="188" t="s">
        <v>108</v>
      </c>
      <c r="N177" s="188" t="s">
        <v>108</v>
      </c>
      <c r="O177" s="188" t="s">
        <v>108</v>
      </c>
      <c r="P177" s="188" t="s">
        <v>108</v>
      </c>
      <c r="Q177" s="188" t="s">
        <v>108</v>
      </c>
      <c r="R177" s="194" t="s">
        <v>108</v>
      </c>
    </row>
    <row r="178" spans="3:18" ht="17" thickBot="1" x14ac:dyDescent="0.25">
      <c r="C178" s="24" t="s">
        <v>42</v>
      </c>
      <c r="D178" s="42">
        <f ca="1">INDIRECT(ADDRESS($D167+27,D$1,4,TRUE,"Motorcycle"))</f>
        <v>24199.859859221295</v>
      </c>
      <c r="E178" s="43">
        <f t="shared" ref="E178:R178" ca="1" si="71">INDIRECT(ADDRESS($D167+27,E$1,4,TRUE,"Motorcycle"))</f>
        <v>25085.968491074083</v>
      </c>
      <c r="F178" s="43">
        <f t="shared" ca="1" si="71"/>
        <v>26002.54490676762</v>
      </c>
      <c r="G178" s="43">
        <f t="shared" ca="1" si="71"/>
        <v>26726.178248746532</v>
      </c>
      <c r="H178" s="43">
        <f t="shared" ca="1" si="71"/>
        <v>27441.818788751723</v>
      </c>
      <c r="I178" s="43">
        <f t="shared" ca="1" si="71"/>
        <v>28169.011084331527</v>
      </c>
      <c r="J178" s="43">
        <f t="shared" ca="1" si="71"/>
        <v>29082.963164385976</v>
      </c>
      <c r="K178" s="43">
        <f t="shared" ca="1" si="71"/>
        <v>30890.222564835803</v>
      </c>
      <c r="L178" s="43">
        <f t="shared" ca="1" si="71"/>
        <v>31776.271511532883</v>
      </c>
      <c r="M178" s="43">
        <f t="shared" ca="1" si="71"/>
        <v>32383.412501754261</v>
      </c>
      <c r="N178" s="43">
        <f t="shared" ca="1" si="71"/>
        <v>32442.489563706982</v>
      </c>
      <c r="O178" s="43">
        <f t="shared" ca="1" si="71"/>
        <v>32336.074564484781</v>
      </c>
      <c r="P178" s="43">
        <f t="shared" ca="1" si="71"/>
        <v>33384.072749574065</v>
      </c>
      <c r="Q178" s="43">
        <f t="shared" ca="1" si="71"/>
        <v>34357.646541406648</v>
      </c>
      <c r="R178" s="44">
        <f t="shared" ca="1" si="71"/>
        <v>35284.870990666539</v>
      </c>
    </row>
    <row r="179" spans="3:18" ht="19" thickTop="1" thickBot="1" x14ac:dyDescent="0.25">
      <c r="C179" s="31" t="s">
        <v>45</v>
      </c>
      <c r="D179" s="189">
        <f ca="1">SUM(D172:D178)</f>
        <v>510978.7290778131</v>
      </c>
      <c r="E179" s="48">
        <f t="shared" ref="E179:R179" ca="1" si="72">SUM(E172:E178)</f>
        <v>527624.74709892797</v>
      </c>
      <c r="F179" s="48">
        <f t="shared" ca="1" si="72"/>
        <v>548175.74370440736</v>
      </c>
      <c r="G179" s="48">
        <f t="shared" ca="1" si="72"/>
        <v>566338.09479232272</v>
      </c>
      <c r="H179" s="48">
        <f t="shared" ca="1" si="72"/>
        <v>583462.26530619431</v>
      </c>
      <c r="I179" s="48">
        <f t="shared" ca="1" si="72"/>
        <v>603047.25694999169</v>
      </c>
      <c r="J179" s="48">
        <f t="shared" ca="1" si="72"/>
        <v>620006.45008961973</v>
      </c>
      <c r="K179" s="48">
        <f t="shared" ca="1" si="72"/>
        <v>667098.35341067996</v>
      </c>
      <c r="L179" s="48">
        <f t="shared" ca="1" si="72"/>
        <v>702369.46036524442</v>
      </c>
      <c r="M179" s="48">
        <f t="shared" ca="1" si="72"/>
        <v>728834.90230834286</v>
      </c>
      <c r="N179" s="48">
        <f t="shared" ca="1" si="72"/>
        <v>748207.47864445846</v>
      </c>
      <c r="O179" s="48">
        <f t="shared" ca="1" si="72"/>
        <v>766946.92925594351</v>
      </c>
      <c r="P179" s="48">
        <f t="shared" ca="1" si="72"/>
        <v>777828.2232797693</v>
      </c>
      <c r="Q179" s="48">
        <f t="shared" ca="1" si="72"/>
        <v>786002.43313777423</v>
      </c>
      <c r="R179" s="49">
        <f t="shared" ca="1" si="72"/>
        <v>791442.69468869152</v>
      </c>
    </row>
    <row r="180" spans="3:18" ht="14" thickTop="1" x14ac:dyDescent="0.15"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43"/>
    </row>
    <row r="181" spans="3:18" ht="14" thickBot="1" x14ac:dyDescent="0.2"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43"/>
    </row>
    <row r="182" spans="3:18" ht="18" thickTop="1" thickBot="1" x14ac:dyDescent="0.25">
      <c r="C182" s="180" t="str">
        <f ca="1">INDIRECT(ADDRESS(D182+27,3,4,TRUE,"Car+SUV"))</f>
        <v>Otago</v>
      </c>
      <c r="D182" s="190">
        <v>13</v>
      </c>
      <c r="E182" s="145" t="s">
        <v>170</v>
      </c>
      <c r="F182" s="145"/>
      <c r="G182" s="145"/>
      <c r="H182" s="145"/>
      <c r="I182" s="145"/>
      <c r="J182" s="145"/>
      <c r="K182" s="145"/>
      <c r="L182" s="145"/>
      <c r="M182" s="145"/>
      <c r="N182" s="145"/>
      <c r="O182" s="43"/>
    </row>
    <row r="183" spans="3:18" ht="15" thickTop="1" thickBot="1" x14ac:dyDescent="0.2"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43"/>
    </row>
    <row r="184" spans="3:18" ht="17" thickTop="1" x14ac:dyDescent="0.2">
      <c r="C184" s="32" t="s">
        <v>46</v>
      </c>
      <c r="D184" s="183"/>
      <c r="E184" s="183"/>
      <c r="F184" s="183"/>
      <c r="G184" s="183"/>
      <c r="H184" s="183"/>
      <c r="I184" s="183"/>
      <c r="J184" s="183"/>
      <c r="K184" s="40"/>
      <c r="L184" s="40"/>
      <c r="M184" s="40"/>
      <c r="N184" s="40"/>
      <c r="O184" s="40"/>
      <c r="P184" s="34"/>
      <c r="Q184" s="34"/>
      <c r="R184" s="35"/>
    </row>
    <row r="185" spans="3:18" ht="14" thickBot="1" x14ac:dyDescent="0.2">
      <c r="C185" s="36"/>
      <c r="D185" s="184" t="s">
        <v>25</v>
      </c>
      <c r="E185" s="184" t="s">
        <v>37</v>
      </c>
      <c r="F185" s="184" t="s">
        <v>38</v>
      </c>
      <c r="G185" s="37" t="s">
        <v>177</v>
      </c>
      <c r="H185" s="37" t="s">
        <v>178</v>
      </c>
      <c r="I185" s="184" t="s">
        <v>26</v>
      </c>
      <c r="J185" s="184"/>
      <c r="K185" s="184" t="s">
        <v>27</v>
      </c>
      <c r="L185" s="184" t="s">
        <v>28</v>
      </c>
      <c r="M185" s="184" t="s">
        <v>29</v>
      </c>
      <c r="N185" s="184" t="s">
        <v>30</v>
      </c>
      <c r="O185" s="184" t="s">
        <v>31</v>
      </c>
      <c r="P185" s="37" t="s">
        <v>174</v>
      </c>
      <c r="Q185" s="37" t="s">
        <v>175</v>
      </c>
      <c r="R185" s="38" t="s">
        <v>176</v>
      </c>
    </row>
    <row r="186" spans="3:18" ht="15" thickTop="1" thickBot="1" x14ac:dyDescent="0.2">
      <c r="C186" s="70"/>
      <c r="D186" s="185" t="s">
        <v>39</v>
      </c>
      <c r="E186" s="186" t="s">
        <v>39</v>
      </c>
      <c r="F186" s="186" t="s">
        <v>39</v>
      </c>
      <c r="G186" s="65" t="s">
        <v>39</v>
      </c>
      <c r="H186" s="65" t="s">
        <v>39</v>
      </c>
      <c r="I186" s="186" t="s">
        <v>39</v>
      </c>
      <c r="J186" s="186"/>
      <c r="K186" s="186" t="s">
        <v>32</v>
      </c>
      <c r="L186" s="186" t="s">
        <v>32</v>
      </c>
      <c r="M186" s="186" t="s">
        <v>32</v>
      </c>
      <c r="N186" s="186" t="s">
        <v>32</v>
      </c>
      <c r="O186" s="186" t="s">
        <v>32</v>
      </c>
      <c r="P186" s="65" t="s">
        <v>32</v>
      </c>
      <c r="Q186" s="65" t="s">
        <v>32</v>
      </c>
      <c r="R186" s="66" t="s">
        <v>32</v>
      </c>
    </row>
    <row r="187" spans="3:18" ht="17" thickTop="1" x14ac:dyDescent="0.2">
      <c r="C187" s="24" t="s">
        <v>113</v>
      </c>
      <c r="D187" s="42">
        <f ca="1">INDIRECT(ADDRESS($D182+27,D$1,4,TRUE,"Car+SUV"))-D189</f>
        <v>123576.50414600117</v>
      </c>
      <c r="E187" s="40">
        <f t="shared" ref="E187:R187" ca="1" si="73">INDIRECT(ADDRESS($D182+27,E$1,4,TRUE,"Car+SUV"))-E189</f>
        <v>126867.59645616708</v>
      </c>
      <c r="F187" s="40">
        <f t="shared" ca="1" si="73"/>
        <v>129896.83050056922</v>
      </c>
      <c r="G187" s="40">
        <f t="shared" ca="1" si="73"/>
        <v>135020.62379180276</v>
      </c>
      <c r="H187" s="40">
        <f t="shared" ca="1" si="73"/>
        <v>146445.75763955343</v>
      </c>
      <c r="I187" s="40">
        <f t="shared" ca="1" si="73"/>
        <v>147880.89343528921</v>
      </c>
      <c r="J187" s="40">
        <f t="shared" ca="1" si="73"/>
        <v>152000.88879345148</v>
      </c>
      <c r="K187" s="40">
        <f t="shared" ca="1" si="73"/>
        <v>160591.06065886782</v>
      </c>
      <c r="L187" s="40">
        <f t="shared" ca="1" si="73"/>
        <v>162617.36366126619</v>
      </c>
      <c r="M187" s="40">
        <f t="shared" ca="1" si="73"/>
        <v>162343.91310057472</v>
      </c>
      <c r="N187" s="40">
        <f t="shared" ca="1" si="73"/>
        <v>160313.92743311028</v>
      </c>
      <c r="O187" s="40">
        <f t="shared" ca="1" si="73"/>
        <v>157970.89754160377</v>
      </c>
      <c r="P187" s="40">
        <f t="shared" ca="1" si="73"/>
        <v>153125.63655854473</v>
      </c>
      <c r="Q187" s="40">
        <f t="shared" ca="1" si="73"/>
        <v>147644.87559947031</v>
      </c>
      <c r="R187" s="41">
        <f t="shared" ca="1" si="73"/>
        <v>141608.24706979218</v>
      </c>
    </row>
    <row r="188" spans="3:18" ht="16" x14ac:dyDescent="0.2">
      <c r="C188" s="24" t="s">
        <v>114</v>
      </c>
      <c r="D188" s="42">
        <f ca="1">INDIRECT(ADDRESS($D182+27,D$1,4,TRUE,"Van+Ute"))-D190</f>
        <v>22939.74952469812</v>
      </c>
      <c r="E188" s="43">
        <f t="shared" ref="E188:R188" ca="1" si="74">INDIRECT(ADDRESS($D182+27,E$1,4,TRUE,"Van+Ute"))-E190</f>
        <v>23946.935396700748</v>
      </c>
      <c r="F188" s="43">
        <f t="shared" ca="1" si="74"/>
        <v>25267.933385519427</v>
      </c>
      <c r="G188" s="43">
        <f t="shared" ca="1" si="74"/>
        <v>27042.377877397164</v>
      </c>
      <c r="H188" s="43">
        <f t="shared" ca="1" si="74"/>
        <v>29603.056171242435</v>
      </c>
      <c r="I188" s="43">
        <f t="shared" ca="1" si="74"/>
        <v>32023.744717580601</v>
      </c>
      <c r="J188" s="43">
        <f t="shared" ca="1" si="74"/>
        <v>34520.671280431474</v>
      </c>
      <c r="K188" s="43">
        <f t="shared" ca="1" si="74"/>
        <v>36804.205319447938</v>
      </c>
      <c r="L188" s="43">
        <f t="shared" ca="1" si="74"/>
        <v>38662.3946185315</v>
      </c>
      <c r="M188" s="43">
        <f t="shared" ca="1" si="74"/>
        <v>39823.442176746692</v>
      </c>
      <c r="N188" s="43">
        <f t="shared" ca="1" si="74"/>
        <v>40657.498022981948</v>
      </c>
      <c r="O188" s="43">
        <f t="shared" ca="1" si="74"/>
        <v>41523.675691944205</v>
      </c>
      <c r="P188" s="43">
        <f t="shared" ca="1" si="74"/>
        <v>42042.577069464722</v>
      </c>
      <c r="Q188" s="43">
        <f t="shared" ca="1" si="74"/>
        <v>42392.714323058972</v>
      </c>
      <c r="R188" s="44">
        <f t="shared" ca="1" si="74"/>
        <v>42523.758709888149</v>
      </c>
    </row>
    <row r="189" spans="3:18" ht="16" x14ac:dyDescent="0.2">
      <c r="C189" s="24" t="s">
        <v>115</v>
      </c>
      <c r="D189" s="42">
        <f ca="1">INDIRECT(ADDRESS($D182+150,D$1,4,TRUE,"Car+SUV"))</f>
        <v>478.1223914991678</v>
      </c>
      <c r="E189" s="43">
        <f t="shared" ref="E189:R189" ca="1" si="75">INDIRECT(ADDRESS($D182+150,E$1,4,TRUE,"Car+SUV"))</f>
        <v>486.12247983870969</v>
      </c>
      <c r="F189" s="43">
        <f t="shared" ca="1" si="75"/>
        <v>502.11828463713482</v>
      </c>
      <c r="G189" s="43">
        <f t="shared" ca="1" si="75"/>
        <v>515.10445188114795</v>
      </c>
      <c r="H189" s="43">
        <f t="shared" ca="1" si="75"/>
        <v>573.11074603788165</v>
      </c>
      <c r="I189" s="43">
        <f t="shared" ca="1" si="75"/>
        <v>702.45737483085247</v>
      </c>
      <c r="J189" s="43">
        <f t="shared" ca="1" si="75"/>
        <v>814.47556630185795</v>
      </c>
      <c r="K189" s="43">
        <f t="shared" ca="1" si="75"/>
        <v>936.85435731309849</v>
      </c>
      <c r="L189" s="43">
        <f t="shared" ca="1" si="75"/>
        <v>3629.631251823736</v>
      </c>
      <c r="M189" s="43">
        <f t="shared" ca="1" si="75"/>
        <v>6444.9716901249531</v>
      </c>
      <c r="N189" s="43">
        <f t="shared" ca="1" si="75"/>
        <v>9328.5547712538701</v>
      </c>
      <c r="O189" s="43">
        <f t="shared" ca="1" si="75"/>
        <v>12276.492419351958</v>
      </c>
      <c r="P189" s="43">
        <f t="shared" ca="1" si="75"/>
        <v>15246.522179012198</v>
      </c>
      <c r="Q189" s="43">
        <f t="shared" ca="1" si="75"/>
        <v>18235.333865941338</v>
      </c>
      <c r="R189" s="44">
        <f t="shared" ca="1" si="75"/>
        <v>21238.207846588644</v>
      </c>
    </row>
    <row r="190" spans="3:18" ht="16" x14ac:dyDescent="0.2">
      <c r="C190" s="24" t="s">
        <v>116</v>
      </c>
      <c r="D190" s="42">
        <f ca="1">INDIRECT(ADDRESS($D182+150,D$1,4,TRUE,"Van+Ute"))</f>
        <v>294</v>
      </c>
      <c r="E190" s="43">
        <f t="shared" ref="E190:R190" ca="1" si="76">INDIRECT(ADDRESS($D182+150,E$1,4,TRUE,"Van+Ute"))</f>
        <v>309</v>
      </c>
      <c r="F190" s="43">
        <f t="shared" ca="1" si="76"/>
        <v>317</v>
      </c>
      <c r="G190" s="43">
        <f t="shared" ca="1" si="76"/>
        <v>334</v>
      </c>
      <c r="H190" s="43">
        <f t="shared" ca="1" si="76"/>
        <v>362</v>
      </c>
      <c r="I190" s="43">
        <f t="shared" ca="1" si="76"/>
        <v>424.19157707206932</v>
      </c>
      <c r="J190" s="43">
        <f t="shared" ca="1" si="76"/>
        <v>445.79241488727422</v>
      </c>
      <c r="K190" s="43">
        <f t="shared" ca="1" si="76"/>
        <v>512.77482545067073</v>
      </c>
      <c r="L190" s="43">
        <f t="shared" ca="1" si="76"/>
        <v>1106.0644849872792</v>
      </c>
      <c r="M190" s="43">
        <f t="shared" ca="1" si="76"/>
        <v>1720.690065514578</v>
      </c>
      <c r="N190" s="43">
        <f t="shared" ca="1" si="76"/>
        <v>2349.3709993598654</v>
      </c>
      <c r="O190" s="43">
        <f t="shared" ca="1" si="76"/>
        <v>2995.3910423050206</v>
      </c>
      <c r="P190" s="43">
        <f t="shared" ca="1" si="76"/>
        <v>3640.0219857264105</v>
      </c>
      <c r="Q190" s="43">
        <f t="shared" ca="1" si="76"/>
        <v>4292.4173721264651</v>
      </c>
      <c r="R190" s="44">
        <f t="shared" ca="1" si="76"/>
        <v>4952.2898049488449</v>
      </c>
    </row>
    <row r="191" spans="3:18" ht="16" x14ac:dyDescent="0.2">
      <c r="C191" s="24" t="s">
        <v>43</v>
      </c>
      <c r="D191" s="187" t="s">
        <v>108</v>
      </c>
      <c r="E191" s="188" t="s">
        <v>108</v>
      </c>
      <c r="F191" s="188" t="s">
        <v>108</v>
      </c>
      <c r="G191" s="188" t="s">
        <v>108</v>
      </c>
      <c r="H191" s="188" t="s">
        <v>108</v>
      </c>
      <c r="I191" s="188" t="s">
        <v>108</v>
      </c>
      <c r="J191" s="188" t="s">
        <v>108</v>
      </c>
      <c r="K191" s="188" t="s">
        <v>108</v>
      </c>
      <c r="L191" s="188" t="s">
        <v>108</v>
      </c>
      <c r="M191" s="188" t="s">
        <v>108</v>
      </c>
      <c r="N191" s="188" t="s">
        <v>108</v>
      </c>
      <c r="O191" s="188" t="s">
        <v>108</v>
      </c>
      <c r="P191" s="188" t="s">
        <v>108</v>
      </c>
      <c r="Q191" s="188" t="s">
        <v>108</v>
      </c>
      <c r="R191" s="194" t="s">
        <v>108</v>
      </c>
    </row>
    <row r="192" spans="3:18" ht="16" x14ac:dyDescent="0.2">
      <c r="C192" s="24" t="s">
        <v>44</v>
      </c>
      <c r="D192" s="187" t="s">
        <v>108</v>
      </c>
      <c r="E192" s="188" t="s">
        <v>108</v>
      </c>
      <c r="F192" s="188" t="s">
        <v>108</v>
      </c>
      <c r="G192" s="188" t="s">
        <v>108</v>
      </c>
      <c r="H192" s="188" t="s">
        <v>108</v>
      </c>
      <c r="I192" s="188" t="s">
        <v>108</v>
      </c>
      <c r="J192" s="188" t="s">
        <v>108</v>
      </c>
      <c r="K192" s="188" t="s">
        <v>108</v>
      </c>
      <c r="L192" s="188" t="s">
        <v>108</v>
      </c>
      <c r="M192" s="188" t="s">
        <v>108</v>
      </c>
      <c r="N192" s="188" t="s">
        <v>108</v>
      </c>
      <c r="O192" s="188" t="s">
        <v>108</v>
      </c>
      <c r="P192" s="188" t="s">
        <v>108</v>
      </c>
      <c r="Q192" s="188" t="s">
        <v>108</v>
      </c>
      <c r="R192" s="194" t="s">
        <v>108</v>
      </c>
    </row>
    <row r="193" spans="3:18" ht="17" thickBot="1" x14ac:dyDescent="0.25">
      <c r="C193" s="24" t="s">
        <v>42</v>
      </c>
      <c r="D193" s="42">
        <f ca="1">INDIRECT(ADDRESS($D182+27,D$1,4,TRUE,"Motorcycle"))</f>
        <v>7395.3001950024282</v>
      </c>
      <c r="E193" s="43">
        <f t="shared" ref="E193:R193" ca="1" si="77">INDIRECT(ADDRESS($D182+27,E$1,4,TRUE,"Motorcycle"))</f>
        <v>7579.0599237196038</v>
      </c>
      <c r="F193" s="43">
        <f t="shared" ca="1" si="77"/>
        <v>7749.7065816102649</v>
      </c>
      <c r="G193" s="43">
        <f t="shared" ca="1" si="77"/>
        <v>7899.2482723300946</v>
      </c>
      <c r="H193" s="43">
        <f t="shared" ca="1" si="77"/>
        <v>8210.7843379675705</v>
      </c>
      <c r="I193" s="43">
        <f t="shared" ca="1" si="77"/>
        <v>8510.7744897281173</v>
      </c>
      <c r="J193" s="43">
        <f t="shared" ca="1" si="77"/>
        <v>8883.8059317554471</v>
      </c>
      <c r="K193" s="43">
        <f t="shared" ca="1" si="77"/>
        <v>9291.5117771614296</v>
      </c>
      <c r="L193" s="43">
        <f t="shared" ca="1" si="77"/>
        <v>9403.2452074645716</v>
      </c>
      <c r="M193" s="43">
        <f t="shared" ca="1" si="77"/>
        <v>9431.8055544058989</v>
      </c>
      <c r="N193" s="43">
        <f t="shared" ca="1" si="77"/>
        <v>9305.7043191690427</v>
      </c>
      <c r="O193" s="43">
        <f t="shared" ca="1" si="77"/>
        <v>9136.5848221231881</v>
      </c>
      <c r="P193" s="43">
        <f t="shared" ca="1" si="77"/>
        <v>9291.7481171217005</v>
      </c>
      <c r="Q193" s="43">
        <f t="shared" ca="1" si="77"/>
        <v>9419.8293487908886</v>
      </c>
      <c r="R193" s="44">
        <f t="shared" ca="1" si="77"/>
        <v>9529.4904435334229</v>
      </c>
    </row>
    <row r="194" spans="3:18" ht="19" thickTop="1" thickBot="1" x14ac:dyDescent="0.25">
      <c r="C194" s="31" t="s">
        <v>45</v>
      </c>
      <c r="D194" s="189">
        <f ca="1">SUM(D187:D193)</f>
        <v>154683.67625720089</v>
      </c>
      <c r="E194" s="48">
        <f t="shared" ref="E194:R194" ca="1" si="78">SUM(E187:E193)</f>
        <v>159188.71425642614</v>
      </c>
      <c r="F194" s="48">
        <f t="shared" ca="1" si="78"/>
        <v>163733.58875233604</v>
      </c>
      <c r="G194" s="48">
        <f t="shared" ca="1" si="78"/>
        <v>170811.35439341117</v>
      </c>
      <c r="H194" s="48">
        <f t="shared" ca="1" si="78"/>
        <v>185194.70889480133</v>
      </c>
      <c r="I194" s="48">
        <f t="shared" ca="1" si="78"/>
        <v>189542.06159450088</v>
      </c>
      <c r="J194" s="48">
        <f t="shared" ca="1" si="78"/>
        <v>196665.63398682754</v>
      </c>
      <c r="K194" s="48">
        <f t="shared" ca="1" si="78"/>
        <v>208136.40693824095</v>
      </c>
      <c r="L194" s="48">
        <f t="shared" ca="1" si="78"/>
        <v>215418.69922407329</v>
      </c>
      <c r="M194" s="48">
        <f t="shared" ca="1" si="78"/>
        <v>219764.82258736686</v>
      </c>
      <c r="N194" s="48">
        <f t="shared" ca="1" si="78"/>
        <v>221955.05554587502</v>
      </c>
      <c r="O194" s="48">
        <f t="shared" ca="1" si="78"/>
        <v>223903.04151732815</v>
      </c>
      <c r="P194" s="48">
        <f t="shared" ca="1" si="78"/>
        <v>223346.50590986974</v>
      </c>
      <c r="Q194" s="48">
        <f t="shared" ca="1" si="78"/>
        <v>221985.17050938797</v>
      </c>
      <c r="R194" s="49">
        <f t="shared" ca="1" si="78"/>
        <v>219851.99387475124</v>
      </c>
    </row>
    <row r="195" spans="3:18" ht="14" thickTop="1" x14ac:dyDescent="0.15"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43"/>
    </row>
    <row r="196" spans="3:18" ht="14" thickBot="1" x14ac:dyDescent="0.2"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43"/>
    </row>
    <row r="197" spans="3:18" ht="18" thickTop="1" thickBot="1" x14ac:dyDescent="0.25">
      <c r="C197" s="180" t="str">
        <f ca="1">INDIRECT(ADDRESS(D197+27,3,4,TRUE,"Car+SUV"))</f>
        <v>Southland</v>
      </c>
      <c r="D197" s="190">
        <v>14</v>
      </c>
      <c r="E197" s="145" t="s">
        <v>170</v>
      </c>
      <c r="F197" s="145"/>
      <c r="G197" s="145"/>
      <c r="H197" s="145"/>
      <c r="I197" s="145"/>
      <c r="J197" s="145"/>
      <c r="K197" s="145"/>
      <c r="L197" s="145"/>
      <c r="M197" s="145"/>
      <c r="N197" s="145"/>
      <c r="O197" s="43"/>
    </row>
    <row r="198" spans="3:18" ht="15" thickTop="1" thickBot="1" x14ac:dyDescent="0.2"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43"/>
    </row>
    <row r="199" spans="3:18" ht="17" thickTop="1" x14ac:dyDescent="0.2">
      <c r="C199" s="32" t="s">
        <v>46</v>
      </c>
      <c r="D199" s="183"/>
      <c r="E199" s="183"/>
      <c r="F199" s="183"/>
      <c r="G199" s="183"/>
      <c r="H199" s="183"/>
      <c r="I199" s="183"/>
      <c r="J199" s="183"/>
      <c r="K199" s="40"/>
      <c r="L199" s="40"/>
      <c r="M199" s="40"/>
      <c r="N199" s="40"/>
      <c r="O199" s="40"/>
      <c r="P199" s="34"/>
      <c r="Q199" s="34"/>
      <c r="R199" s="35"/>
    </row>
    <row r="200" spans="3:18" ht="14" thickBot="1" x14ac:dyDescent="0.2">
      <c r="C200" s="36"/>
      <c r="D200" s="184" t="s">
        <v>25</v>
      </c>
      <c r="E200" s="184" t="s">
        <v>37</v>
      </c>
      <c r="F200" s="184" t="s">
        <v>38</v>
      </c>
      <c r="G200" s="37" t="s">
        <v>177</v>
      </c>
      <c r="H200" s="37" t="s">
        <v>178</v>
      </c>
      <c r="I200" s="184" t="s">
        <v>26</v>
      </c>
      <c r="J200" s="184"/>
      <c r="K200" s="184" t="s">
        <v>27</v>
      </c>
      <c r="L200" s="184" t="s">
        <v>28</v>
      </c>
      <c r="M200" s="184" t="s">
        <v>29</v>
      </c>
      <c r="N200" s="184" t="s">
        <v>30</v>
      </c>
      <c r="O200" s="184" t="s">
        <v>31</v>
      </c>
      <c r="P200" s="37" t="s">
        <v>174</v>
      </c>
      <c r="Q200" s="37" t="s">
        <v>175</v>
      </c>
      <c r="R200" s="38" t="s">
        <v>176</v>
      </c>
    </row>
    <row r="201" spans="3:18" ht="15" thickTop="1" thickBot="1" x14ac:dyDescent="0.2">
      <c r="C201" s="70"/>
      <c r="D201" s="185" t="s">
        <v>39</v>
      </c>
      <c r="E201" s="186" t="s">
        <v>39</v>
      </c>
      <c r="F201" s="186" t="s">
        <v>39</v>
      </c>
      <c r="G201" s="65" t="s">
        <v>39</v>
      </c>
      <c r="H201" s="65" t="s">
        <v>39</v>
      </c>
      <c r="I201" s="186" t="s">
        <v>39</v>
      </c>
      <c r="J201" s="186"/>
      <c r="K201" s="186" t="s">
        <v>32</v>
      </c>
      <c r="L201" s="186" t="s">
        <v>32</v>
      </c>
      <c r="M201" s="186" t="s">
        <v>32</v>
      </c>
      <c r="N201" s="186" t="s">
        <v>32</v>
      </c>
      <c r="O201" s="186" t="s">
        <v>32</v>
      </c>
      <c r="P201" s="65" t="s">
        <v>32</v>
      </c>
      <c r="Q201" s="65" t="s">
        <v>32</v>
      </c>
      <c r="R201" s="66" t="s">
        <v>32</v>
      </c>
    </row>
    <row r="202" spans="3:18" ht="17" thickTop="1" x14ac:dyDescent="0.2">
      <c r="C202" s="24" t="s">
        <v>113</v>
      </c>
      <c r="D202" s="42">
        <f ca="1">INDIRECT(ADDRESS($D197+27,D$1,4,TRUE,"Car+SUV"))-D204</f>
        <v>66062.979998525843</v>
      </c>
      <c r="E202" s="40">
        <f t="shared" ref="E202:R202" ca="1" si="79">INDIRECT(ADDRESS($D197+27,E$1,4,TRUE,"Car+SUV"))-E204</f>
        <v>66860.777086321366</v>
      </c>
      <c r="F202" s="40">
        <f t="shared" ca="1" si="79"/>
        <v>67824.880252061717</v>
      </c>
      <c r="G202" s="40">
        <f t="shared" ca="1" si="79"/>
        <v>69555.806070257429</v>
      </c>
      <c r="H202" s="40">
        <f t="shared" ca="1" si="79"/>
        <v>71040.540901198256</v>
      </c>
      <c r="I202" s="40">
        <f t="shared" ca="1" si="79"/>
        <v>72096.335032438234</v>
      </c>
      <c r="J202" s="40">
        <f t="shared" ca="1" si="79"/>
        <v>73977.084301882089</v>
      </c>
      <c r="K202" s="40">
        <f t="shared" ca="1" si="79"/>
        <v>75980.586961370573</v>
      </c>
      <c r="L202" s="40">
        <f t="shared" ca="1" si="79"/>
        <v>74739.944341661045</v>
      </c>
      <c r="M202" s="40">
        <f t="shared" ca="1" si="79"/>
        <v>72751.871618960271</v>
      </c>
      <c r="N202" s="40">
        <f t="shared" ca="1" si="79"/>
        <v>69946.454423443065</v>
      </c>
      <c r="O202" s="40">
        <f t="shared" ca="1" si="79"/>
        <v>67059.803694532049</v>
      </c>
      <c r="P202" s="40">
        <f t="shared" ca="1" si="79"/>
        <v>63048.202104453681</v>
      </c>
      <c r="Q202" s="40">
        <f t="shared" ca="1" si="79"/>
        <v>58929.355784195803</v>
      </c>
      <c r="R202" s="41">
        <f t="shared" ca="1" si="79"/>
        <v>54764.922008153371</v>
      </c>
    </row>
    <row r="203" spans="3:18" ht="16" x14ac:dyDescent="0.2">
      <c r="C203" s="24" t="s">
        <v>114</v>
      </c>
      <c r="D203" s="42">
        <f ca="1">INDIRECT(ADDRESS($D197+27,D$1,4,TRUE,"Van+Ute"))-D205</f>
        <v>16355.620907436845</v>
      </c>
      <c r="E203" s="43">
        <f t="shared" ref="E203:R203" ca="1" si="80">INDIRECT(ADDRESS($D197+27,E$1,4,TRUE,"Van+Ute"))-E205</f>
        <v>17087.204694011823</v>
      </c>
      <c r="F203" s="43">
        <f t="shared" ca="1" si="80"/>
        <v>17848.994069210927</v>
      </c>
      <c r="G203" s="43">
        <f t="shared" ca="1" si="80"/>
        <v>18753.189571819312</v>
      </c>
      <c r="H203" s="43">
        <f t="shared" ca="1" si="80"/>
        <v>19679.222380020292</v>
      </c>
      <c r="I203" s="43">
        <f t="shared" ca="1" si="80"/>
        <v>21153.938818613417</v>
      </c>
      <c r="J203" s="43">
        <f t="shared" ca="1" si="80"/>
        <v>22339.907686935956</v>
      </c>
      <c r="K203" s="43">
        <f t="shared" ca="1" si="80"/>
        <v>23087.015403901642</v>
      </c>
      <c r="L203" s="43">
        <f t="shared" ca="1" si="80"/>
        <v>23520.122576560192</v>
      </c>
      <c r="M203" s="43">
        <f t="shared" ca="1" si="80"/>
        <v>23574.419976202742</v>
      </c>
      <c r="N203" s="43">
        <f t="shared" ca="1" si="80"/>
        <v>23392.286479733899</v>
      </c>
      <c r="O203" s="43">
        <f t="shared" ca="1" si="80"/>
        <v>23211.495296260204</v>
      </c>
      <c r="P203" s="43">
        <f t="shared" ca="1" si="80"/>
        <v>22784.307328547864</v>
      </c>
      <c r="Q203" s="43">
        <f t="shared" ca="1" si="80"/>
        <v>22274.600343439841</v>
      </c>
      <c r="R203" s="44">
        <f t="shared" ca="1" si="80"/>
        <v>21668.853368080388</v>
      </c>
    </row>
    <row r="204" spans="3:18" ht="16" x14ac:dyDescent="0.2">
      <c r="C204" s="24" t="s">
        <v>115</v>
      </c>
      <c r="D204" s="42">
        <f ca="1">INDIRECT(ADDRESS($D197+150,D$1,4,TRUE,"Car+SUV"))</f>
        <v>96.024580719498147</v>
      </c>
      <c r="E204" s="43">
        <f t="shared" ref="E204:R204" ca="1" si="81">INDIRECT(ADDRESS($D197+150,E$1,4,TRUE,"Car+SUV"))</f>
        <v>95.023941532258064</v>
      </c>
      <c r="F204" s="43">
        <f t="shared" ca="1" si="81"/>
        <v>97.022855796418483</v>
      </c>
      <c r="G204" s="43">
        <f t="shared" ca="1" si="81"/>
        <v>101.02048473785619</v>
      </c>
      <c r="H204" s="43">
        <f t="shared" ca="1" si="81"/>
        <v>100.01932740626206</v>
      </c>
      <c r="I204" s="43">
        <f t="shared" ca="1" si="81"/>
        <v>115.32882273342355</v>
      </c>
      <c r="J204" s="43">
        <f t="shared" ca="1" si="81"/>
        <v>118.45011453296004</v>
      </c>
      <c r="K204" s="43">
        <f t="shared" ca="1" si="81"/>
        <v>132.89839553486789</v>
      </c>
      <c r="L204" s="43">
        <f t="shared" ca="1" si="81"/>
        <v>1377.9474782492841</v>
      </c>
      <c r="M204" s="43">
        <f t="shared" ca="1" si="81"/>
        <v>2628.1408713714104</v>
      </c>
      <c r="N204" s="43">
        <f t="shared" ca="1" si="81"/>
        <v>3850.143634351864</v>
      </c>
      <c r="O204" s="43">
        <f t="shared" ca="1" si="81"/>
        <v>5040.0186633619023</v>
      </c>
      <c r="P204" s="43">
        <f t="shared" ca="1" si="81"/>
        <v>6188.6548127519809</v>
      </c>
      <c r="Q204" s="43">
        <f t="shared" ca="1" si="81"/>
        <v>7286.9374112067098</v>
      </c>
      <c r="R204" s="44">
        <f t="shared" ca="1" si="81"/>
        <v>8334.1303290606866</v>
      </c>
    </row>
    <row r="205" spans="3:18" ht="16" x14ac:dyDescent="0.2">
      <c r="C205" s="24" t="s">
        <v>116</v>
      </c>
      <c r="D205" s="42">
        <f ca="1">INDIRECT(ADDRESS($D197+150,D$1,4,TRUE,"Van+Ute"))</f>
        <v>98</v>
      </c>
      <c r="E205" s="43">
        <f t="shared" ref="E205:R205" ca="1" si="82">INDIRECT(ADDRESS($D197+150,E$1,4,TRUE,"Van+Ute"))</f>
        <v>95</v>
      </c>
      <c r="F205" s="43">
        <f t="shared" ca="1" si="82"/>
        <v>91</v>
      </c>
      <c r="G205" s="43">
        <f t="shared" ca="1" si="82"/>
        <v>97</v>
      </c>
      <c r="H205" s="43">
        <f t="shared" ca="1" si="82"/>
        <v>94</v>
      </c>
      <c r="I205" s="43">
        <f t="shared" ca="1" si="82"/>
        <v>97.564062726575941</v>
      </c>
      <c r="J205" s="43">
        <f t="shared" ca="1" si="82"/>
        <v>107.20246167527309</v>
      </c>
      <c r="K205" s="43">
        <f t="shared" ca="1" si="82"/>
        <v>120.27877904725507</v>
      </c>
      <c r="L205" s="43">
        <f t="shared" ca="1" si="82"/>
        <v>533.33463836620922</v>
      </c>
      <c r="M205" s="43">
        <f t="shared" ca="1" si="82"/>
        <v>946.996354133674</v>
      </c>
      <c r="N205" s="43">
        <f t="shared" ca="1" si="82"/>
        <v>1351.4146074287305</v>
      </c>
      <c r="O205" s="43">
        <f t="shared" ca="1" si="82"/>
        <v>1746.2946940630063</v>
      </c>
      <c r="P205" s="43">
        <f t="shared" ca="1" si="82"/>
        <v>2126.6071597586342</v>
      </c>
      <c r="Q205" s="43">
        <f t="shared" ca="1" si="82"/>
        <v>2491.5552310229837</v>
      </c>
      <c r="R205" s="44">
        <f t="shared" ca="1" si="82"/>
        <v>2841.0873660724019</v>
      </c>
    </row>
    <row r="206" spans="3:18" ht="16" x14ac:dyDescent="0.2">
      <c r="C206" s="24" t="s">
        <v>43</v>
      </c>
      <c r="D206" s="187" t="s">
        <v>108</v>
      </c>
      <c r="E206" s="188" t="s">
        <v>108</v>
      </c>
      <c r="F206" s="188" t="s">
        <v>108</v>
      </c>
      <c r="G206" s="188" t="s">
        <v>108</v>
      </c>
      <c r="H206" s="188" t="s">
        <v>108</v>
      </c>
      <c r="I206" s="188" t="s">
        <v>108</v>
      </c>
      <c r="J206" s="188" t="s">
        <v>108</v>
      </c>
      <c r="K206" s="188" t="s">
        <v>108</v>
      </c>
      <c r="L206" s="188" t="s">
        <v>108</v>
      </c>
      <c r="M206" s="188" t="s">
        <v>108</v>
      </c>
      <c r="N206" s="188" t="s">
        <v>108</v>
      </c>
      <c r="O206" s="188" t="s">
        <v>108</v>
      </c>
      <c r="P206" s="188" t="s">
        <v>108</v>
      </c>
      <c r="Q206" s="188" t="s">
        <v>108</v>
      </c>
      <c r="R206" s="194" t="s">
        <v>108</v>
      </c>
    </row>
    <row r="207" spans="3:18" ht="16" x14ac:dyDescent="0.2">
      <c r="C207" s="24" t="s">
        <v>44</v>
      </c>
      <c r="D207" s="187" t="s">
        <v>108</v>
      </c>
      <c r="E207" s="188" t="s">
        <v>108</v>
      </c>
      <c r="F207" s="188" t="s">
        <v>108</v>
      </c>
      <c r="G207" s="188" t="s">
        <v>108</v>
      </c>
      <c r="H207" s="188" t="s">
        <v>108</v>
      </c>
      <c r="I207" s="188" t="s">
        <v>108</v>
      </c>
      <c r="J207" s="188" t="s">
        <v>108</v>
      </c>
      <c r="K207" s="188" t="s">
        <v>108</v>
      </c>
      <c r="L207" s="188" t="s">
        <v>108</v>
      </c>
      <c r="M207" s="188" t="s">
        <v>108</v>
      </c>
      <c r="N207" s="188" t="s">
        <v>108</v>
      </c>
      <c r="O207" s="188" t="s">
        <v>108</v>
      </c>
      <c r="P207" s="188" t="s">
        <v>108</v>
      </c>
      <c r="Q207" s="188" t="s">
        <v>108</v>
      </c>
      <c r="R207" s="194" t="s">
        <v>108</v>
      </c>
    </row>
    <row r="208" spans="3:18" ht="17" thickBot="1" x14ac:dyDescent="0.25">
      <c r="C208" s="24" t="s">
        <v>42</v>
      </c>
      <c r="D208" s="42">
        <f ca="1">INDIRECT(ADDRESS($D197+27,D$1,4,TRUE,"Motorcycle"))</f>
        <v>4130.1817654606475</v>
      </c>
      <c r="E208" s="43">
        <f t="shared" ref="E208:R208" ca="1" si="83">INDIRECT(ADDRESS($D197+27,E$1,4,TRUE,"Motorcycle"))</f>
        <v>4152.5432797801568</v>
      </c>
      <c r="F208" s="43">
        <f t="shared" ca="1" si="83"/>
        <v>4212.1934596516967</v>
      </c>
      <c r="G208" s="43">
        <f t="shared" ca="1" si="83"/>
        <v>4294.5009199486603</v>
      </c>
      <c r="H208" s="43">
        <f t="shared" ca="1" si="83"/>
        <v>4447.7220323057236</v>
      </c>
      <c r="I208" s="43">
        <f t="shared" ca="1" si="83"/>
        <v>4556.2627137584641</v>
      </c>
      <c r="J208" s="43">
        <f t="shared" ca="1" si="83"/>
        <v>4717.0929817348915</v>
      </c>
      <c r="K208" s="43">
        <f t="shared" ca="1" si="83"/>
        <v>4797.8345284423476</v>
      </c>
      <c r="L208" s="43">
        <f t="shared" ca="1" si="83"/>
        <v>4745.0716551157566</v>
      </c>
      <c r="M208" s="43">
        <f t="shared" ca="1" si="83"/>
        <v>4652.1414306823126</v>
      </c>
      <c r="N208" s="43">
        <f t="shared" ca="1" si="83"/>
        <v>4483.1246733579064</v>
      </c>
      <c r="O208" s="43">
        <f t="shared" ca="1" si="83"/>
        <v>4299.7807988519107</v>
      </c>
      <c r="P208" s="43">
        <f t="shared" ca="1" si="83"/>
        <v>4271.6013184575131</v>
      </c>
      <c r="Q208" s="43">
        <f t="shared" ca="1" si="83"/>
        <v>4230.261129307165</v>
      </c>
      <c r="R208" s="44">
        <f t="shared" ca="1" si="83"/>
        <v>4180.4658352308234</v>
      </c>
    </row>
    <row r="209" spans="3:18" ht="19" thickTop="1" thickBot="1" x14ac:dyDescent="0.25">
      <c r="C209" s="31" t="s">
        <v>45</v>
      </c>
      <c r="D209" s="189">
        <f ca="1">SUM(D202:D208)</f>
        <v>86742.80725214284</v>
      </c>
      <c r="E209" s="48">
        <f t="shared" ref="E209:R209" ca="1" si="84">SUM(E202:E208)</f>
        <v>88290.549001645602</v>
      </c>
      <c r="F209" s="48">
        <f t="shared" ca="1" si="84"/>
        <v>90074.09063672075</v>
      </c>
      <c r="G209" s="48">
        <f t="shared" ca="1" si="84"/>
        <v>92801.517046763271</v>
      </c>
      <c r="H209" s="48">
        <f t="shared" ca="1" si="84"/>
        <v>95361.504640930536</v>
      </c>
      <c r="I209" s="48">
        <f t="shared" ca="1" si="84"/>
        <v>98019.429450270123</v>
      </c>
      <c r="J209" s="48">
        <f t="shared" ca="1" si="84"/>
        <v>101259.73754676117</v>
      </c>
      <c r="K209" s="48">
        <f t="shared" ca="1" si="84"/>
        <v>104118.61406829667</v>
      </c>
      <c r="L209" s="48">
        <f t="shared" ca="1" si="84"/>
        <v>104916.4206899525</v>
      </c>
      <c r="M209" s="48">
        <f t="shared" ca="1" si="84"/>
        <v>104553.57025135041</v>
      </c>
      <c r="N209" s="48">
        <f t="shared" ca="1" si="84"/>
        <v>103023.42381831545</v>
      </c>
      <c r="O209" s="48">
        <f t="shared" ca="1" si="84"/>
        <v>101357.39314706906</v>
      </c>
      <c r="P209" s="48">
        <f t="shared" ca="1" si="84"/>
        <v>98419.37272396966</v>
      </c>
      <c r="Q209" s="48">
        <f t="shared" ca="1" si="84"/>
        <v>95212.709899172507</v>
      </c>
      <c r="R209" s="49">
        <f t="shared" ca="1" si="84"/>
        <v>91789.458906597676</v>
      </c>
    </row>
    <row r="210" spans="3:18" ht="14" thickTop="1" x14ac:dyDescent="0.15"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43"/>
    </row>
    <row r="211" spans="3:18" ht="14" thickBot="1" x14ac:dyDescent="0.2"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43"/>
    </row>
    <row r="212" spans="3:18" ht="18" thickTop="1" thickBot="1" x14ac:dyDescent="0.25">
      <c r="C212" s="180" t="s">
        <v>171</v>
      </c>
      <c r="D212" s="190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43"/>
    </row>
    <row r="213" spans="3:18" ht="15" thickTop="1" thickBot="1" x14ac:dyDescent="0.2"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43"/>
    </row>
    <row r="214" spans="3:18" ht="17" thickTop="1" x14ac:dyDescent="0.2">
      <c r="C214" s="32" t="s">
        <v>46</v>
      </c>
      <c r="D214" s="183"/>
      <c r="E214" s="183"/>
      <c r="F214" s="183"/>
      <c r="G214" s="183"/>
      <c r="H214" s="183"/>
      <c r="I214" s="183"/>
      <c r="J214" s="183"/>
      <c r="K214" s="40"/>
      <c r="L214" s="40"/>
      <c r="M214" s="40"/>
      <c r="N214" s="40"/>
      <c r="O214" s="40"/>
      <c r="P214" s="34"/>
      <c r="Q214" s="34"/>
      <c r="R214" s="35"/>
    </row>
    <row r="215" spans="3:18" ht="14" thickBot="1" x14ac:dyDescent="0.2">
      <c r="C215" s="36"/>
      <c r="D215" s="184" t="s">
        <v>25</v>
      </c>
      <c r="E215" s="184" t="s">
        <v>37</v>
      </c>
      <c r="F215" s="184" t="s">
        <v>38</v>
      </c>
      <c r="G215" s="37" t="s">
        <v>177</v>
      </c>
      <c r="H215" s="37" t="s">
        <v>178</v>
      </c>
      <c r="I215" s="184" t="s">
        <v>26</v>
      </c>
      <c r="J215" s="184"/>
      <c r="K215" s="184" t="s">
        <v>27</v>
      </c>
      <c r="L215" s="184" t="s">
        <v>28</v>
      </c>
      <c r="M215" s="184" t="s">
        <v>29</v>
      </c>
      <c r="N215" s="184" t="s">
        <v>30</v>
      </c>
      <c r="O215" s="184" t="s">
        <v>31</v>
      </c>
      <c r="P215" s="37" t="s">
        <v>174</v>
      </c>
      <c r="Q215" s="37" t="s">
        <v>175</v>
      </c>
      <c r="R215" s="38" t="s">
        <v>176</v>
      </c>
    </row>
    <row r="216" spans="3:18" ht="15" thickTop="1" thickBot="1" x14ac:dyDescent="0.2">
      <c r="C216" s="70"/>
      <c r="D216" s="185" t="s">
        <v>39</v>
      </c>
      <c r="E216" s="186" t="s">
        <v>39</v>
      </c>
      <c r="F216" s="186" t="s">
        <v>39</v>
      </c>
      <c r="G216" s="65" t="s">
        <v>39</v>
      </c>
      <c r="H216" s="65" t="s">
        <v>39</v>
      </c>
      <c r="I216" s="186" t="s">
        <v>39</v>
      </c>
      <c r="J216" s="186"/>
      <c r="K216" s="186" t="s">
        <v>32</v>
      </c>
      <c r="L216" s="186" t="s">
        <v>32</v>
      </c>
      <c r="M216" s="186" t="s">
        <v>32</v>
      </c>
      <c r="N216" s="186" t="s">
        <v>32</v>
      </c>
      <c r="O216" s="186" t="s">
        <v>32</v>
      </c>
      <c r="P216" s="65" t="s">
        <v>32</v>
      </c>
      <c r="Q216" s="65" t="s">
        <v>32</v>
      </c>
      <c r="R216" s="66" t="s">
        <v>32</v>
      </c>
    </row>
    <row r="217" spans="3:18" ht="17" thickTop="1" x14ac:dyDescent="0.2">
      <c r="C217" s="24" t="s">
        <v>113</v>
      </c>
      <c r="D217" s="42">
        <f ca="1">D7+D22+D37+D52+D67+D82+D97+D112+D127+D142+D157+D172+D187+D202</f>
        <v>2754243.9999999995</v>
      </c>
      <c r="E217" s="40">
        <f t="shared" ref="E217:R217" ca="1" si="85">E7+E22+E37+E52+E67+E82+E97+E112+E127+E142+E157+E172+E187+E202</f>
        <v>2825307</v>
      </c>
      <c r="F217" s="40">
        <f t="shared" ca="1" si="85"/>
        <v>2922021.9999999995</v>
      </c>
      <c r="G217" s="40">
        <f t="shared" ca="1" si="85"/>
        <v>3028799</v>
      </c>
      <c r="H217" s="40">
        <f t="shared" ca="1" si="85"/>
        <v>3144784</v>
      </c>
      <c r="I217" s="40">
        <f t="shared" ca="1" si="85"/>
        <v>3226155.1873411867</v>
      </c>
      <c r="J217" s="40">
        <f t="shared" ca="1" si="85"/>
        <v>3298600.5305558699</v>
      </c>
      <c r="K217" s="40">
        <f t="shared" ca="1" si="85"/>
        <v>3532927.667134807</v>
      </c>
      <c r="L217" s="40">
        <f t="shared" ca="1" si="85"/>
        <v>3626992.4296765332</v>
      </c>
      <c r="M217" s="40">
        <f t="shared" ca="1" si="85"/>
        <v>3670829.4911997924</v>
      </c>
      <c r="N217" s="40">
        <f t="shared" ca="1" si="85"/>
        <v>3672604.9560348117</v>
      </c>
      <c r="O217" s="40">
        <f t="shared" ca="1" si="85"/>
        <v>3665656.6518624369</v>
      </c>
      <c r="P217" s="40">
        <f t="shared" ca="1" si="85"/>
        <v>3596922.474628679</v>
      </c>
      <c r="Q217" s="40">
        <f t="shared" ca="1" si="85"/>
        <v>3512132.9864089172</v>
      </c>
      <c r="R217" s="41">
        <f t="shared" ca="1" si="85"/>
        <v>3412583.3269430059</v>
      </c>
    </row>
    <row r="218" spans="3:18" ht="16" x14ac:dyDescent="0.2">
      <c r="C218" s="24" t="s">
        <v>114</v>
      </c>
      <c r="D218" s="42">
        <f t="shared" ref="D218:D223" ca="1" si="86">D8+D23+D38+D53+D68+D83+D98+D113+D128+D143+D158+D173+D188+D203</f>
        <v>435330</v>
      </c>
      <c r="E218" s="43">
        <f t="shared" ref="E218:R218" ca="1" si="87">E8+E23+E38+E53+E68+E83+E98+E113+E128+E143+E158+E173+E188+E203</f>
        <v>458186.00000000006</v>
      </c>
      <c r="F218" s="43">
        <f t="shared" ca="1" si="87"/>
        <v>486009</v>
      </c>
      <c r="G218" s="43">
        <f t="shared" ca="1" si="87"/>
        <v>519100.00000000012</v>
      </c>
      <c r="H218" s="43">
        <f t="shared" ca="1" si="87"/>
        <v>559842.99999999988</v>
      </c>
      <c r="I218" s="43">
        <f t="shared" ca="1" si="87"/>
        <v>611179.05688000424</v>
      </c>
      <c r="J218" s="43">
        <f t="shared" ca="1" si="87"/>
        <v>652300.8163398148</v>
      </c>
      <c r="K218" s="43">
        <f t="shared" ca="1" si="87"/>
        <v>702248.80049077701</v>
      </c>
      <c r="L218" s="43">
        <f t="shared" ca="1" si="87"/>
        <v>747544.7372058141</v>
      </c>
      <c r="M218" s="43">
        <f t="shared" ca="1" si="87"/>
        <v>779882.15191719029</v>
      </c>
      <c r="N218" s="43">
        <f t="shared" ca="1" si="87"/>
        <v>805985.29511004104</v>
      </c>
      <c r="O218" s="43">
        <f t="shared" ca="1" si="87"/>
        <v>833520.37940333039</v>
      </c>
      <c r="P218" s="43">
        <f t="shared" ca="1" si="87"/>
        <v>854943.11208806245</v>
      </c>
      <c r="Q218" s="43">
        <f t="shared" ca="1" si="87"/>
        <v>873796.09977181244</v>
      </c>
      <c r="R218" s="44">
        <f t="shared" ca="1" si="87"/>
        <v>888834.76267565822</v>
      </c>
    </row>
    <row r="219" spans="3:18" ht="16" x14ac:dyDescent="0.2">
      <c r="C219" s="24" t="s">
        <v>115</v>
      </c>
      <c r="D219" s="42">
        <f t="shared" ca="1" si="86"/>
        <v>7813</v>
      </c>
      <c r="E219" s="43">
        <f t="shared" ref="E219:R219" ca="1" si="88">E9+E24+E39+E54+E69+E84+E99+E114+E129+E144+E159+E174+E189+E204</f>
        <v>7938.0000000000009</v>
      </c>
      <c r="F219" s="43">
        <f t="shared" ca="1" si="88"/>
        <v>8490</v>
      </c>
      <c r="G219" s="43">
        <f t="shared" ca="1" si="88"/>
        <v>9863</v>
      </c>
      <c r="H219" s="43">
        <f t="shared" ca="1" si="88"/>
        <v>10350</v>
      </c>
      <c r="I219" s="43">
        <f t="shared" ca="1" si="88"/>
        <v>16979.548037889039</v>
      </c>
      <c r="J219" s="43">
        <f t="shared" ca="1" si="88"/>
        <v>18750.757953677781</v>
      </c>
      <c r="K219" s="43">
        <f t="shared" ca="1" si="88"/>
        <v>21951.143467577454</v>
      </c>
      <c r="L219" s="43">
        <f t="shared" ca="1" si="88"/>
        <v>82652.863864617335</v>
      </c>
      <c r="M219" s="43">
        <f t="shared" ca="1" si="88"/>
        <v>147463.51841956153</v>
      </c>
      <c r="N219" s="43">
        <f t="shared" ca="1" si="88"/>
        <v>215050.07711042592</v>
      </c>
      <c r="O219" s="43">
        <f t="shared" ca="1" si="88"/>
        <v>285408.58099841559</v>
      </c>
      <c r="P219" s="43">
        <f t="shared" ca="1" si="88"/>
        <v>357747.45716364594</v>
      </c>
      <c r="Q219" s="43">
        <f t="shared" ca="1" si="88"/>
        <v>432055.11848068621</v>
      </c>
      <c r="R219" s="44">
        <f t="shared" ca="1" si="88"/>
        <v>508255.82781115355</v>
      </c>
    </row>
    <row r="220" spans="3:18" ht="16" x14ac:dyDescent="0.2">
      <c r="C220" s="24" t="s">
        <v>116</v>
      </c>
      <c r="D220" s="42">
        <f t="shared" ca="1" si="86"/>
        <v>2433</v>
      </c>
      <c r="E220" s="43">
        <f t="shared" ref="E220:R220" ca="1" si="89">E10+E25+E40+E55+E70+E85+E100+E115+E130+E145+E160+E175+E190+E205</f>
        <v>2426</v>
      </c>
      <c r="F220" s="43">
        <f t="shared" ca="1" si="89"/>
        <v>2514</v>
      </c>
      <c r="G220" s="43">
        <f t="shared" ca="1" si="89"/>
        <v>2607</v>
      </c>
      <c r="H220" s="43">
        <f t="shared" ca="1" si="89"/>
        <v>2927</v>
      </c>
      <c r="I220" s="43">
        <f t="shared" ca="1" si="89"/>
        <v>3294.9080749072987</v>
      </c>
      <c r="J220" s="43">
        <f t="shared" ca="1" si="89"/>
        <v>3442.1542892367393</v>
      </c>
      <c r="K220" s="43">
        <f t="shared" ca="1" si="89"/>
        <v>3991.8188293617391</v>
      </c>
      <c r="L220" s="43">
        <f t="shared" ca="1" si="89"/>
        <v>14394.382656733334</v>
      </c>
      <c r="M220" s="43">
        <f t="shared" ca="1" si="89"/>
        <v>25375.089287861705</v>
      </c>
      <c r="N220" s="43">
        <f t="shared" ca="1" si="89"/>
        <v>36705.078985248576</v>
      </c>
      <c r="O220" s="43">
        <f t="shared" ca="1" si="89"/>
        <v>48384.10635038223</v>
      </c>
      <c r="P220" s="43">
        <f t="shared" ca="1" si="89"/>
        <v>60262.613435607906</v>
      </c>
      <c r="Q220" s="43">
        <f t="shared" ca="1" si="89"/>
        <v>72344.829486488452</v>
      </c>
      <c r="R220" s="44">
        <f t="shared" ca="1" si="89"/>
        <v>84618.935394043991</v>
      </c>
    </row>
    <row r="221" spans="3:18" ht="16" x14ac:dyDescent="0.2">
      <c r="C221" s="24" t="s">
        <v>43</v>
      </c>
      <c r="D221" s="42">
        <f ca="1">INDIRECT(ADDRESS(28,D$1,4,TRUE,"Heavy Truck"))</f>
        <v>143848</v>
      </c>
      <c r="E221" s="43">
        <f t="shared" ref="E221:R221" ca="1" si="90">INDIRECT(ADDRESS(28,E$1,4,TRUE,"Heavy Truck"))</f>
        <v>150083</v>
      </c>
      <c r="F221" s="43">
        <f t="shared" ca="1" si="90"/>
        <v>157513</v>
      </c>
      <c r="G221" s="43">
        <f t="shared" ca="1" si="90"/>
        <v>164004</v>
      </c>
      <c r="H221" s="43">
        <f t="shared" ca="1" si="90"/>
        <v>170042</v>
      </c>
      <c r="I221" s="43">
        <f t="shared" ca="1" si="90"/>
        <v>146454</v>
      </c>
      <c r="J221" s="43">
        <f t="shared" ca="1" si="90"/>
        <v>151306</v>
      </c>
      <c r="K221" s="43">
        <f t="shared" ca="1" si="90"/>
        <v>153901.1437978165</v>
      </c>
      <c r="L221" s="43">
        <f t="shared" ca="1" si="90"/>
        <v>158342.62904259309</v>
      </c>
      <c r="M221" s="43">
        <f t="shared" ca="1" si="90"/>
        <v>162471.97561532832</v>
      </c>
      <c r="N221" s="43">
        <f t="shared" ca="1" si="90"/>
        <v>162971.96460365996</v>
      </c>
      <c r="O221" s="43">
        <f t="shared" ca="1" si="90"/>
        <v>163348.76865620245</v>
      </c>
      <c r="P221" s="43">
        <f t="shared" ca="1" si="90"/>
        <v>165790.46804953905</v>
      </c>
      <c r="Q221" s="43">
        <f t="shared" ca="1" si="90"/>
        <v>168012.80458191145</v>
      </c>
      <c r="R221" s="44">
        <f t="shared" ca="1" si="90"/>
        <v>170025.10263006168</v>
      </c>
    </row>
    <row r="222" spans="3:18" ht="16" x14ac:dyDescent="0.2">
      <c r="C222" s="24" t="s">
        <v>44</v>
      </c>
      <c r="D222" s="42">
        <f ca="1">INDIRECT(ADDRESS(28,D$1,4,TRUE,"Heavy Bus"))</f>
        <v>8974</v>
      </c>
      <c r="E222" s="43">
        <f t="shared" ref="E222:R222" ca="1" si="91">INDIRECT(ADDRESS(28,E$1,4,TRUE,"Heavy Bus"))</f>
        <v>9253</v>
      </c>
      <c r="F222" s="43">
        <f t="shared" ca="1" si="91"/>
        <v>9440</v>
      </c>
      <c r="G222" s="43">
        <f t="shared" ca="1" si="91"/>
        <v>9791</v>
      </c>
      <c r="H222" s="43">
        <f t="shared" ca="1" si="91"/>
        <v>10339</v>
      </c>
      <c r="I222" s="43">
        <f t="shared" ca="1" si="91"/>
        <v>10786</v>
      </c>
      <c r="J222" s="43">
        <f t="shared" ca="1" si="91"/>
        <v>11380</v>
      </c>
      <c r="K222" s="43">
        <f t="shared" ca="1" si="91"/>
        <v>13522.777117149966</v>
      </c>
      <c r="L222" s="43">
        <f t="shared" ca="1" si="91"/>
        <v>15825.725442495463</v>
      </c>
      <c r="M222" s="43">
        <f t="shared" ca="1" si="91"/>
        <v>17647.871378487293</v>
      </c>
      <c r="N222" s="43">
        <f t="shared" ca="1" si="91"/>
        <v>19699.360720310862</v>
      </c>
      <c r="O222" s="43">
        <f t="shared" ca="1" si="91"/>
        <v>21987.948642138374</v>
      </c>
      <c r="P222" s="43">
        <f t="shared" ca="1" si="91"/>
        <v>24624.543980797924</v>
      </c>
      <c r="Q222" s="43">
        <f t="shared" ca="1" si="91"/>
        <v>27616.534960699839</v>
      </c>
      <c r="R222" s="44">
        <f t="shared" ca="1" si="91"/>
        <v>31039.377541998467</v>
      </c>
    </row>
    <row r="223" spans="3:18" ht="17" thickBot="1" x14ac:dyDescent="0.25">
      <c r="C223" s="24" t="s">
        <v>42</v>
      </c>
      <c r="D223" s="42">
        <f t="shared" ca="1" si="86"/>
        <v>143948.00000000003</v>
      </c>
      <c r="E223" s="43">
        <f t="shared" ref="E223:R223" ca="1" si="92">E13+E28+E43+E58+E73+E88+E103+E118+E133+E148+E163+E178+E193+E208</f>
        <v>148565</v>
      </c>
      <c r="F223" s="43">
        <f t="shared" ca="1" si="92"/>
        <v>154673.00000000003</v>
      </c>
      <c r="G223" s="43">
        <f t="shared" ca="1" si="92"/>
        <v>160194</v>
      </c>
      <c r="H223" s="43">
        <f t="shared" ca="1" si="92"/>
        <v>166050</v>
      </c>
      <c r="I223" s="43">
        <f t="shared" ca="1" si="92"/>
        <v>172054</v>
      </c>
      <c r="J223" s="43">
        <f t="shared" ca="1" si="92"/>
        <v>178842</v>
      </c>
      <c r="K223" s="43">
        <f t="shared" ca="1" si="92"/>
        <v>188379.58514710344</v>
      </c>
      <c r="L223" s="43">
        <f t="shared" ca="1" si="92"/>
        <v>192873.16145756986</v>
      </c>
      <c r="M223" s="43">
        <f t="shared" ca="1" si="92"/>
        <v>195499.07091874044</v>
      </c>
      <c r="N223" s="43">
        <f t="shared" ca="1" si="92"/>
        <v>194697.10104179545</v>
      </c>
      <c r="O223" s="43">
        <f t="shared" ca="1" si="92"/>
        <v>192907.37584210592</v>
      </c>
      <c r="P223" s="43">
        <f t="shared" ca="1" si="92"/>
        <v>198040.44791319061</v>
      </c>
      <c r="Q223" s="43">
        <f t="shared" ca="1" si="92"/>
        <v>202734.38223674739</v>
      </c>
      <c r="R223" s="44">
        <f t="shared" ca="1" si="92"/>
        <v>207165.69293667088</v>
      </c>
    </row>
    <row r="224" spans="3:18" ht="19" thickTop="1" thickBot="1" x14ac:dyDescent="0.25">
      <c r="C224" s="31" t="s">
        <v>45</v>
      </c>
      <c r="D224" s="189">
        <f ca="1">SUM(D217:D223)</f>
        <v>3496589.9999999995</v>
      </c>
      <c r="E224" s="48">
        <f t="shared" ref="E224:R224" ca="1" si="93">SUM(E217:E223)</f>
        <v>3601758</v>
      </c>
      <c r="F224" s="48">
        <f t="shared" ca="1" si="93"/>
        <v>3740660.9999999995</v>
      </c>
      <c r="G224" s="48">
        <f t="shared" ca="1" si="93"/>
        <v>3894358</v>
      </c>
      <c r="H224" s="48">
        <f t="shared" ca="1" si="93"/>
        <v>4064335</v>
      </c>
      <c r="I224" s="48">
        <f t="shared" ca="1" si="93"/>
        <v>4186902.7003339874</v>
      </c>
      <c r="J224" s="48">
        <f t="shared" ca="1" si="93"/>
        <v>4314622.259138599</v>
      </c>
      <c r="K224" s="48">
        <f t="shared" ca="1" si="93"/>
        <v>4616922.9359845929</v>
      </c>
      <c r="L224" s="48">
        <f t="shared" ca="1" si="93"/>
        <v>4838625.9293463565</v>
      </c>
      <c r="M224" s="48">
        <f t="shared" ca="1" si="93"/>
        <v>4999169.1687369617</v>
      </c>
      <c r="N224" s="48">
        <f t="shared" ca="1" si="93"/>
        <v>5107713.8336062934</v>
      </c>
      <c r="O224" s="48">
        <f t="shared" ca="1" si="93"/>
        <v>5211213.8117550109</v>
      </c>
      <c r="P224" s="48">
        <f t="shared" ca="1" si="93"/>
        <v>5258331.1172595229</v>
      </c>
      <c r="Q224" s="48">
        <f t="shared" ca="1" si="93"/>
        <v>5288692.7559272628</v>
      </c>
      <c r="R224" s="49">
        <f t="shared" ca="1" si="93"/>
        <v>5302523.0259325933</v>
      </c>
    </row>
    <row r="225" spans="3:18" ht="14" thickTop="1" x14ac:dyDescent="0.15"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43"/>
    </row>
    <row r="226" spans="3:18" x14ac:dyDescent="0.15"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43"/>
    </row>
    <row r="227" spans="3:18" ht="16" x14ac:dyDescent="0.2">
      <c r="C227" s="180" t="s">
        <v>172</v>
      </c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43"/>
    </row>
    <row r="228" spans="3:18" ht="14" thickBot="1" x14ac:dyDescent="0.2"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43"/>
    </row>
    <row r="229" spans="3:18" ht="17" thickTop="1" x14ac:dyDescent="0.2">
      <c r="C229" s="32" t="s">
        <v>46</v>
      </c>
      <c r="D229" s="183"/>
      <c r="E229" s="183"/>
      <c r="F229" s="183"/>
      <c r="G229" s="183"/>
      <c r="H229" s="183"/>
      <c r="I229" s="183"/>
      <c r="J229" s="183"/>
      <c r="K229" s="40"/>
      <c r="L229" s="40"/>
      <c r="M229" s="40"/>
      <c r="N229" s="40"/>
      <c r="O229" s="40"/>
      <c r="P229" s="34"/>
      <c r="Q229" s="34"/>
      <c r="R229" s="35"/>
    </row>
    <row r="230" spans="3:18" ht="14" thickBot="1" x14ac:dyDescent="0.2">
      <c r="C230" s="36"/>
      <c r="D230" s="184" t="s">
        <v>25</v>
      </c>
      <c r="E230" s="184" t="s">
        <v>37</v>
      </c>
      <c r="F230" s="184" t="s">
        <v>38</v>
      </c>
      <c r="G230" s="37" t="s">
        <v>177</v>
      </c>
      <c r="H230" s="37" t="s">
        <v>178</v>
      </c>
      <c r="I230" s="184" t="s">
        <v>26</v>
      </c>
      <c r="J230" s="184"/>
      <c r="K230" s="184" t="s">
        <v>27</v>
      </c>
      <c r="L230" s="184" t="s">
        <v>28</v>
      </c>
      <c r="M230" s="184" t="s">
        <v>29</v>
      </c>
      <c r="N230" s="184" t="s">
        <v>30</v>
      </c>
      <c r="O230" s="184" t="s">
        <v>31</v>
      </c>
      <c r="P230" s="37" t="s">
        <v>174</v>
      </c>
      <c r="Q230" s="37" t="s">
        <v>175</v>
      </c>
      <c r="R230" s="38" t="s">
        <v>176</v>
      </c>
    </row>
    <row r="231" spans="3:18" ht="15" thickTop="1" thickBot="1" x14ac:dyDescent="0.2">
      <c r="C231" s="70"/>
      <c r="D231" s="185" t="s">
        <v>39</v>
      </c>
      <c r="E231" s="186" t="s">
        <v>39</v>
      </c>
      <c r="F231" s="186" t="s">
        <v>39</v>
      </c>
      <c r="G231" s="65" t="s">
        <v>39</v>
      </c>
      <c r="H231" s="65" t="s">
        <v>39</v>
      </c>
      <c r="I231" s="186" t="s">
        <v>39</v>
      </c>
      <c r="J231" s="186"/>
      <c r="K231" s="186" t="s">
        <v>32</v>
      </c>
      <c r="L231" s="186" t="s">
        <v>32</v>
      </c>
      <c r="M231" s="186" t="s">
        <v>32</v>
      </c>
      <c r="N231" s="186" t="s">
        <v>32</v>
      </c>
      <c r="O231" s="186" t="s">
        <v>32</v>
      </c>
      <c r="P231" s="65" t="s">
        <v>32</v>
      </c>
      <c r="Q231" s="65" t="s">
        <v>32</v>
      </c>
      <c r="R231" s="66" t="s">
        <v>32</v>
      </c>
    </row>
    <row r="232" spans="3:18" ht="17" thickTop="1" x14ac:dyDescent="0.2">
      <c r="C232" s="24" t="s">
        <v>113</v>
      </c>
      <c r="D232" s="42">
        <f ca="1">Summary_Initial!D20-'Regional Vehicle Summary'!D217</f>
        <v>0</v>
      </c>
      <c r="E232" s="40">
        <f ca="1">Summary_Initial!E20-'Regional Vehicle Summary'!E217</f>
        <v>0</v>
      </c>
      <c r="F232" s="40">
        <f ca="1">Summary_Initial!F20-'Regional Vehicle Summary'!F217</f>
        <v>0</v>
      </c>
      <c r="G232" s="40">
        <f ca="1">Summary_Initial!G20-'Regional Vehicle Summary'!G217</f>
        <v>0</v>
      </c>
      <c r="H232" s="40">
        <f ca="1">Summary_Initial!H20-'Regional Vehicle Summary'!H217</f>
        <v>0</v>
      </c>
      <c r="I232" s="40">
        <f ca="1">Summary_Initial!I20-'Regional Vehicle Summary'!I217</f>
        <v>0</v>
      </c>
      <c r="J232" s="40">
        <f ca="1">Summary_Initial!J20-'Regional Vehicle Summary'!J217</f>
        <v>0</v>
      </c>
      <c r="K232" s="40">
        <f ca="1">Summary_Initial!K20-'Regional Vehicle Summary'!K217</f>
        <v>0</v>
      </c>
      <c r="L232" s="40">
        <f ca="1">Summary_Initial!L20-'Regional Vehicle Summary'!L217</f>
        <v>0</v>
      </c>
      <c r="M232" s="40">
        <f ca="1">Summary_Initial!M20-'Regional Vehicle Summary'!M217</f>
        <v>0</v>
      </c>
      <c r="N232" s="40">
        <f ca="1">Summary_Initial!N20-'Regional Vehicle Summary'!N217</f>
        <v>0</v>
      </c>
      <c r="O232" s="40">
        <f ca="1">Summary_Initial!O20-'Regional Vehicle Summary'!O217</f>
        <v>0</v>
      </c>
      <c r="P232" s="40">
        <f ca="1">Summary_Initial!P20-'Regional Vehicle Summary'!P217</f>
        <v>0</v>
      </c>
      <c r="Q232" s="40">
        <f ca="1">Summary_Initial!Q20-'Regional Vehicle Summary'!Q217</f>
        <v>0</v>
      </c>
      <c r="R232" s="41">
        <f ca="1">Summary_Initial!R20-'Regional Vehicle Summary'!R217</f>
        <v>0</v>
      </c>
    </row>
    <row r="233" spans="3:18" ht="16" x14ac:dyDescent="0.2">
      <c r="C233" s="24" t="s">
        <v>114</v>
      </c>
      <c r="D233" s="42">
        <f ca="1">Summary_Initial!D21-'Regional Vehicle Summary'!D218</f>
        <v>0</v>
      </c>
      <c r="E233" s="43">
        <f ca="1">Summary_Initial!E21-'Regional Vehicle Summary'!E218</f>
        <v>0</v>
      </c>
      <c r="F233" s="43">
        <f ca="1">Summary_Initial!F21-'Regional Vehicle Summary'!F218</f>
        <v>0</v>
      </c>
      <c r="G233" s="43">
        <f ca="1">Summary_Initial!G21-'Regional Vehicle Summary'!G218</f>
        <v>0</v>
      </c>
      <c r="H233" s="43">
        <f ca="1">Summary_Initial!H21-'Regional Vehicle Summary'!H218</f>
        <v>0</v>
      </c>
      <c r="I233" s="43">
        <f ca="1">Summary_Initial!I21-'Regional Vehicle Summary'!I218</f>
        <v>0</v>
      </c>
      <c r="J233" s="43">
        <f ca="1">Summary_Initial!J21-'Regional Vehicle Summary'!J218</f>
        <v>0</v>
      </c>
      <c r="K233" s="43">
        <f ca="1">Summary_Initial!K21-'Regional Vehicle Summary'!K218</f>
        <v>0</v>
      </c>
      <c r="L233" s="43">
        <f ca="1">Summary_Initial!L21-'Regional Vehicle Summary'!L218</f>
        <v>0</v>
      </c>
      <c r="M233" s="43">
        <f ca="1">Summary_Initial!M21-'Regional Vehicle Summary'!M218</f>
        <v>0</v>
      </c>
      <c r="N233" s="43">
        <f ca="1">Summary_Initial!N21-'Regional Vehicle Summary'!N218</f>
        <v>0</v>
      </c>
      <c r="O233" s="43">
        <f ca="1">Summary_Initial!O21-'Regional Vehicle Summary'!O218</f>
        <v>0</v>
      </c>
      <c r="P233" s="43">
        <f ca="1">Summary_Initial!P21-'Regional Vehicle Summary'!P218</f>
        <v>0</v>
      </c>
      <c r="Q233" s="43">
        <f ca="1">Summary_Initial!Q21-'Regional Vehicle Summary'!Q218</f>
        <v>0</v>
      </c>
      <c r="R233" s="44">
        <f ca="1">Summary_Initial!R21-'Regional Vehicle Summary'!R218</f>
        <v>0</v>
      </c>
    </row>
    <row r="234" spans="3:18" ht="16" x14ac:dyDescent="0.2">
      <c r="C234" s="24" t="s">
        <v>115</v>
      </c>
      <c r="D234" s="42">
        <f ca="1">Summary_Initial!D22-'Regional Vehicle Summary'!D219</f>
        <v>0</v>
      </c>
      <c r="E234" s="43">
        <f ca="1">Summary_Initial!E22-'Regional Vehicle Summary'!E219</f>
        <v>0</v>
      </c>
      <c r="F234" s="43">
        <f ca="1">Summary_Initial!F22-'Regional Vehicle Summary'!F219</f>
        <v>0</v>
      </c>
      <c r="G234" s="43">
        <f ca="1">Summary_Initial!G22-'Regional Vehicle Summary'!G219</f>
        <v>0</v>
      </c>
      <c r="H234" s="43">
        <f ca="1">Summary_Initial!H22-'Regional Vehicle Summary'!H219</f>
        <v>0</v>
      </c>
      <c r="I234" s="43">
        <f ca="1">Summary_Initial!I22-'Regional Vehicle Summary'!I219</f>
        <v>0</v>
      </c>
      <c r="J234" s="43">
        <f ca="1">Summary_Initial!J22-'Regional Vehicle Summary'!J219</f>
        <v>0</v>
      </c>
      <c r="K234" s="43">
        <f ca="1">Summary_Initial!K22-'Regional Vehicle Summary'!K219</f>
        <v>0</v>
      </c>
      <c r="L234" s="43">
        <f ca="1">Summary_Initial!L22-'Regional Vehicle Summary'!L219</f>
        <v>0</v>
      </c>
      <c r="M234" s="43">
        <f ca="1">Summary_Initial!M22-'Regional Vehicle Summary'!M219</f>
        <v>0</v>
      </c>
      <c r="N234" s="43">
        <f ca="1">Summary_Initial!N22-'Regional Vehicle Summary'!N219</f>
        <v>0</v>
      </c>
      <c r="O234" s="43">
        <f ca="1">Summary_Initial!O22-'Regional Vehicle Summary'!O219</f>
        <v>0</v>
      </c>
      <c r="P234" s="43">
        <f ca="1">Summary_Initial!P22-'Regional Vehicle Summary'!P219</f>
        <v>0</v>
      </c>
      <c r="Q234" s="43">
        <f ca="1">Summary_Initial!Q22-'Regional Vehicle Summary'!Q219</f>
        <v>0</v>
      </c>
      <c r="R234" s="44">
        <f ca="1">Summary_Initial!R22-'Regional Vehicle Summary'!R219</f>
        <v>0</v>
      </c>
    </row>
    <row r="235" spans="3:18" ht="16" x14ac:dyDescent="0.2">
      <c r="C235" s="24" t="s">
        <v>116</v>
      </c>
      <c r="D235" s="42">
        <f ca="1">Summary_Initial!D23-'Regional Vehicle Summary'!D220</f>
        <v>0</v>
      </c>
      <c r="E235" s="43">
        <f ca="1">Summary_Initial!E23-'Regional Vehicle Summary'!E220</f>
        <v>0</v>
      </c>
      <c r="F235" s="43">
        <f ca="1">Summary_Initial!F23-'Regional Vehicle Summary'!F220</f>
        <v>0</v>
      </c>
      <c r="G235" s="43">
        <f ca="1">Summary_Initial!G23-'Regional Vehicle Summary'!G220</f>
        <v>0</v>
      </c>
      <c r="H235" s="43">
        <f ca="1">Summary_Initial!H23-'Regional Vehicle Summary'!H220</f>
        <v>0</v>
      </c>
      <c r="I235" s="43">
        <f ca="1">Summary_Initial!I23-'Regional Vehicle Summary'!I220</f>
        <v>0</v>
      </c>
      <c r="J235" s="43">
        <f ca="1">Summary_Initial!J23-'Regional Vehicle Summary'!J220</f>
        <v>0</v>
      </c>
      <c r="K235" s="43">
        <f ca="1">Summary_Initial!K23-'Regional Vehicle Summary'!K220</f>
        <v>0</v>
      </c>
      <c r="L235" s="43">
        <f ca="1">Summary_Initial!L23-'Regional Vehicle Summary'!L220</f>
        <v>0</v>
      </c>
      <c r="M235" s="43">
        <f ca="1">Summary_Initial!M23-'Regional Vehicle Summary'!M220</f>
        <v>0</v>
      </c>
      <c r="N235" s="43">
        <f ca="1">Summary_Initial!N23-'Regional Vehicle Summary'!N220</f>
        <v>0</v>
      </c>
      <c r="O235" s="43">
        <f ca="1">Summary_Initial!O23-'Regional Vehicle Summary'!O220</f>
        <v>0</v>
      </c>
      <c r="P235" s="43">
        <f ca="1">Summary_Initial!P23-'Regional Vehicle Summary'!P220</f>
        <v>0</v>
      </c>
      <c r="Q235" s="43">
        <f ca="1">Summary_Initial!Q23-'Regional Vehicle Summary'!Q220</f>
        <v>0</v>
      </c>
      <c r="R235" s="44">
        <f ca="1">Summary_Initial!R23-'Regional Vehicle Summary'!R220</f>
        <v>0</v>
      </c>
    </row>
    <row r="236" spans="3:18" ht="16" x14ac:dyDescent="0.2">
      <c r="C236" s="24" t="s">
        <v>43</v>
      </c>
      <c r="D236" s="42">
        <f ca="1">Summary_Initial!D24-'Regional Vehicle Summary'!D221</f>
        <v>0</v>
      </c>
      <c r="E236" s="43">
        <f ca="1">Summary_Initial!E24-'Regional Vehicle Summary'!E221</f>
        <v>0</v>
      </c>
      <c r="F236" s="43">
        <f ca="1">Summary_Initial!F24-'Regional Vehicle Summary'!F221</f>
        <v>0</v>
      </c>
      <c r="G236" s="43">
        <f ca="1">Summary_Initial!G24-'Regional Vehicle Summary'!G221</f>
        <v>0</v>
      </c>
      <c r="H236" s="43">
        <f ca="1">Summary_Initial!H24-'Regional Vehicle Summary'!H221</f>
        <v>0</v>
      </c>
      <c r="I236" s="43">
        <f ca="1">Summary_Initial!I24-'Regional Vehicle Summary'!I221</f>
        <v>0</v>
      </c>
      <c r="J236" s="43">
        <f ca="1">Summary_Initial!J24-'Regional Vehicle Summary'!J221</f>
        <v>0</v>
      </c>
      <c r="K236" s="43">
        <f ca="1">Summary_Initial!K24-'Regional Vehicle Summary'!K221</f>
        <v>0</v>
      </c>
      <c r="L236" s="43">
        <f ca="1">Summary_Initial!L24-'Regional Vehicle Summary'!L221</f>
        <v>0</v>
      </c>
      <c r="M236" s="43">
        <f ca="1">Summary_Initial!M24-'Regional Vehicle Summary'!M221</f>
        <v>0</v>
      </c>
      <c r="N236" s="43">
        <f ca="1">Summary_Initial!N24-'Regional Vehicle Summary'!N221</f>
        <v>0</v>
      </c>
      <c r="O236" s="43">
        <f ca="1">Summary_Initial!O24-'Regional Vehicle Summary'!O221</f>
        <v>0</v>
      </c>
      <c r="P236" s="43">
        <f ca="1">Summary_Initial!P24-'Regional Vehicle Summary'!P221</f>
        <v>0</v>
      </c>
      <c r="Q236" s="43">
        <f ca="1">Summary_Initial!Q24-'Regional Vehicle Summary'!Q221</f>
        <v>0</v>
      </c>
      <c r="R236" s="44">
        <f ca="1">Summary_Initial!R24-'Regional Vehicle Summary'!R221</f>
        <v>0</v>
      </c>
    </row>
    <row r="237" spans="3:18" ht="16" x14ac:dyDescent="0.2">
      <c r="C237" s="24" t="s">
        <v>44</v>
      </c>
      <c r="D237" s="42">
        <f ca="1">Summary_Initial!D25-'Regional Vehicle Summary'!D222</f>
        <v>0</v>
      </c>
      <c r="E237" s="43">
        <f ca="1">Summary_Initial!E25-'Regional Vehicle Summary'!E222</f>
        <v>0</v>
      </c>
      <c r="F237" s="43">
        <f ca="1">Summary_Initial!F25-'Regional Vehicle Summary'!F222</f>
        <v>0</v>
      </c>
      <c r="G237" s="43">
        <f ca="1">Summary_Initial!G25-'Regional Vehicle Summary'!G222</f>
        <v>0</v>
      </c>
      <c r="H237" s="43">
        <f ca="1">Summary_Initial!H25-'Regional Vehicle Summary'!H222</f>
        <v>0</v>
      </c>
      <c r="I237" s="43">
        <f ca="1">Summary_Initial!I25-'Regional Vehicle Summary'!I222</f>
        <v>0</v>
      </c>
      <c r="J237" s="43">
        <f ca="1">Summary_Initial!J25-'Regional Vehicle Summary'!J222</f>
        <v>0</v>
      </c>
      <c r="K237" s="43">
        <f ca="1">Summary_Initial!K25-'Regional Vehicle Summary'!K222</f>
        <v>0</v>
      </c>
      <c r="L237" s="43">
        <f ca="1">Summary_Initial!L25-'Regional Vehicle Summary'!L222</f>
        <v>0</v>
      </c>
      <c r="M237" s="43">
        <f ca="1">Summary_Initial!M25-'Regional Vehicle Summary'!M222</f>
        <v>0</v>
      </c>
      <c r="N237" s="43">
        <f ca="1">Summary_Initial!N25-'Regional Vehicle Summary'!N222</f>
        <v>0</v>
      </c>
      <c r="O237" s="43">
        <f ca="1">Summary_Initial!O25-'Regional Vehicle Summary'!O222</f>
        <v>0</v>
      </c>
      <c r="P237" s="43">
        <f ca="1">Summary_Initial!P25-'Regional Vehicle Summary'!P222</f>
        <v>0</v>
      </c>
      <c r="Q237" s="43">
        <f ca="1">Summary_Initial!Q25-'Regional Vehicle Summary'!Q222</f>
        <v>0</v>
      </c>
      <c r="R237" s="44">
        <f ca="1">Summary_Initial!R25-'Regional Vehicle Summary'!R222</f>
        <v>0</v>
      </c>
    </row>
    <row r="238" spans="3:18" ht="17" thickBot="1" x14ac:dyDescent="0.25">
      <c r="C238" s="24" t="s">
        <v>42</v>
      </c>
      <c r="D238" s="42">
        <f ca="1">Summary_Initial!D26-'Regional Vehicle Summary'!D223</f>
        <v>0</v>
      </c>
      <c r="E238" s="43">
        <f ca="1">Summary_Initial!E26-'Regional Vehicle Summary'!E223</f>
        <v>0</v>
      </c>
      <c r="F238" s="43">
        <f ca="1">Summary_Initial!F26-'Regional Vehicle Summary'!F223</f>
        <v>0</v>
      </c>
      <c r="G238" s="43">
        <f ca="1">Summary_Initial!G26-'Regional Vehicle Summary'!G223</f>
        <v>0</v>
      </c>
      <c r="H238" s="43">
        <f ca="1">Summary_Initial!H26-'Regional Vehicle Summary'!H223</f>
        <v>0</v>
      </c>
      <c r="I238" s="43">
        <f ca="1">Summary_Initial!I26-'Regional Vehicle Summary'!I223</f>
        <v>0</v>
      </c>
      <c r="J238" s="43">
        <f ca="1">Summary_Initial!J26-'Regional Vehicle Summary'!J223</f>
        <v>0</v>
      </c>
      <c r="K238" s="43">
        <f ca="1">Summary_Initial!K26-'Regional Vehicle Summary'!K223</f>
        <v>0</v>
      </c>
      <c r="L238" s="43">
        <f ca="1">Summary_Initial!L26-'Regional Vehicle Summary'!L223</f>
        <v>0</v>
      </c>
      <c r="M238" s="43">
        <f ca="1">Summary_Initial!M26-'Regional Vehicle Summary'!M223</f>
        <v>0</v>
      </c>
      <c r="N238" s="43">
        <f ca="1">Summary_Initial!N26-'Regional Vehicle Summary'!N223</f>
        <v>0</v>
      </c>
      <c r="O238" s="43">
        <f ca="1">Summary_Initial!O26-'Regional Vehicle Summary'!O223</f>
        <v>0</v>
      </c>
      <c r="P238" s="43">
        <f ca="1">Summary_Initial!P26-'Regional Vehicle Summary'!P223</f>
        <v>0</v>
      </c>
      <c r="Q238" s="43">
        <f ca="1">Summary_Initial!Q26-'Regional Vehicle Summary'!Q223</f>
        <v>0</v>
      </c>
      <c r="R238" s="44">
        <f ca="1">Summary_Initial!R26-'Regional Vehicle Summary'!R223</f>
        <v>0</v>
      </c>
    </row>
    <row r="239" spans="3:18" ht="19" thickTop="1" thickBot="1" x14ac:dyDescent="0.25">
      <c r="C239" s="31" t="s">
        <v>45</v>
      </c>
      <c r="D239" s="189">
        <f ca="1">SUM(D232:D238)</f>
        <v>0</v>
      </c>
      <c r="E239" s="48">
        <f t="shared" ref="E239:R239" ca="1" si="94">SUM(E232:E238)</f>
        <v>0</v>
      </c>
      <c r="F239" s="48">
        <f t="shared" ca="1" si="94"/>
        <v>0</v>
      </c>
      <c r="G239" s="48">
        <f t="shared" ca="1" si="94"/>
        <v>0</v>
      </c>
      <c r="H239" s="48">
        <f t="shared" ca="1" si="94"/>
        <v>0</v>
      </c>
      <c r="I239" s="48">
        <f t="shared" ca="1" si="94"/>
        <v>0</v>
      </c>
      <c r="J239" s="48">
        <f t="shared" ca="1" si="94"/>
        <v>0</v>
      </c>
      <c r="K239" s="48">
        <f t="shared" ca="1" si="94"/>
        <v>0</v>
      </c>
      <c r="L239" s="48">
        <f t="shared" ca="1" si="94"/>
        <v>0</v>
      </c>
      <c r="M239" s="48">
        <f t="shared" ca="1" si="94"/>
        <v>0</v>
      </c>
      <c r="N239" s="48">
        <f t="shared" ca="1" si="94"/>
        <v>0</v>
      </c>
      <c r="O239" s="48">
        <f t="shared" ca="1" si="94"/>
        <v>0</v>
      </c>
      <c r="P239" s="48">
        <f t="shared" ca="1" si="94"/>
        <v>0</v>
      </c>
      <c r="Q239" s="48">
        <f t="shared" ca="1" si="94"/>
        <v>0</v>
      </c>
      <c r="R239" s="49">
        <f t="shared" ca="1" si="94"/>
        <v>0</v>
      </c>
    </row>
    <row r="240" spans="3:18" ht="14" thickTop="1" x14ac:dyDescent="0.15"/>
  </sheetData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C3:R28"/>
  <sheetViews>
    <sheetView zoomScale="90" zoomScaleNormal="90" workbookViewId="0">
      <selection activeCell="K7" sqref="K7"/>
    </sheetView>
  </sheetViews>
  <sheetFormatPr baseColWidth="10" defaultColWidth="8.83203125" defaultRowHeight="13" x14ac:dyDescent="0.15"/>
  <cols>
    <col min="3" max="3" width="27.6640625" customWidth="1"/>
    <col min="4" max="18" width="17.6640625" customWidth="1"/>
  </cols>
  <sheetData>
    <row r="3" spans="3:18" ht="14" thickBot="1" x14ac:dyDescent="0.2"/>
    <row r="4" spans="3:18" ht="17" thickTop="1" x14ac:dyDescent="0.2">
      <c r="C4" s="32" t="s">
        <v>49</v>
      </c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34"/>
      <c r="Q4" s="34"/>
      <c r="R4" s="35"/>
    </row>
    <row r="5" spans="3:18" ht="14" thickBot="1" x14ac:dyDescent="0.2">
      <c r="C5" s="36"/>
      <c r="D5" s="37" t="s">
        <v>25</v>
      </c>
      <c r="E5" s="37" t="s">
        <v>37</v>
      </c>
      <c r="F5" s="37" t="s">
        <v>38</v>
      </c>
      <c r="G5" s="37" t="s">
        <v>177</v>
      </c>
      <c r="H5" s="37" t="s">
        <v>178</v>
      </c>
      <c r="I5" s="37" t="s">
        <v>26</v>
      </c>
      <c r="J5" s="37" t="s">
        <v>183</v>
      </c>
      <c r="K5" s="37" t="s">
        <v>27</v>
      </c>
      <c r="L5" s="37" t="s">
        <v>28</v>
      </c>
      <c r="M5" s="37" t="s">
        <v>29</v>
      </c>
      <c r="N5" s="37" t="s">
        <v>30</v>
      </c>
      <c r="O5" s="37" t="s">
        <v>31</v>
      </c>
      <c r="P5" s="37" t="s">
        <v>174</v>
      </c>
      <c r="Q5" s="37" t="s">
        <v>175</v>
      </c>
      <c r="R5" s="38" t="s">
        <v>176</v>
      </c>
    </row>
    <row r="6" spans="3:18" ht="15" thickTop="1" thickBot="1" x14ac:dyDescent="0.2">
      <c r="C6" s="70"/>
      <c r="D6" s="65" t="s">
        <v>39</v>
      </c>
      <c r="E6" s="65" t="s">
        <v>39</v>
      </c>
      <c r="F6" s="65" t="s">
        <v>39</v>
      </c>
      <c r="G6" s="65" t="s">
        <v>39</v>
      </c>
      <c r="H6" s="65" t="s">
        <v>39</v>
      </c>
      <c r="I6" s="65" t="s">
        <v>39</v>
      </c>
      <c r="J6" s="65" t="s">
        <v>39</v>
      </c>
      <c r="K6" s="65" t="s">
        <v>32</v>
      </c>
      <c r="L6" s="65" t="s">
        <v>32</v>
      </c>
      <c r="M6" s="65" t="s">
        <v>32</v>
      </c>
      <c r="N6" s="65" t="s">
        <v>32</v>
      </c>
      <c r="O6" s="65" t="s">
        <v>32</v>
      </c>
      <c r="P6" s="65" t="s">
        <v>32</v>
      </c>
      <c r="Q6" s="65" t="s">
        <v>32</v>
      </c>
      <c r="R6" s="66" t="s">
        <v>32</v>
      </c>
    </row>
    <row r="7" spans="3:18" ht="17" thickTop="1" x14ac:dyDescent="0.2">
      <c r="C7" s="24" t="s">
        <v>0</v>
      </c>
      <c r="D7" s="52">
        <f>'All Light Vehicles'!D7+'Heavy Truck'!D7+'Heavy Bus'!D7+Motorcycle!D7</f>
        <v>1614.4332767839339</v>
      </c>
      <c r="E7" s="53">
        <f>'All Light Vehicles'!E7+'Heavy Truck'!E7+'Heavy Bus'!E7+Motorcycle!E7</f>
        <v>1701.9171540661921</v>
      </c>
      <c r="F7" s="53">
        <f>'All Light Vehicles'!F7+'Heavy Truck'!F7+'Heavy Bus'!F7+Motorcycle!F7</f>
        <v>1761.1287190884541</v>
      </c>
      <c r="G7" s="53">
        <f>'All Light Vehicles'!G7+'Heavy Truck'!G7+'Heavy Bus'!G7+Motorcycle!G7</f>
        <v>1840.4818663539272</v>
      </c>
      <c r="H7" s="53">
        <f>'All Light Vehicles'!H7+'Heavy Truck'!H7+'Heavy Bus'!H7+Motorcycle!H7</f>
        <v>1877.8581578279388</v>
      </c>
      <c r="I7" s="53">
        <f>'All Light Vehicles'!I7+'Heavy Truck'!I7+'Heavy Bus'!I7+Motorcycle!I7</f>
        <v>2051.9373552794937</v>
      </c>
      <c r="J7" s="53">
        <f>'All Light Vehicles'!J7+'Heavy Truck'!J7+'Heavy Bus'!J7+Motorcycle!J7</f>
        <v>2156.3057394397429</v>
      </c>
      <c r="K7" s="53">
        <f>'All Light Vehicles'!K7+'Heavy Truck'!K7+'Heavy Bus'!K7+Motorcycle!K7</f>
        <v>2260.0524363837421</v>
      </c>
      <c r="L7" s="53">
        <f>'All Light Vehicles'!L7+'Heavy Truck'!L7+'Heavy Bus'!L7+Motorcycle!L7</f>
        <v>2358.4365182096089</v>
      </c>
      <c r="M7" s="53">
        <f>'All Light Vehicles'!M7+'Heavy Truck'!M7+'Heavy Bus'!M7+Motorcycle!M7</f>
        <v>2433.1462826883735</v>
      </c>
      <c r="N7" s="53">
        <f>'All Light Vehicles'!N7+'Heavy Truck'!N7+'Heavy Bus'!N7+Motorcycle!N7</f>
        <v>2489.2850607959786</v>
      </c>
      <c r="O7" s="53">
        <f>'All Light Vehicles'!O7+'Heavy Truck'!O7+'Heavy Bus'!O7+Motorcycle!O7</f>
        <v>2539.0565440745168</v>
      </c>
      <c r="P7" s="53">
        <f>'All Light Vehicles'!P7+'Heavy Truck'!P7+'Heavy Bus'!P7+Motorcycle!P7</f>
        <v>2593.1159452542997</v>
      </c>
      <c r="Q7" s="53">
        <f>'All Light Vehicles'!Q7+'Heavy Truck'!Q7+'Heavy Bus'!Q7+Motorcycle!Q7</f>
        <v>2638.9050662925747</v>
      </c>
      <c r="R7" s="54">
        <f>'All Light Vehicles'!R7+'Heavy Truck'!R7+'Heavy Bus'!R7+Motorcycle!R7</f>
        <v>2676.4360243081196</v>
      </c>
    </row>
    <row r="8" spans="3:18" ht="16" x14ac:dyDescent="0.2">
      <c r="C8" s="24" t="s">
        <v>1</v>
      </c>
      <c r="D8" s="55">
        <f>'All Light Vehicles'!D8+'Heavy Truck'!D8+'Heavy Bus'!D8+Motorcycle!D8</f>
        <v>12281.482706897106</v>
      </c>
      <c r="E8" s="56">
        <f>'All Light Vehicles'!E8+'Heavy Truck'!E8+'Heavy Bus'!E8+Motorcycle!E8</f>
        <v>12467.994678717776</v>
      </c>
      <c r="F8" s="56">
        <f>'All Light Vehicles'!F8+'Heavy Truck'!F8+'Heavy Bus'!F8+Motorcycle!F8</f>
        <v>12699.206275751021</v>
      </c>
      <c r="G8" s="56">
        <f>'All Light Vehicles'!G8+'Heavy Truck'!G8+'Heavy Bus'!G8+Motorcycle!G8</f>
        <v>13049.163350678584</v>
      </c>
      <c r="H8" s="56">
        <f>'All Light Vehicles'!H8+'Heavy Truck'!H8+'Heavy Bus'!H8+Motorcycle!H8</f>
        <v>13618.400583018316</v>
      </c>
      <c r="I8" s="56">
        <f>'All Light Vehicles'!I8+'Heavy Truck'!I8+'Heavy Bus'!I8+Motorcycle!I8</f>
        <v>13444.635541548778</v>
      </c>
      <c r="J8" s="56">
        <f>'All Light Vehicles'!J8+'Heavy Truck'!J8+'Heavy Bus'!J8+Motorcycle!J8</f>
        <v>14265.833915296955</v>
      </c>
      <c r="K8" s="56">
        <f>'All Light Vehicles'!K8+'Heavy Truck'!K8+'Heavy Bus'!K8+Motorcycle!K8</f>
        <v>15589.919119893015</v>
      </c>
      <c r="L8" s="56">
        <f>'All Light Vehicles'!L8+'Heavy Truck'!L8+'Heavy Bus'!L8+Motorcycle!L8</f>
        <v>17027.164122965336</v>
      </c>
      <c r="M8" s="56">
        <f>'All Light Vehicles'!M8+'Heavy Truck'!M8+'Heavy Bus'!M8+Motorcycle!M8</f>
        <v>18382.372863348639</v>
      </c>
      <c r="N8" s="56">
        <f>'All Light Vehicles'!N8+'Heavy Truck'!N8+'Heavy Bus'!N8+Motorcycle!N8</f>
        <v>19616.493295834793</v>
      </c>
      <c r="O8" s="56">
        <f>'All Light Vehicles'!O8+'Heavy Truck'!O8+'Heavy Bus'!O8+Motorcycle!O8</f>
        <v>20871.416865322397</v>
      </c>
      <c r="P8" s="56">
        <f>'All Light Vehicles'!P8+'Heavy Truck'!P8+'Heavy Bus'!P8+Motorcycle!P8</f>
        <v>22170.977822050172</v>
      </c>
      <c r="Q8" s="56">
        <f>'All Light Vehicles'!Q8+'Heavy Truck'!Q8+'Heavy Bus'!Q8+Motorcycle!Q8</f>
        <v>23461.181899050578</v>
      </c>
      <c r="R8" s="57">
        <f>'All Light Vehicles'!R8+'Heavy Truck'!R8+'Heavy Bus'!R8+Motorcycle!R8</f>
        <v>24725.813847808196</v>
      </c>
    </row>
    <row r="9" spans="3:18" ht="16" x14ac:dyDescent="0.2">
      <c r="C9" s="24" t="s">
        <v>2</v>
      </c>
      <c r="D9" s="55">
        <f>'All Light Vehicles'!D9+'Heavy Truck'!D9+'Heavy Bus'!D9+Motorcycle!D9</f>
        <v>5147.6693024542274</v>
      </c>
      <c r="E9" s="56">
        <f>'All Light Vehicles'!E9+'Heavy Truck'!E9+'Heavy Bus'!E9+Motorcycle!E9</f>
        <v>5123.4602353703558</v>
      </c>
      <c r="F9" s="56">
        <f>'All Light Vehicles'!F9+'Heavy Truck'!F9+'Heavy Bus'!F9+Motorcycle!F9</f>
        <v>5361.9886058905886</v>
      </c>
      <c r="G9" s="56">
        <f>'All Light Vehicles'!G9+'Heavy Truck'!G9+'Heavy Bus'!G9+Motorcycle!G9</f>
        <v>5653.3681867720961</v>
      </c>
      <c r="H9" s="56">
        <f>'All Light Vehicles'!H9+'Heavy Truck'!H9+'Heavy Bus'!H9+Motorcycle!H9</f>
        <v>5974.79731129624</v>
      </c>
      <c r="I9" s="56">
        <f>'All Light Vehicles'!I9+'Heavy Truck'!I9+'Heavy Bus'!I9+Motorcycle!I9</f>
        <v>6399.328882808989</v>
      </c>
      <c r="J9" s="56">
        <f>'All Light Vehicles'!J9+'Heavy Truck'!J9+'Heavy Bus'!J9+Motorcycle!J9</f>
        <v>6656.87045564457</v>
      </c>
      <c r="K9" s="56">
        <f>'All Light Vehicles'!K9+'Heavy Truck'!K9+'Heavy Bus'!K9+Motorcycle!K9</f>
        <v>7073.8487613806046</v>
      </c>
      <c r="L9" s="56">
        <f>'All Light Vehicles'!L9+'Heavy Truck'!L9+'Heavy Bus'!L9+Motorcycle!L9</f>
        <v>7532.9664551234</v>
      </c>
      <c r="M9" s="56">
        <f>'All Light Vehicles'!M9+'Heavy Truck'!M9+'Heavy Bus'!M9+Motorcycle!M9</f>
        <v>7928.1086318753432</v>
      </c>
      <c r="N9" s="56">
        <f>'All Light Vehicles'!N9+'Heavy Truck'!N9+'Heavy Bus'!N9+Motorcycle!N9</f>
        <v>8258.0663156832907</v>
      </c>
      <c r="O9" s="56">
        <f>'All Light Vehicles'!O9+'Heavy Truck'!O9+'Heavy Bus'!O9+Motorcycle!O9</f>
        <v>8585.1576968795398</v>
      </c>
      <c r="P9" s="56">
        <f>'All Light Vehicles'!P9+'Heavy Truck'!P9+'Heavy Bus'!P9+Motorcycle!P9</f>
        <v>8913.0894839291959</v>
      </c>
      <c r="Q9" s="56">
        <f>'All Light Vehicles'!Q9+'Heavy Truck'!Q9+'Heavy Bus'!Q9+Motorcycle!Q9</f>
        <v>9219.9023641872336</v>
      </c>
      <c r="R9" s="57">
        <f>'All Light Vehicles'!R9+'Heavy Truck'!R9+'Heavy Bus'!R9+Motorcycle!R9</f>
        <v>9502.561900568262</v>
      </c>
    </row>
    <row r="10" spans="3:18" ht="16" x14ac:dyDescent="0.2">
      <c r="C10" s="24" t="s">
        <v>3</v>
      </c>
      <c r="D10" s="55">
        <f>'All Light Vehicles'!D10+'Heavy Truck'!D10+'Heavy Bus'!D10+Motorcycle!D10</f>
        <v>2620.4436646574495</v>
      </c>
      <c r="E10" s="56">
        <f>'All Light Vehicles'!E10+'Heavy Truck'!E10+'Heavy Bus'!E10+Motorcycle!E10</f>
        <v>2727.315253938013</v>
      </c>
      <c r="F10" s="56">
        <f>'All Light Vehicles'!F10+'Heavy Truck'!F10+'Heavy Bus'!F10+Motorcycle!F10</f>
        <v>2747.6451909949124</v>
      </c>
      <c r="G10" s="56">
        <f>'All Light Vehicles'!G10+'Heavy Truck'!G10+'Heavy Bus'!G10+Motorcycle!G10</f>
        <v>2850.8906880791264</v>
      </c>
      <c r="H10" s="56">
        <f>'All Light Vehicles'!H10+'Heavy Truck'!H10+'Heavy Bus'!H10+Motorcycle!H10</f>
        <v>3238.8697888428323</v>
      </c>
      <c r="I10" s="56">
        <f>'All Light Vehicles'!I10+'Heavy Truck'!I10+'Heavy Bus'!I10+Motorcycle!I10</f>
        <v>3191.419851234788</v>
      </c>
      <c r="J10" s="56">
        <f>'All Light Vehicles'!J10+'Heavy Truck'!J10+'Heavy Bus'!J10+Motorcycle!J10</f>
        <v>3319.3964798979414</v>
      </c>
      <c r="K10" s="56">
        <f>'All Light Vehicles'!K10+'Heavy Truck'!K10+'Heavy Bus'!K10+Motorcycle!K10</f>
        <v>3503.7057123235659</v>
      </c>
      <c r="L10" s="56">
        <f>'All Light Vehicles'!L10+'Heavy Truck'!L10+'Heavy Bus'!L10+Motorcycle!L10</f>
        <v>3703.836963163053</v>
      </c>
      <c r="M10" s="56">
        <f>'All Light Vehicles'!M10+'Heavy Truck'!M10+'Heavy Bus'!M10+Motorcycle!M10</f>
        <v>3871.2775161847521</v>
      </c>
      <c r="N10" s="56">
        <f>'All Light Vehicles'!N10+'Heavy Truck'!N10+'Heavy Bus'!N10+Motorcycle!N10</f>
        <v>4000.1807873094067</v>
      </c>
      <c r="O10" s="56">
        <f>'All Light Vehicles'!O10+'Heavy Truck'!O10+'Heavy Bus'!O10+Motorcycle!O10</f>
        <v>4126.1090770981637</v>
      </c>
      <c r="P10" s="56">
        <f>'All Light Vehicles'!P10+'Heavy Truck'!P10+'Heavy Bus'!P10+Motorcycle!P10</f>
        <v>4256.5334426062673</v>
      </c>
      <c r="Q10" s="56">
        <f>'All Light Vehicles'!Q10+'Heavy Truck'!Q10+'Heavy Bus'!Q10+Motorcycle!Q10</f>
        <v>4375.2469120395326</v>
      </c>
      <c r="R10" s="57">
        <f>'All Light Vehicles'!R10+'Heavy Truck'!R10+'Heavy Bus'!R10+Motorcycle!R10</f>
        <v>4481.153981737305</v>
      </c>
    </row>
    <row r="11" spans="3:18" ht="16" x14ac:dyDescent="0.2">
      <c r="C11" s="24" t="s">
        <v>4</v>
      </c>
      <c r="D11" s="55">
        <f>'All Light Vehicles'!D11+'Heavy Truck'!D11+'Heavy Bus'!D11+Motorcycle!D11</f>
        <v>376.06695211991325</v>
      </c>
      <c r="E11" s="56">
        <f>'All Light Vehicles'!E11+'Heavy Truck'!E11+'Heavy Bus'!E11+Motorcycle!E11</f>
        <v>383.39397565482125</v>
      </c>
      <c r="F11" s="56">
        <f>'All Light Vehicles'!F11+'Heavy Truck'!F11+'Heavy Bus'!F11+Motorcycle!F11</f>
        <v>402.2309236791391</v>
      </c>
      <c r="G11" s="56">
        <f>'All Light Vehicles'!G11+'Heavy Truck'!G11+'Heavy Bus'!G11+Motorcycle!G11</f>
        <v>413.3207989383597</v>
      </c>
      <c r="H11" s="56">
        <f>'All Light Vehicles'!H11+'Heavy Truck'!H11+'Heavy Bus'!H11+Motorcycle!H11</f>
        <v>409.01271098540843</v>
      </c>
      <c r="I11" s="56">
        <f>'All Light Vehicles'!I11+'Heavy Truck'!I11+'Heavy Bus'!I11+Motorcycle!I11</f>
        <v>417.6599124236547</v>
      </c>
      <c r="J11" s="56">
        <f>'All Light Vehicles'!J11+'Heavy Truck'!J11+'Heavy Bus'!J11+Motorcycle!J11</f>
        <v>424.5796898797999</v>
      </c>
      <c r="K11" s="56">
        <f>'All Light Vehicles'!K11+'Heavy Truck'!K11+'Heavy Bus'!K11+Motorcycle!K11</f>
        <v>437.21603029924199</v>
      </c>
      <c r="L11" s="56">
        <f>'All Light Vehicles'!L11+'Heavy Truck'!L11+'Heavy Bus'!L11+Motorcycle!L11</f>
        <v>451.53699994314906</v>
      </c>
      <c r="M11" s="56">
        <f>'All Light Vehicles'!M11+'Heavy Truck'!M11+'Heavy Bus'!M11+Motorcycle!M11</f>
        <v>461.49196764814212</v>
      </c>
      <c r="N11" s="56">
        <f>'All Light Vehicles'!N11+'Heavy Truck'!N11+'Heavy Bus'!N11+Motorcycle!N11</f>
        <v>462.02493386147523</v>
      </c>
      <c r="O11" s="56">
        <f>'All Light Vehicles'!O11+'Heavy Truck'!O11+'Heavy Bus'!O11+Motorcycle!O11</f>
        <v>462.05808370420829</v>
      </c>
      <c r="P11" s="56">
        <f>'All Light Vehicles'!P11+'Heavy Truck'!P11+'Heavy Bus'!P11+Motorcycle!P11</f>
        <v>469.00085145496251</v>
      </c>
      <c r="Q11" s="56">
        <f>'All Light Vehicles'!Q11+'Heavy Truck'!Q11+'Heavy Bus'!Q11+Motorcycle!Q11</f>
        <v>474.21576848041411</v>
      </c>
      <c r="R11" s="57">
        <f>'All Light Vehicles'!R11+'Heavy Truck'!R11+'Heavy Bus'!R11+Motorcycle!R11</f>
        <v>477.7117171743443</v>
      </c>
    </row>
    <row r="12" spans="3:18" ht="16" x14ac:dyDescent="0.2">
      <c r="C12" s="24" t="s">
        <v>5</v>
      </c>
      <c r="D12" s="55">
        <f>'All Light Vehicles'!D12+'Heavy Truck'!D12+'Heavy Bus'!D12+Motorcycle!D12</f>
        <v>1423.2688260531656</v>
      </c>
      <c r="E12" s="56">
        <f>'All Light Vehicles'!E12+'Heavy Truck'!E12+'Heavy Bus'!E12+Motorcycle!E12</f>
        <v>1424.8778446210301</v>
      </c>
      <c r="F12" s="56">
        <f>'All Light Vehicles'!F12+'Heavy Truck'!F12+'Heavy Bus'!F12+Motorcycle!F12</f>
        <v>1493.7991799493013</v>
      </c>
      <c r="G12" s="56">
        <f>'All Light Vehicles'!G12+'Heavy Truck'!G12+'Heavy Bus'!G12+Motorcycle!G12</f>
        <v>1566.819166610464</v>
      </c>
      <c r="H12" s="56">
        <f>'All Light Vehicles'!H12+'Heavy Truck'!H12+'Heavy Bus'!H12+Motorcycle!H12</f>
        <v>1630.0157584464723</v>
      </c>
      <c r="I12" s="56">
        <f>'All Light Vehicles'!I12+'Heavy Truck'!I12+'Heavy Bus'!I12+Motorcycle!I12</f>
        <v>1667.4984190423934</v>
      </c>
      <c r="J12" s="56">
        <f>'All Light Vehicles'!J12+'Heavy Truck'!J12+'Heavy Bus'!J12+Motorcycle!J12</f>
        <v>1764.3478722018824</v>
      </c>
      <c r="K12" s="56">
        <f>'All Light Vehicles'!K12+'Heavy Truck'!K12+'Heavy Bus'!K12+Motorcycle!K12</f>
        <v>1821.6886615251485</v>
      </c>
      <c r="L12" s="56">
        <f>'All Light Vehicles'!L12+'Heavy Truck'!L12+'Heavy Bus'!L12+Motorcycle!L12</f>
        <v>1886.3321152575913</v>
      </c>
      <c r="M12" s="56">
        <f>'All Light Vehicles'!M12+'Heavy Truck'!M12+'Heavy Bus'!M12+Motorcycle!M12</f>
        <v>1930.4402147940414</v>
      </c>
      <c r="N12" s="56">
        <f>'All Light Vehicles'!N12+'Heavy Truck'!N12+'Heavy Bus'!N12+Motorcycle!N12</f>
        <v>1952.7431349879319</v>
      </c>
      <c r="O12" s="56">
        <f>'All Light Vehicles'!O12+'Heavy Truck'!O12+'Heavy Bus'!O12+Motorcycle!O12</f>
        <v>1970.8307234265123</v>
      </c>
      <c r="P12" s="56">
        <f>'All Light Vehicles'!P12+'Heavy Truck'!P12+'Heavy Bus'!P12+Motorcycle!P12</f>
        <v>1989.5180265737367</v>
      </c>
      <c r="Q12" s="56">
        <f>'All Light Vehicles'!Q12+'Heavy Truck'!Q12+'Heavy Bus'!Q12+Motorcycle!Q12</f>
        <v>2001.3512625648468</v>
      </c>
      <c r="R12" s="57">
        <f>'All Light Vehicles'!R12+'Heavy Truck'!R12+'Heavy Bus'!R12+Motorcycle!R12</f>
        <v>2006.2983357147152</v>
      </c>
    </row>
    <row r="13" spans="3:18" ht="16" x14ac:dyDescent="0.2">
      <c r="C13" s="24" t="s">
        <v>6</v>
      </c>
      <c r="D13" s="55">
        <f>'All Light Vehicles'!D13+'Heavy Truck'!D13+'Heavy Bus'!D13+Motorcycle!D13</f>
        <v>1000.8616860747703</v>
      </c>
      <c r="E13" s="56">
        <f>'All Light Vehicles'!E13+'Heavy Truck'!E13+'Heavy Bus'!E13+Motorcycle!E13</f>
        <v>1032.7877435347252</v>
      </c>
      <c r="F13" s="56">
        <f>'All Light Vehicles'!F13+'Heavy Truck'!F13+'Heavy Bus'!F13+Motorcycle!F13</f>
        <v>1077.5298537593796</v>
      </c>
      <c r="G13" s="56">
        <f>'All Light Vehicles'!G13+'Heavy Truck'!G13+'Heavy Bus'!G13+Motorcycle!G13</f>
        <v>1118.9852596601088</v>
      </c>
      <c r="H13" s="56">
        <f>'All Light Vehicles'!H13+'Heavy Truck'!H13+'Heavy Bus'!H13+Motorcycle!H13</f>
        <v>1146.2723394287116</v>
      </c>
      <c r="I13" s="56">
        <f>'All Light Vehicles'!I13+'Heavy Truck'!I13+'Heavy Bus'!I13+Motorcycle!I13</f>
        <v>1187.0501237385661</v>
      </c>
      <c r="J13" s="56">
        <f>'All Light Vehicles'!J13+'Heavy Truck'!J13+'Heavy Bus'!J13+Motorcycle!J13</f>
        <v>1158.0958478841585</v>
      </c>
      <c r="K13" s="56">
        <f>'All Light Vehicles'!K13+'Heavy Truck'!K13+'Heavy Bus'!K13+Motorcycle!K13</f>
        <v>1200.6548115992009</v>
      </c>
      <c r="L13" s="56">
        <f>'All Light Vehicles'!L13+'Heavy Truck'!L13+'Heavy Bus'!L13+Motorcycle!L13</f>
        <v>1251.7995224784765</v>
      </c>
      <c r="M13" s="56">
        <f>'All Light Vehicles'!M13+'Heavy Truck'!M13+'Heavy Bus'!M13+Motorcycle!M13</f>
        <v>1292.6507984471129</v>
      </c>
      <c r="N13" s="56">
        <f>'All Light Vehicles'!N13+'Heavy Truck'!N13+'Heavy Bus'!N13+Motorcycle!N13</f>
        <v>1322.9363000826495</v>
      </c>
      <c r="O13" s="56">
        <f>'All Light Vehicles'!O13+'Heavy Truck'!O13+'Heavy Bus'!O13+Motorcycle!O13</f>
        <v>1352.3759942184056</v>
      </c>
      <c r="P13" s="56">
        <f>'All Light Vehicles'!P13+'Heavy Truck'!P13+'Heavy Bus'!P13+Motorcycle!P13</f>
        <v>1382.0164038714831</v>
      </c>
      <c r="Q13" s="56">
        <f>'All Light Vehicles'!Q13+'Heavy Truck'!Q13+'Heavy Bus'!Q13+Motorcycle!Q13</f>
        <v>1407.4585510546067</v>
      </c>
      <c r="R13" s="57">
        <f>'All Light Vehicles'!R13+'Heavy Truck'!R13+'Heavy Bus'!R13+Motorcycle!R13</f>
        <v>1428.6904527341433</v>
      </c>
    </row>
    <row r="14" spans="3:18" ht="16" x14ac:dyDescent="0.2">
      <c r="C14" s="24" t="s">
        <v>7</v>
      </c>
      <c r="D14" s="55">
        <f>'All Light Vehicles'!D14+'Heavy Truck'!D14+'Heavy Bus'!D14+Motorcycle!D14</f>
        <v>2321.9849498171861</v>
      </c>
      <c r="E14" s="56">
        <f>'All Light Vehicles'!E14+'Heavy Truck'!E14+'Heavy Bus'!E14+Motorcycle!E14</f>
        <v>2361.186810381826</v>
      </c>
      <c r="F14" s="56">
        <f>'All Light Vehicles'!F14+'Heavy Truck'!F14+'Heavy Bus'!F14+Motorcycle!F14</f>
        <v>2416.6850925186936</v>
      </c>
      <c r="G14" s="56">
        <f>'All Light Vehicles'!G14+'Heavy Truck'!G14+'Heavy Bus'!G14+Motorcycle!G14</f>
        <v>2543.7864591807061</v>
      </c>
      <c r="H14" s="56">
        <f>'All Light Vehicles'!H14+'Heavy Truck'!H14+'Heavy Bus'!H14+Motorcycle!H14</f>
        <v>2612.3664778276543</v>
      </c>
      <c r="I14" s="56">
        <f>'All Light Vehicles'!I14+'Heavy Truck'!I14+'Heavy Bus'!I14+Motorcycle!I14</f>
        <v>2613.6632110149476</v>
      </c>
      <c r="J14" s="56">
        <f>'All Light Vehicles'!J14+'Heavy Truck'!J14+'Heavy Bus'!J14+Motorcycle!J14</f>
        <v>2714.3559469109277</v>
      </c>
      <c r="K14" s="56">
        <f>'All Light Vehicles'!K14+'Heavy Truck'!K14+'Heavy Bus'!K14+Motorcycle!K14</f>
        <v>2794.3298484587162</v>
      </c>
      <c r="L14" s="56">
        <f>'All Light Vehicles'!L14+'Heavy Truck'!L14+'Heavy Bus'!L14+Motorcycle!L14</f>
        <v>2879.6250384513846</v>
      </c>
      <c r="M14" s="56">
        <f>'All Light Vehicles'!M14+'Heavy Truck'!M14+'Heavy Bus'!M14+Motorcycle!M14</f>
        <v>2937.9633014865522</v>
      </c>
      <c r="N14" s="56">
        <f>'All Light Vehicles'!N14+'Heavy Truck'!N14+'Heavy Bus'!N14+Motorcycle!N14</f>
        <v>2967.8118971202907</v>
      </c>
      <c r="O14" s="56">
        <f>'All Light Vehicles'!O14+'Heavy Truck'!O14+'Heavy Bus'!O14+Motorcycle!O14</f>
        <v>2991.1747680723925</v>
      </c>
      <c r="P14" s="56">
        <f>'All Light Vehicles'!P14+'Heavy Truck'!P14+'Heavy Bus'!P14+Motorcycle!P14</f>
        <v>3013.0025200548171</v>
      </c>
      <c r="Q14" s="56">
        <f>'All Light Vehicles'!Q14+'Heavy Truck'!Q14+'Heavy Bus'!Q14+Motorcycle!Q14</f>
        <v>3024.6474536894552</v>
      </c>
      <c r="R14" s="57">
        <f>'All Light Vehicles'!R14+'Heavy Truck'!R14+'Heavy Bus'!R14+Motorcycle!R14</f>
        <v>3026.4227816426442</v>
      </c>
    </row>
    <row r="15" spans="3:18" ht="16" x14ac:dyDescent="0.2">
      <c r="C15" s="24" t="s">
        <v>8</v>
      </c>
      <c r="D15" s="55">
        <f>'All Light Vehicles'!D15+'Heavy Truck'!D15+'Heavy Bus'!D15+Motorcycle!D15</f>
        <v>3386.8998872603684</v>
      </c>
      <c r="E15" s="56">
        <f>'All Light Vehicles'!E15+'Heavy Truck'!E15+'Heavy Bus'!E15+Motorcycle!E15</f>
        <v>3460.6441942347947</v>
      </c>
      <c r="F15" s="56">
        <f>'All Light Vehicles'!F15+'Heavy Truck'!F15+'Heavy Bus'!F15+Motorcycle!F15</f>
        <v>3722.2965907880189</v>
      </c>
      <c r="G15" s="56">
        <f>'All Light Vehicles'!G15+'Heavy Truck'!G15+'Heavy Bus'!G15+Motorcycle!G15</f>
        <v>3644.9611145200861</v>
      </c>
      <c r="H15" s="56">
        <f>'All Light Vehicles'!H15+'Heavy Truck'!H15+'Heavy Bus'!H15+Motorcycle!H15</f>
        <v>3639.8929161054239</v>
      </c>
      <c r="I15" s="56">
        <f>'All Light Vehicles'!I15+'Heavy Truck'!I15+'Heavy Bus'!I15+Motorcycle!I15</f>
        <v>3827.1875325082274</v>
      </c>
      <c r="J15" s="56">
        <f>'All Light Vehicles'!J15+'Heavy Truck'!J15+'Heavy Bus'!J15+Motorcycle!J15</f>
        <v>3935.6985396081004</v>
      </c>
      <c r="K15" s="56">
        <f>'All Light Vehicles'!K15+'Heavy Truck'!K15+'Heavy Bus'!K15+Motorcycle!K15</f>
        <v>4111.5561401542909</v>
      </c>
      <c r="L15" s="56">
        <f>'All Light Vehicles'!L15+'Heavy Truck'!L15+'Heavy Bus'!L15+Motorcycle!L15</f>
        <v>4305.3502257246664</v>
      </c>
      <c r="M15" s="56">
        <f>'All Light Vehicles'!M15+'Heavy Truck'!M15+'Heavy Bus'!M15+Motorcycle!M15</f>
        <v>4465.1770292035089</v>
      </c>
      <c r="N15" s="56">
        <f>'All Light Vehicles'!N15+'Heavy Truck'!N15+'Heavy Bus'!N15+Motorcycle!N15</f>
        <v>4588.6591993549464</v>
      </c>
      <c r="O15" s="56">
        <f>'All Light Vehicles'!O15+'Heavy Truck'!O15+'Heavy Bus'!O15+Motorcycle!O15</f>
        <v>4704.4786383103065</v>
      </c>
      <c r="P15" s="56">
        <f>'All Light Vehicles'!P15+'Heavy Truck'!P15+'Heavy Bus'!P15+Motorcycle!P15</f>
        <v>4817.5871983855159</v>
      </c>
      <c r="Q15" s="56">
        <f>'All Light Vehicles'!Q15+'Heavy Truck'!Q15+'Heavy Bus'!Q15+Motorcycle!Q15</f>
        <v>4916.0133185073191</v>
      </c>
      <c r="R15" s="57">
        <f>'All Light Vehicles'!R15+'Heavy Truck'!R15+'Heavy Bus'!R15+Motorcycle!R15</f>
        <v>4999.4445757362264</v>
      </c>
    </row>
    <row r="16" spans="3:18" ht="16" x14ac:dyDescent="0.2">
      <c r="C16" s="24" t="s">
        <v>9</v>
      </c>
      <c r="D16" s="55">
        <f>'All Light Vehicles'!D16+'Heavy Truck'!D16+'Heavy Bus'!D16+Motorcycle!D16</f>
        <v>1270.478107942324</v>
      </c>
      <c r="E16" s="56">
        <f>'All Light Vehicles'!E16+'Heavy Truck'!E16+'Heavy Bus'!E16+Motorcycle!E16</f>
        <v>1295.7109123520361</v>
      </c>
      <c r="F16" s="56">
        <f>'All Light Vehicles'!F16+'Heavy Truck'!F16+'Heavy Bus'!F16+Motorcycle!F16</f>
        <v>1239.7826566390647</v>
      </c>
      <c r="G16" s="56">
        <f>'All Light Vehicles'!G16+'Heavy Truck'!G16+'Heavy Bus'!G16+Motorcycle!G16</f>
        <v>1441.1710675635109</v>
      </c>
      <c r="H16" s="56">
        <f>'All Light Vehicles'!H16+'Heavy Truck'!H16+'Heavy Bus'!H16+Motorcycle!H16</f>
        <v>1501.3757848420221</v>
      </c>
      <c r="I16" s="56">
        <f>'All Light Vehicles'!I16+'Heavy Truck'!I16+'Heavy Bus'!I16+Motorcycle!I16</f>
        <v>1602.951618927937</v>
      </c>
      <c r="J16" s="56">
        <f>'All Light Vehicles'!J16+'Heavy Truck'!J16+'Heavy Bus'!J16+Motorcycle!J16</f>
        <v>1618.7874404174572</v>
      </c>
      <c r="K16" s="56">
        <f>'All Light Vehicles'!K16+'Heavy Truck'!K16+'Heavy Bus'!K16+Motorcycle!K16</f>
        <v>1686.9371092089364</v>
      </c>
      <c r="L16" s="56">
        <f>'All Light Vehicles'!L16+'Heavy Truck'!L16+'Heavy Bus'!L16+Motorcycle!L16</f>
        <v>1765.4145428197908</v>
      </c>
      <c r="M16" s="56">
        <f>'All Light Vehicles'!M16+'Heavy Truck'!M16+'Heavy Bus'!M16+Motorcycle!M16</f>
        <v>1825.1668423187789</v>
      </c>
      <c r="N16" s="56">
        <f>'All Light Vehicles'!N16+'Heavy Truck'!N16+'Heavy Bus'!N16+Motorcycle!N16</f>
        <v>1864.4975614165039</v>
      </c>
      <c r="O16" s="56">
        <f>'All Light Vehicles'!O16+'Heavy Truck'!O16+'Heavy Bus'!O16+Motorcycle!O16</f>
        <v>1897.673479856993</v>
      </c>
      <c r="P16" s="56">
        <f>'All Light Vehicles'!P16+'Heavy Truck'!P16+'Heavy Bus'!P16+Motorcycle!P16</f>
        <v>1933.2522237024173</v>
      </c>
      <c r="Q16" s="56">
        <f>'All Light Vehicles'!Q16+'Heavy Truck'!Q16+'Heavy Bus'!Q16+Motorcycle!Q16</f>
        <v>1962.2269780156387</v>
      </c>
      <c r="R16" s="57">
        <f>'All Light Vehicles'!R16+'Heavy Truck'!R16+'Heavy Bus'!R16+Motorcycle!R16</f>
        <v>1984.2369350807253</v>
      </c>
    </row>
    <row r="17" spans="3:18" ht="16" x14ac:dyDescent="0.2">
      <c r="C17" s="24" t="s">
        <v>10</v>
      </c>
      <c r="D17" s="55">
        <f>'All Light Vehicles'!D17+'Heavy Truck'!D17+'Heavy Bus'!D17+Motorcycle!D17</f>
        <v>488.8740109150076</v>
      </c>
      <c r="E17" s="56">
        <f>'All Light Vehicles'!E17+'Heavy Truck'!E17+'Heavy Bus'!E17+Motorcycle!E17</f>
        <v>490.33299399200979</v>
      </c>
      <c r="F17" s="56">
        <f>'All Light Vehicles'!F17+'Heavy Truck'!F17+'Heavy Bus'!F17+Motorcycle!F17</f>
        <v>527.56130585399728</v>
      </c>
      <c r="G17" s="56">
        <f>'All Light Vehicles'!G17+'Heavy Truck'!G17+'Heavy Bus'!G17+Motorcycle!G17</f>
        <v>552.93135306509839</v>
      </c>
      <c r="H17" s="56">
        <f>'All Light Vehicles'!H17+'Heavy Truck'!H17+'Heavy Bus'!H17+Motorcycle!H17</f>
        <v>571.17252797071058</v>
      </c>
      <c r="I17" s="56">
        <f>'All Light Vehicles'!I17+'Heavy Truck'!I17+'Heavy Bus'!I17+Motorcycle!I17</f>
        <v>621.55292328502946</v>
      </c>
      <c r="J17" s="56">
        <f>'All Light Vehicles'!J17+'Heavy Truck'!J17+'Heavy Bus'!J17+Motorcycle!J17</f>
        <v>621.3035136969927</v>
      </c>
      <c r="K17" s="56">
        <f>'All Light Vehicles'!K17+'Heavy Truck'!K17+'Heavy Bus'!K17+Motorcycle!K17</f>
        <v>631.62784692698312</v>
      </c>
      <c r="L17" s="56">
        <f>'All Light Vehicles'!L17+'Heavy Truck'!L17+'Heavy Bus'!L17+Motorcycle!L17</f>
        <v>643.31779930257369</v>
      </c>
      <c r="M17" s="56">
        <f>'All Light Vehicles'!M17+'Heavy Truck'!M17+'Heavy Bus'!M17+Motorcycle!M17</f>
        <v>648.01711842505176</v>
      </c>
      <c r="N17" s="56">
        <f>'All Light Vehicles'!N17+'Heavy Truck'!N17+'Heavy Bus'!N17+Motorcycle!N17</f>
        <v>645.05985733081491</v>
      </c>
      <c r="O17" s="56">
        <f>'All Light Vehicles'!O17+'Heavy Truck'!O17+'Heavy Bus'!O17+Motorcycle!O17</f>
        <v>641.37088925822275</v>
      </c>
      <c r="P17" s="56">
        <f>'All Light Vehicles'!P17+'Heavy Truck'!P17+'Heavy Bus'!P17+Motorcycle!P17</f>
        <v>637.32974050958978</v>
      </c>
      <c r="Q17" s="56">
        <f>'All Light Vehicles'!Q17+'Heavy Truck'!Q17+'Heavy Bus'!Q17+Motorcycle!Q17</f>
        <v>631.26109328083999</v>
      </c>
      <c r="R17" s="57">
        <f>'All Light Vehicles'!R17+'Heavy Truck'!R17+'Heavy Bus'!R17+Motorcycle!R17</f>
        <v>623.26350771605735</v>
      </c>
    </row>
    <row r="18" spans="3:18" ht="16" x14ac:dyDescent="0.2">
      <c r="C18" s="24" t="s">
        <v>11</v>
      </c>
      <c r="D18" s="55">
        <f>'All Light Vehicles'!D18+'Heavy Truck'!D18+'Heavy Bus'!D18+Motorcycle!D18</f>
        <v>5283.443051128831</v>
      </c>
      <c r="E18" s="56">
        <f>'All Light Vehicles'!E18+'Heavy Truck'!E18+'Heavy Bus'!E18+Motorcycle!E18</f>
        <v>5579.8030869436734</v>
      </c>
      <c r="F18" s="56">
        <f>'All Light Vehicles'!F18+'Heavy Truck'!F18+'Heavy Bus'!F18+Motorcycle!F18</f>
        <v>5861.4093487973969</v>
      </c>
      <c r="G18" s="56">
        <f>'All Light Vehicles'!G18+'Heavy Truck'!G18+'Heavy Bus'!G18+Motorcycle!G18</f>
        <v>6211.0460339385791</v>
      </c>
      <c r="H18" s="56">
        <f>'All Light Vehicles'!H18+'Heavy Truck'!H18+'Heavy Bus'!H18+Motorcycle!H18</f>
        <v>6271.9855690169952</v>
      </c>
      <c r="I18" s="56">
        <f>'All Light Vehicles'!I18+'Heavy Truck'!I18+'Heavy Bus'!I18+Motorcycle!I18</f>
        <v>6632.6543681867579</v>
      </c>
      <c r="J18" s="56">
        <f>'All Light Vehicles'!J18+'Heavy Truck'!J18+'Heavy Bus'!J18+Motorcycle!J18</f>
        <v>6792.9629259204521</v>
      </c>
      <c r="K18" s="56">
        <f>'All Light Vehicles'!K18+'Heavy Truck'!K18+'Heavy Bus'!K18+Motorcycle!K18</f>
        <v>7271.0760291846036</v>
      </c>
      <c r="L18" s="56">
        <f>'All Light Vehicles'!L18+'Heavy Truck'!L18+'Heavy Bus'!L18+Motorcycle!L18</f>
        <v>7797.5570281165292</v>
      </c>
      <c r="M18" s="56">
        <f>'All Light Vehicles'!M18+'Heavy Truck'!M18+'Heavy Bus'!M18+Motorcycle!M18</f>
        <v>8261.302643091527</v>
      </c>
      <c r="N18" s="56">
        <f>'All Light Vehicles'!N18+'Heavy Truck'!N18+'Heavy Bus'!N18+Motorcycle!N18</f>
        <v>8671.7013045277599</v>
      </c>
      <c r="O18" s="56">
        <f>'All Light Vehicles'!O18+'Heavy Truck'!O18+'Heavy Bus'!O18+Motorcycle!O18</f>
        <v>9085.2803505383927</v>
      </c>
      <c r="P18" s="56">
        <f>'All Light Vehicles'!P18+'Heavy Truck'!P18+'Heavy Bus'!P18+Motorcycle!P18</f>
        <v>9502.873928620269</v>
      </c>
      <c r="Q18" s="56">
        <f>'All Light Vehicles'!Q18+'Heavy Truck'!Q18+'Heavy Bus'!Q18+Motorcycle!Q18</f>
        <v>9902.6959465455948</v>
      </c>
      <c r="R18" s="57">
        <f>'All Light Vehicles'!R18+'Heavy Truck'!R18+'Heavy Bus'!R18+Motorcycle!R18</f>
        <v>10279.261161002893</v>
      </c>
    </row>
    <row r="19" spans="3:18" ht="16" x14ac:dyDescent="0.2">
      <c r="C19" s="24" t="s">
        <v>12</v>
      </c>
      <c r="D19" s="55">
        <f>'All Light Vehicles'!D19+'Heavy Truck'!D19+'Heavy Bus'!D19+Motorcycle!D19</f>
        <v>2120.2818548333039</v>
      </c>
      <c r="E19" s="56">
        <f>'All Light Vehicles'!E19+'Heavy Truck'!E19+'Heavy Bus'!E19+Motorcycle!E19</f>
        <v>2199.3215441845468</v>
      </c>
      <c r="F19" s="56">
        <f>'All Light Vehicles'!F19+'Heavy Truck'!F19+'Heavy Bus'!F19+Motorcycle!F19</f>
        <v>2284.3397164209373</v>
      </c>
      <c r="G19" s="56">
        <f>'All Light Vehicles'!G19+'Heavy Truck'!G19+'Heavy Bus'!G19+Motorcycle!G19</f>
        <v>2382.1898569645441</v>
      </c>
      <c r="H19" s="56">
        <f>'All Light Vehicles'!H19+'Heavy Truck'!H19+'Heavy Bus'!H19+Motorcycle!H19</f>
        <v>2488.9595210479411</v>
      </c>
      <c r="I19" s="56">
        <f>'All Light Vehicles'!I19+'Heavy Truck'!I19+'Heavy Bus'!I19+Motorcycle!I19</f>
        <v>2720.2709957211955</v>
      </c>
      <c r="J19" s="56">
        <f>'All Light Vehicles'!J19+'Heavy Truck'!J19+'Heavy Bus'!J19+Motorcycle!J19</f>
        <v>2870.7499204792789</v>
      </c>
      <c r="K19" s="56">
        <f>'All Light Vehicles'!K19+'Heavy Truck'!K19+'Heavy Bus'!K19+Motorcycle!K19</f>
        <v>3036.0535193530504</v>
      </c>
      <c r="L19" s="56">
        <f>'All Light Vehicles'!L19+'Heavy Truck'!L19+'Heavy Bus'!L19+Motorcycle!L19</f>
        <v>3207.3098875007367</v>
      </c>
      <c r="M19" s="56">
        <f>'All Light Vehicles'!M19+'Heavy Truck'!M19+'Heavy Bus'!M19+Motorcycle!M19</f>
        <v>3348.2424726830131</v>
      </c>
      <c r="N19" s="56">
        <f>'All Light Vehicles'!N19+'Heavy Truck'!N19+'Heavy Bus'!N19+Motorcycle!N19</f>
        <v>3465.4408204833953</v>
      </c>
      <c r="O19" s="56">
        <f>'All Light Vehicles'!O19+'Heavy Truck'!O19+'Heavy Bus'!O19+Motorcycle!O19</f>
        <v>3581.3103955169781</v>
      </c>
      <c r="P19" s="56">
        <f>'All Light Vehicles'!P19+'Heavy Truck'!P19+'Heavy Bus'!P19+Motorcycle!P19</f>
        <v>3695.7396378646745</v>
      </c>
      <c r="Q19" s="56">
        <f>'All Light Vehicles'!Q19+'Heavy Truck'!Q19+'Heavy Bus'!Q19+Motorcycle!Q19</f>
        <v>3800.2041153318219</v>
      </c>
      <c r="R19" s="57">
        <f>'All Light Vehicles'!R19+'Heavy Truck'!R19+'Heavy Bus'!R19+Motorcycle!R19</f>
        <v>3893.1463614640429</v>
      </c>
    </row>
    <row r="20" spans="3:18" ht="17" thickBot="1" x14ac:dyDescent="0.25">
      <c r="C20" s="25" t="s">
        <v>13</v>
      </c>
      <c r="D20" s="58">
        <f>'All Light Vehicles'!D20+'Heavy Truck'!D20+'Heavy Bus'!D20+Motorcycle!D20</f>
        <v>1094.3333164624103</v>
      </c>
      <c r="E20" s="59">
        <f>'All Light Vehicles'!E20+'Heavy Truck'!E20+'Heavy Bus'!E20+Motorcycle!E20</f>
        <v>1126.3475292882101</v>
      </c>
      <c r="F20" s="59">
        <f>'All Light Vehicles'!F20+'Heavy Truck'!F20+'Heavy Bus'!F20+Motorcycle!F20</f>
        <v>1095.2041423691005</v>
      </c>
      <c r="G20" s="59">
        <f>'All Light Vehicles'!G20+'Heavy Truck'!G20+'Heavy Bus'!G20+Motorcycle!G20</f>
        <v>1231.5681044048001</v>
      </c>
      <c r="H20" s="59">
        <f>'All Light Vehicles'!H20+'Heavy Truck'!H20+'Heavy Bus'!H20+Motorcycle!H20</f>
        <v>1262.3968192333227</v>
      </c>
      <c r="I20" s="59">
        <f>'All Light Vehicles'!I20+'Heavy Truck'!I20+'Heavy Bus'!I20+Motorcycle!I20</f>
        <v>1301.8397566492306</v>
      </c>
      <c r="J20" s="59">
        <f>'All Light Vehicles'!J20+'Heavy Truck'!J20+'Heavy Bus'!J20+Motorcycle!J20</f>
        <v>1448.1005381610703</v>
      </c>
      <c r="K20" s="59">
        <f>'All Light Vehicles'!K20+'Heavy Truck'!K20+'Heavy Bus'!K20+Motorcycle!K20</f>
        <v>1483.393801861512</v>
      </c>
      <c r="L20" s="59">
        <f>'All Light Vehicles'!L20+'Heavy Truck'!L20+'Heavy Bus'!L20+Motorcycle!L20</f>
        <v>1517.7026284278197</v>
      </c>
      <c r="M20" s="59">
        <f>'All Light Vehicles'!M20+'Heavy Truck'!M20+'Heavy Bus'!M20+Motorcycle!M20</f>
        <v>1537.9711058548037</v>
      </c>
      <c r="N20" s="59">
        <f>'All Light Vehicles'!N20+'Heavy Truck'!N20+'Heavy Bus'!N20+Motorcycle!N20</f>
        <v>1545.5740730356727</v>
      </c>
      <c r="O20" s="59">
        <f>'All Light Vehicles'!O20+'Heavy Truck'!O20+'Heavy Bus'!O20+Motorcycle!O20</f>
        <v>1550.8123217432983</v>
      </c>
      <c r="P20" s="59">
        <f>'All Light Vehicles'!P20+'Heavy Truck'!P20+'Heavy Bus'!P20+Motorcycle!P20</f>
        <v>1554.9691957867301</v>
      </c>
      <c r="Q20" s="59">
        <f>'All Light Vehicles'!Q20+'Heavy Truck'!Q20+'Heavy Bus'!Q20+Motorcycle!Q20</f>
        <v>1554.0382756653303</v>
      </c>
      <c r="R20" s="60">
        <f>'All Light Vehicles'!R20+'Heavy Truck'!R20+'Heavy Bus'!R20+Motorcycle!R20</f>
        <v>1548.0674110908976</v>
      </c>
    </row>
    <row r="21" spans="3:18" ht="19" thickTop="1" thickBot="1" x14ac:dyDescent="0.25">
      <c r="C21" s="31" t="s">
        <v>24</v>
      </c>
      <c r="D21" s="61">
        <f t="shared" ref="D21:O21" si="0">SUM(D7:D20)</f>
        <v>40430.521593400001</v>
      </c>
      <c r="E21" s="62">
        <f t="shared" si="0"/>
        <v>41375.093957280005</v>
      </c>
      <c r="F21" s="62">
        <f t="shared" si="0"/>
        <v>42690.807602500012</v>
      </c>
      <c r="G21" s="62">
        <f t="shared" ref="G21:H21" si="1">SUM(G7:G20)</f>
        <v>44500.683306729981</v>
      </c>
      <c r="H21" s="62">
        <f t="shared" si="1"/>
        <v>46243.37626588998</v>
      </c>
      <c r="I21" s="62">
        <f t="shared" si="0"/>
        <v>47679.65049236999</v>
      </c>
      <c r="J21" s="62">
        <f t="shared" ref="J21" si="2">SUM(J7:J20)</f>
        <v>49747.388825439324</v>
      </c>
      <c r="K21" s="62">
        <f t="shared" si="0"/>
        <v>52902.059828552614</v>
      </c>
      <c r="L21" s="62">
        <f t="shared" si="0"/>
        <v>56328.349847484104</v>
      </c>
      <c r="M21" s="62">
        <f t="shared" si="0"/>
        <v>59323.328788049643</v>
      </c>
      <c r="N21" s="62">
        <f t="shared" si="0"/>
        <v>61850.474541824908</v>
      </c>
      <c r="O21" s="62">
        <f t="shared" si="0"/>
        <v>64359.105828020321</v>
      </c>
      <c r="P21" s="62">
        <f t="shared" ref="P21:R21" si="3">SUM(P7:P20)</f>
        <v>66929.00642066414</v>
      </c>
      <c r="Q21" s="62">
        <f t="shared" si="3"/>
        <v>69369.349004705786</v>
      </c>
      <c r="R21" s="63">
        <f t="shared" si="3"/>
        <v>71652.508993778581</v>
      </c>
    </row>
    <row r="22" spans="3:18" ht="14" thickTop="1" x14ac:dyDescent="0.15"/>
    <row r="23" spans="3:18" ht="14" thickBot="1" x14ac:dyDescent="0.2"/>
    <row r="24" spans="3:18" ht="17" thickTop="1" x14ac:dyDescent="0.2">
      <c r="C24" s="32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</row>
    <row r="25" spans="3:18" ht="14" thickBot="1" x14ac:dyDescent="0.2">
      <c r="C25" s="18"/>
      <c r="D25" s="65" t="s">
        <v>25</v>
      </c>
      <c r="E25" s="65" t="s">
        <v>37</v>
      </c>
      <c r="F25" s="65" t="s">
        <v>38</v>
      </c>
      <c r="G25" s="37" t="s">
        <v>177</v>
      </c>
      <c r="H25" s="37" t="s">
        <v>178</v>
      </c>
      <c r="I25" s="65" t="s">
        <v>26</v>
      </c>
      <c r="J25" s="65"/>
      <c r="K25" s="65" t="s">
        <v>27</v>
      </c>
      <c r="L25" s="65" t="s">
        <v>28</v>
      </c>
      <c r="M25" s="65" t="s">
        <v>29</v>
      </c>
      <c r="N25" s="65" t="s">
        <v>30</v>
      </c>
      <c r="O25" s="65" t="s">
        <v>31</v>
      </c>
      <c r="P25" s="37" t="s">
        <v>174</v>
      </c>
      <c r="Q25" s="37" t="s">
        <v>175</v>
      </c>
      <c r="R25" s="38" t="s">
        <v>176</v>
      </c>
    </row>
    <row r="26" spans="3:18" ht="15" thickTop="1" thickBot="1" x14ac:dyDescent="0.2">
      <c r="C26" s="70"/>
      <c r="D26" s="71" t="s">
        <v>39</v>
      </c>
      <c r="E26" s="71" t="s">
        <v>39</v>
      </c>
      <c r="F26" s="71" t="s">
        <v>39</v>
      </c>
      <c r="G26" s="65" t="s">
        <v>39</v>
      </c>
      <c r="H26" s="65" t="s">
        <v>39</v>
      </c>
      <c r="I26" s="71" t="s">
        <v>39</v>
      </c>
      <c r="J26" s="71" t="s">
        <v>39</v>
      </c>
      <c r="K26" s="71" t="s">
        <v>32</v>
      </c>
      <c r="L26" s="71" t="s">
        <v>32</v>
      </c>
      <c r="M26" s="71" t="s">
        <v>32</v>
      </c>
      <c r="N26" s="71" t="s">
        <v>32</v>
      </c>
      <c r="O26" s="71" t="s">
        <v>32</v>
      </c>
      <c r="P26" s="65" t="s">
        <v>32</v>
      </c>
      <c r="Q26" s="65" t="s">
        <v>32</v>
      </c>
      <c r="R26" s="66" t="s">
        <v>32</v>
      </c>
    </row>
    <row r="27" spans="3:18" ht="19" thickTop="1" thickBot="1" x14ac:dyDescent="0.25">
      <c r="C27" s="20" t="s">
        <v>24</v>
      </c>
      <c r="D27" s="48">
        <f>'All Light Vehicles'!D42+'Heavy Truck'!D28+'Heavy Bus'!D28+Motorcycle!D42</f>
        <v>3496589.9999999995</v>
      </c>
      <c r="E27" s="48">
        <f>'All Light Vehicles'!E42+'Heavy Truck'!E28+'Heavy Bus'!E28+Motorcycle!E42</f>
        <v>3601758</v>
      </c>
      <c r="F27" s="48">
        <f>'All Light Vehicles'!F42+'Heavy Truck'!F28+'Heavy Bus'!F28+Motorcycle!F42</f>
        <v>3740660.9999999995</v>
      </c>
      <c r="G27" s="48">
        <f>'All Light Vehicles'!G42+'Heavy Truck'!G28+'Heavy Bus'!G28+Motorcycle!G42</f>
        <v>3894357.9999999995</v>
      </c>
      <c r="H27" s="48">
        <f>'All Light Vehicles'!H42+'Heavy Truck'!H28+'Heavy Bus'!H28+Motorcycle!H42</f>
        <v>4064335.0000000005</v>
      </c>
      <c r="I27" s="48">
        <f>'All Light Vehicles'!I42+'Heavy Truck'!I28+'Heavy Bus'!I28+Motorcycle!I42</f>
        <v>4186902.7003339864</v>
      </c>
      <c r="J27" s="48">
        <f>'All Light Vehicles'!J42+'Heavy Truck'!J28+'Heavy Bus'!J28+Motorcycle!J42</f>
        <v>4314622.259138599</v>
      </c>
      <c r="K27" s="48">
        <f>'All Light Vehicles'!K42+'Heavy Truck'!K28+'Heavy Bus'!K28+Motorcycle!K42</f>
        <v>4616922.9359845929</v>
      </c>
      <c r="L27" s="48">
        <f>'All Light Vehicles'!L42+'Heavy Truck'!L28+'Heavy Bus'!L28+Motorcycle!L42</f>
        <v>4838625.9293463565</v>
      </c>
      <c r="M27" s="48">
        <f>'All Light Vehicles'!M42+'Heavy Truck'!M28+'Heavy Bus'!M28+Motorcycle!M42</f>
        <v>4999169.1687369626</v>
      </c>
      <c r="N27" s="48">
        <f>'All Light Vehicles'!N42+'Heavy Truck'!N28+'Heavy Bus'!N28+Motorcycle!N42</f>
        <v>5107713.8336062934</v>
      </c>
      <c r="O27" s="48">
        <f>'All Light Vehicles'!O42+'Heavy Truck'!O28+'Heavy Bus'!O28+Motorcycle!O42</f>
        <v>5211213.8117550127</v>
      </c>
      <c r="P27" s="48">
        <f>'All Light Vehicles'!P42+'Heavy Truck'!P28+'Heavy Bus'!P28+Motorcycle!P42</f>
        <v>5258331.1172595229</v>
      </c>
      <c r="Q27" s="48">
        <f>'All Light Vehicles'!Q42+'Heavy Truck'!Q28+'Heavy Bus'!Q28+Motorcycle!Q42</f>
        <v>5288692.7559272628</v>
      </c>
      <c r="R27" s="49">
        <f>'All Light Vehicles'!R42+'Heavy Truck'!R28+'Heavy Bus'!R28+Motorcycle!R42</f>
        <v>5302523.0259325923</v>
      </c>
    </row>
    <row r="28" spans="3:18" ht="14" thickTop="1" x14ac:dyDescent="0.15"/>
  </sheetData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C3:R166"/>
  <sheetViews>
    <sheetView zoomScale="90" zoomScaleNormal="90" workbookViewId="0">
      <selection activeCell="J1" sqref="J1"/>
    </sheetView>
  </sheetViews>
  <sheetFormatPr baseColWidth="10" defaultColWidth="8.83203125" defaultRowHeight="13" x14ac:dyDescent="0.15"/>
  <cols>
    <col min="3" max="3" width="27.6640625" customWidth="1"/>
    <col min="4" max="18" width="17.6640625" customWidth="1"/>
  </cols>
  <sheetData>
    <row r="3" spans="3:18" ht="14" thickBot="1" x14ac:dyDescent="0.2"/>
    <row r="4" spans="3:18" ht="17" thickTop="1" x14ac:dyDescent="0.2">
      <c r="C4" s="32" t="s">
        <v>158</v>
      </c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34"/>
      <c r="Q4" s="34"/>
      <c r="R4" s="35"/>
    </row>
    <row r="5" spans="3:18" ht="14" thickBot="1" x14ac:dyDescent="0.2">
      <c r="C5" s="36"/>
      <c r="D5" s="37" t="s">
        <v>25</v>
      </c>
      <c r="E5" s="37" t="s">
        <v>37</v>
      </c>
      <c r="F5" s="37" t="s">
        <v>38</v>
      </c>
      <c r="G5" s="37" t="s">
        <v>177</v>
      </c>
      <c r="H5" s="37" t="s">
        <v>178</v>
      </c>
      <c r="I5" s="37" t="s">
        <v>26</v>
      </c>
      <c r="J5" s="37" t="s">
        <v>183</v>
      </c>
      <c r="K5" s="37" t="s">
        <v>27</v>
      </c>
      <c r="L5" s="37" t="s">
        <v>28</v>
      </c>
      <c r="M5" s="37" t="s">
        <v>29</v>
      </c>
      <c r="N5" s="37" t="s">
        <v>30</v>
      </c>
      <c r="O5" s="37" t="s">
        <v>31</v>
      </c>
      <c r="P5" s="37" t="s">
        <v>174</v>
      </c>
      <c r="Q5" s="37" t="s">
        <v>175</v>
      </c>
      <c r="R5" s="38" t="s">
        <v>176</v>
      </c>
    </row>
    <row r="6" spans="3:18" ht="15" thickTop="1" thickBot="1" x14ac:dyDescent="0.2">
      <c r="C6" s="70"/>
      <c r="D6" s="65" t="s">
        <v>39</v>
      </c>
      <c r="E6" s="65" t="s">
        <v>39</v>
      </c>
      <c r="F6" s="65" t="s">
        <v>39</v>
      </c>
      <c r="G6" s="65" t="s">
        <v>39</v>
      </c>
      <c r="H6" s="65" t="s">
        <v>39</v>
      </c>
      <c r="I6" s="65" t="s">
        <v>39</v>
      </c>
      <c r="J6" s="65" t="s">
        <v>39</v>
      </c>
      <c r="K6" s="65" t="s">
        <v>32</v>
      </c>
      <c r="L6" s="65" t="s">
        <v>32</v>
      </c>
      <c r="M6" s="65" t="s">
        <v>32</v>
      </c>
      <c r="N6" s="65" t="s">
        <v>32</v>
      </c>
      <c r="O6" s="65" t="s">
        <v>32</v>
      </c>
      <c r="P6" s="65" t="s">
        <v>32</v>
      </c>
      <c r="Q6" s="65" t="s">
        <v>32</v>
      </c>
      <c r="R6" s="66" t="s">
        <v>32</v>
      </c>
    </row>
    <row r="7" spans="3:18" ht="17" thickTop="1" x14ac:dyDescent="0.2">
      <c r="C7" s="24" t="s">
        <v>0</v>
      </c>
      <c r="D7" s="52">
        <f t="shared" ref="D7:R21" si="0">D49+D90+D131</f>
        <v>1465.9001788699015</v>
      </c>
      <c r="E7" s="53">
        <f t="shared" si="0"/>
        <v>1542.577036066582</v>
      </c>
      <c r="F7" s="53">
        <f t="shared" si="0"/>
        <v>1594.2837917122906</v>
      </c>
      <c r="G7" s="53">
        <f t="shared" ref="G7:H7" si="1">G49+G90+G131</f>
        <v>1669.2193281241061</v>
      </c>
      <c r="H7" s="53">
        <f t="shared" si="1"/>
        <v>1708.0208376151754</v>
      </c>
      <c r="I7" s="53">
        <f t="shared" si="0"/>
        <v>1866.0344159903905</v>
      </c>
      <c r="J7" s="53">
        <f t="shared" ref="J7" si="2">J49+J90+J131</f>
        <v>1966.8387950823508</v>
      </c>
      <c r="K7" s="53">
        <f t="shared" si="0"/>
        <v>2067.5574665052741</v>
      </c>
      <c r="L7" s="53">
        <f t="shared" si="0"/>
        <v>2167.4363862988644</v>
      </c>
      <c r="M7" s="53">
        <f t="shared" si="0"/>
        <v>2243.9331557754144</v>
      </c>
      <c r="N7" s="53">
        <f t="shared" si="0"/>
        <v>2299.4956009327002</v>
      </c>
      <c r="O7" s="53">
        <f t="shared" si="0"/>
        <v>2348.5483335250237</v>
      </c>
      <c r="P7" s="53">
        <f t="shared" si="0"/>
        <v>2393.8941834881539</v>
      </c>
      <c r="Q7" s="53">
        <f t="shared" si="0"/>
        <v>2431.0122348965283</v>
      </c>
      <c r="R7" s="54">
        <f t="shared" si="0"/>
        <v>2459.8143534786495</v>
      </c>
    </row>
    <row r="8" spans="3:18" ht="16" x14ac:dyDescent="0.2">
      <c r="C8" s="24" t="s">
        <v>1</v>
      </c>
      <c r="D8" s="55">
        <f t="shared" ref="D8:O8" si="3">D50+D91+D132</f>
        <v>11456.032535185113</v>
      </c>
      <c r="E8" s="56">
        <f t="shared" si="3"/>
        <v>11658.602745396805</v>
      </c>
      <c r="F8" s="56">
        <f t="shared" si="3"/>
        <v>11886.231449157227</v>
      </c>
      <c r="G8" s="56">
        <f t="shared" ref="G8:H8" si="4">G50+G91+G132</f>
        <v>12217.713823559432</v>
      </c>
      <c r="H8" s="56">
        <f t="shared" si="4"/>
        <v>12750.927489676304</v>
      </c>
      <c r="I8" s="56">
        <f t="shared" si="3"/>
        <v>12595.707071180066</v>
      </c>
      <c r="J8" s="56">
        <f t="shared" ref="J8" si="5">J50+J91+J132</f>
        <v>13369.822695275265</v>
      </c>
      <c r="K8" s="56">
        <f t="shared" si="3"/>
        <v>14621.486595606802</v>
      </c>
      <c r="L8" s="56">
        <f t="shared" si="3"/>
        <v>15972.929757158347</v>
      </c>
      <c r="M8" s="56">
        <f t="shared" si="3"/>
        <v>17254.300265263784</v>
      </c>
      <c r="N8" s="56">
        <f t="shared" si="3"/>
        <v>18428.638164079377</v>
      </c>
      <c r="O8" s="56">
        <f t="shared" si="3"/>
        <v>19624.182160739147</v>
      </c>
      <c r="P8" s="56">
        <f t="shared" si="0"/>
        <v>20857.141085191706</v>
      </c>
      <c r="Q8" s="56">
        <f t="shared" si="0"/>
        <v>22079.011116416888</v>
      </c>
      <c r="R8" s="57">
        <f t="shared" si="0"/>
        <v>23272.411067060806</v>
      </c>
    </row>
    <row r="9" spans="3:18" ht="16" x14ac:dyDescent="0.2">
      <c r="C9" s="24" t="s">
        <v>2</v>
      </c>
      <c r="D9" s="55">
        <f t="shared" ref="D9:O9" si="6">D51+D92+D133</f>
        <v>4736.0314982125001</v>
      </c>
      <c r="E9" s="56">
        <f t="shared" si="6"/>
        <v>4664.7571808219627</v>
      </c>
      <c r="F9" s="56">
        <f t="shared" si="6"/>
        <v>4887.2130310719922</v>
      </c>
      <c r="G9" s="56">
        <f t="shared" ref="G9:H9" si="7">G51+G92+G133</f>
        <v>5164.2455879200506</v>
      </c>
      <c r="H9" s="56">
        <f t="shared" si="7"/>
        <v>5467.3405339500423</v>
      </c>
      <c r="I9" s="56">
        <f t="shared" si="6"/>
        <v>5874.5254066518573</v>
      </c>
      <c r="J9" s="56">
        <f t="shared" ref="J9" si="8">J51+J92+J133</f>
        <v>6126.459033007266</v>
      </c>
      <c r="K9" s="56">
        <f t="shared" si="6"/>
        <v>6529.0708670834883</v>
      </c>
      <c r="L9" s="56">
        <f t="shared" si="6"/>
        <v>6966.1222782057739</v>
      </c>
      <c r="M9" s="56">
        <f t="shared" si="6"/>
        <v>7341.1962057317796</v>
      </c>
      <c r="N9" s="56">
        <f t="shared" si="6"/>
        <v>7662.2182200120278</v>
      </c>
      <c r="O9" s="56">
        <f t="shared" si="6"/>
        <v>7980.5799323211049</v>
      </c>
      <c r="P9" s="56">
        <f t="shared" si="0"/>
        <v>8295.7413545871223</v>
      </c>
      <c r="Q9" s="56">
        <f t="shared" si="0"/>
        <v>8589.640025638877</v>
      </c>
      <c r="R9" s="57">
        <f t="shared" si="0"/>
        <v>8859.0173853624437</v>
      </c>
    </row>
    <row r="10" spans="3:18" ht="16" x14ac:dyDescent="0.2">
      <c r="C10" s="24" t="s">
        <v>3</v>
      </c>
      <c r="D10" s="55">
        <f t="shared" ref="D10:O10" si="9">D52+D93+D134</f>
        <v>2367.2609167102041</v>
      </c>
      <c r="E10" s="56">
        <f t="shared" si="9"/>
        <v>2461.6362214981746</v>
      </c>
      <c r="F10" s="56">
        <f t="shared" si="9"/>
        <v>2479.2661163010935</v>
      </c>
      <c r="G10" s="56">
        <f t="shared" ref="G10:H10" si="10">G52+G93+G134</f>
        <v>2578.5851118006385</v>
      </c>
      <c r="H10" s="56">
        <f t="shared" si="10"/>
        <v>2933.2001445744299</v>
      </c>
      <c r="I10" s="56">
        <f t="shared" si="9"/>
        <v>2896.0249983227359</v>
      </c>
      <c r="J10" s="56">
        <f t="shared" ref="J10" si="11">J52+J93+J134</f>
        <v>3017.9672638722209</v>
      </c>
      <c r="K10" s="56">
        <f t="shared" si="9"/>
        <v>3198.0543065291308</v>
      </c>
      <c r="L10" s="56">
        <f t="shared" si="9"/>
        <v>3388.1607200141343</v>
      </c>
      <c r="M10" s="56">
        <f t="shared" si="9"/>
        <v>3546.6593538682237</v>
      </c>
      <c r="N10" s="56">
        <f t="shared" si="9"/>
        <v>3675.6371034997851</v>
      </c>
      <c r="O10" s="56">
        <f t="shared" si="9"/>
        <v>3801.5117214485681</v>
      </c>
      <c r="P10" s="56">
        <f t="shared" si="0"/>
        <v>3923.8427269323661</v>
      </c>
      <c r="Q10" s="56">
        <f t="shared" si="0"/>
        <v>4034.4332891079093</v>
      </c>
      <c r="R10" s="57">
        <f t="shared" si="0"/>
        <v>4132.0546259472212</v>
      </c>
    </row>
    <row r="11" spans="3:18" ht="16" x14ac:dyDescent="0.2">
      <c r="C11" s="24" t="s">
        <v>4</v>
      </c>
      <c r="D11" s="55">
        <f t="shared" ref="D11:O11" si="12">D53+D94+D135</f>
        <v>337.84405488217305</v>
      </c>
      <c r="E11" s="56">
        <f t="shared" si="12"/>
        <v>342.66695755799697</v>
      </c>
      <c r="F11" s="56">
        <f t="shared" si="12"/>
        <v>360.38298607666002</v>
      </c>
      <c r="G11" s="56">
        <f t="shared" ref="G11:H11" si="13">G53+G94+G135</f>
        <v>373.70726479904835</v>
      </c>
      <c r="H11" s="56">
        <f t="shared" si="13"/>
        <v>366.07324288196833</v>
      </c>
      <c r="I11" s="56">
        <f t="shared" si="12"/>
        <v>375.49782955812645</v>
      </c>
      <c r="J11" s="56">
        <f t="shared" ref="J11" si="14">J53+J94+J135</f>
        <v>379.59432598085328</v>
      </c>
      <c r="K11" s="56">
        <f t="shared" si="12"/>
        <v>392.26403136268038</v>
      </c>
      <c r="L11" s="56">
        <f t="shared" si="12"/>
        <v>406.40506520794742</v>
      </c>
      <c r="M11" s="56">
        <f t="shared" si="12"/>
        <v>416.24504744192024</v>
      </c>
      <c r="N11" s="56">
        <f t="shared" si="12"/>
        <v>421.58665891842702</v>
      </c>
      <c r="O11" s="56">
        <f t="shared" si="12"/>
        <v>426.14754458906447</v>
      </c>
      <c r="P11" s="56">
        <f t="shared" si="0"/>
        <v>429.90613471965469</v>
      </c>
      <c r="Q11" s="56">
        <f t="shared" si="0"/>
        <v>432.00952041013448</v>
      </c>
      <c r="R11" s="57">
        <f t="shared" si="0"/>
        <v>432.44428793907963</v>
      </c>
    </row>
    <row r="12" spans="3:18" ht="16" x14ac:dyDescent="0.2">
      <c r="C12" s="24" t="s">
        <v>5</v>
      </c>
      <c r="D12" s="55">
        <f t="shared" ref="D12:O12" si="15">D54+D95+D136</f>
        <v>1299.1644269156866</v>
      </c>
      <c r="E12" s="56">
        <f t="shared" si="15"/>
        <v>1299.3447856024943</v>
      </c>
      <c r="F12" s="56">
        <f t="shared" si="15"/>
        <v>1364.7269388919881</v>
      </c>
      <c r="G12" s="56">
        <f t="shared" ref="G12:H12" si="16">G54+G95+G136</f>
        <v>1435.8468313325827</v>
      </c>
      <c r="H12" s="56">
        <f t="shared" si="16"/>
        <v>1492.4432562835455</v>
      </c>
      <c r="I12" s="56">
        <f t="shared" si="15"/>
        <v>1525.8385485047925</v>
      </c>
      <c r="J12" s="56">
        <f t="shared" ref="J12" si="17">J54+J95+J136</f>
        <v>1617.6049201768114</v>
      </c>
      <c r="K12" s="56">
        <f t="shared" si="15"/>
        <v>1674.0155295959266</v>
      </c>
      <c r="L12" s="56">
        <f t="shared" si="15"/>
        <v>1735.5912502254973</v>
      </c>
      <c r="M12" s="56">
        <f t="shared" si="15"/>
        <v>1777.0665894167598</v>
      </c>
      <c r="N12" s="56">
        <f t="shared" si="15"/>
        <v>1802.1794529410638</v>
      </c>
      <c r="O12" s="56">
        <f t="shared" si="15"/>
        <v>1822.9529241630667</v>
      </c>
      <c r="P12" s="56">
        <f t="shared" si="0"/>
        <v>1840.3688321258908</v>
      </c>
      <c r="Q12" s="56">
        <f t="shared" si="0"/>
        <v>1850.9048702132602</v>
      </c>
      <c r="R12" s="57">
        <f t="shared" si="0"/>
        <v>1854.4814918720649</v>
      </c>
    </row>
    <row r="13" spans="3:18" ht="16" x14ac:dyDescent="0.2">
      <c r="C13" s="24" t="s">
        <v>6</v>
      </c>
      <c r="D13" s="55">
        <f t="shared" ref="D13:O13" si="18">D55+D96+D137</f>
        <v>901.13286110877527</v>
      </c>
      <c r="E13" s="56">
        <f t="shared" si="18"/>
        <v>928.77839405858629</v>
      </c>
      <c r="F13" s="56">
        <f t="shared" si="18"/>
        <v>966.1067400862222</v>
      </c>
      <c r="G13" s="56">
        <f t="shared" ref="G13:H13" si="19">G55+G96+G137</f>
        <v>1004.8171384902989</v>
      </c>
      <c r="H13" s="56">
        <f t="shared" si="19"/>
        <v>1033.9423409358722</v>
      </c>
      <c r="I13" s="56">
        <f t="shared" si="18"/>
        <v>1078.246466385486</v>
      </c>
      <c r="J13" s="56">
        <f t="shared" ref="J13" si="20">J55+J96+J137</f>
        <v>1052.5249601497965</v>
      </c>
      <c r="K13" s="56">
        <f t="shared" si="18"/>
        <v>1095.3699281615786</v>
      </c>
      <c r="L13" s="56">
        <f t="shared" si="18"/>
        <v>1146.1042799888901</v>
      </c>
      <c r="M13" s="56">
        <f t="shared" si="18"/>
        <v>1186.7586698408454</v>
      </c>
      <c r="N13" s="56">
        <f t="shared" si="18"/>
        <v>1218.8230997406913</v>
      </c>
      <c r="O13" s="56">
        <f t="shared" si="18"/>
        <v>1249.9474121306455</v>
      </c>
      <c r="P13" s="56">
        <f t="shared" si="0"/>
        <v>1279.2052910328789</v>
      </c>
      <c r="Q13" s="56">
        <f t="shared" si="0"/>
        <v>1304.205695427263</v>
      </c>
      <c r="R13" s="57">
        <f t="shared" si="0"/>
        <v>1324.9024643938315</v>
      </c>
    </row>
    <row r="14" spans="3:18" ht="16" x14ac:dyDescent="0.2">
      <c r="C14" s="24" t="s">
        <v>7</v>
      </c>
      <c r="D14" s="55">
        <f t="shared" ref="D14:O14" si="21">D56+D97+D138</f>
        <v>2098.4702717037394</v>
      </c>
      <c r="E14" s="56">
        <f t="shared" si="21"/>
        <v>2132.7435761949328</v>
      </c>
      <c r="F14" s="56">
        <f t="shared" si="21"/>
        <v>2182.0577739367818</v>
      </c>
      <c r="G14" s="56">
        <f t="shared" ref="G14:H14" si="22">G56+G97+G138</f>
        <v>2296.8826558480814</v>
      </c>
      <c r="H14" s="56">
        <f t="shared" si="22"/>
        <v>2364.9601664571501</v>
      </c>
      <c r="I14" s="56">
        <f t="shared" si="21"/>
        <v>2365.6198771224999</v>
      </c>
      <c r="J14" s="56">
        <f t="shared" ref="J14" si="23">J56+J97+J138</f>
        <v>2449.8670200705519</v>
      </c>
      <c r="K14" s="56">
        <f t="shared" si="21"/>
        <v>2526.5885026615679</v>
      </c>
      <c r="L14" s="56">
        <f t="shared" si="21"/>
        <v>2606.8004403876562</v>
      </c>
      <c r="M14" s="56">
        <f t="shared" si="21"/>
        <v>2660.8041018409876</v>
      </c>
      <c r="N14" s="56">
        <f t="shared" si="21"/>
        <v>2691.0240221436165</v>
      </c>
      <c r="O14" s="56">
        <f t="shared" si="21"/>
        <v>2714.76991660663</v>
      </c>
      <c r="P14" s="56">
        <f t="shared" si="0"/>
        <v>2733.3428473054273</v>
      </c>
      <c r="Q14" s="56">
        <f t="shared" si="0"/>
        <v>2741.7502247597799</v>
      </c>
      <c r="R14" s="57">
        <f t="shared" si="0"/>
        <v>2740.2163931794125</v>
      </c>
    </row>
    <row r="15" spans="3:18" ht="16" x14ac:dyDescent="0.2">
      <c r="C15" s="24" t="s">
        <v>8</v>
      </c>
      <c r="D15" s="55">
        <f t="shared" ref="D15:O15" si="24">D57+D98+D139</f>
        <v>3192.5352082107593</v>
      </c>
      <c r="E15" s="56">
        <f t="shared" si="24"/>
        <v>3262.1054527371248</v>
      </c>
      <c r="F15" s="56">
        <f t="shared" si="24"/>
        <v>3506.0921557604993</v>
      </c>
      <c r="G15" s="56">
        <f t="shared" ref="G15:H15" si="25">G57+G98+G139</f>
        <v>3433.8432317825354</v>
      </c>
      <c r="H15" s="56">
        <f t="shared" si="25"/>
        <v>3429.4907148351572</v>
      </c>
      <c r="I15" s="56">
        <f t="shared" si="24"/>
        <v>3607.7242781883965</v>
      </c>
      <c r="J15" s="56">
        <f t="shared" ref="J15" si="26">J57+J98+J139</f>
        <v>3712.1526784401622</v>
      </c>
      <c r="K15" s="56">
        <f t="shared" si="24"/>
        <v>3881.5082125193167</v>
      </c>
      <c r="L15" s="56">
        <f t="shared" si="24"/>
        <v>4068.2893938448015</v>
      </c>
      <c r="M15" s="56">
        <f t="shared" si="24"/>
        <v>4222.8660493122989</v>
      </c>
      <c r="N15" s="56">
        <f t="shared" si="24"/>
        <v>4344.9625954437024</v>
      </c>
      <c r="O15" s="56">
        <f t="shared" si="24"/>
        <v>4459.4275869370922</v>
      </c>
      <c r="P15" s="56">
        <f t="shared" si="0"/>
        <v>4566.2328979378362</v>
      </c>
      <c r="Q15" s="56">
        <f t="shared" si="0"/>
        <v>4658.3226453741836</v>
      </c>
      <c r="R15" s="57">
        <f t="shared" si="0"/>
        <v>4735.2653995264236</v>
      </c>
    </row>
    <row r="16" spans="3:18" ht="16" x14ac:dyDescent="0.2">
      <c r="C16" s="24" t="s">
        <v>9</v>
      </c>
      <c r="D16" s="55">
        <f t="shared" ref="D16:O16" si="27">D58+D99+D140</f>
        <v>1147.899956867187</v>
      </c>
      <c r="E16" s="56">
        <f t="shared" si="27"/>
        <v>1169.8650359152091</v>
      </c>
      <c r="F16" s="56">
        <f t="shared" si="27"/>
        <v>1121.7235435958335</v>
      </c>
      <c r="G16" s="56">
        <f t="shared" ref="G16:H16" si="28">G58+G99+G140</f>
        <v>1312.1780976948098</v>
      </c>
      <c r="H16" s="56">
        <f t="shared" si="28"/>
        <v>1367.276777376818</v>
      </c>
      <c r="I16" s="56">
        <f t="shared" si="27"/>
        <v>1460.4029623655167</v>
      </c>
      <c r="J16" s="56">
        <f t="shared" ref="J16" si="29">J58+J99+J140</f>
        <v>1486.4286072893867</v>
      </c>
      <c r="K16" s="56">
        <f t="shared" si="27"/>
        <v>1552.183433238881</v>
      </c>
      <c r="L16" s="56">
        <f t="shared" si="27"/>
        <v>1626.6165962725954</v>
      </c>
      <c r="M16" s="56">
        <f t="shared" si="27"/>
        <v>1682.8407126758411</v>
      </c>
      <c r="N16" s="56">
        <f t="shared" si="27"/>
        <v>1723.3090411849105</v>
      </c>
      <c r="O16" s="56">
        <f t="shared" si="27"/>
        <v>1757.5766698838249</v>
      </c>
      <c r="P16" s="56">
        <f t="shared" si="0"/>
        <v>1789.1160247611401</v>
      </c>
      <c r="Q16" s="56">
        <f t="shared" si="0"/>
        <v>1814.0793077665739</v>
      </c>
      <c r="R16" s="57">
        <f t="shared" si="0"/>
        <v>1832.0390404565442</v>
      </c>
    </row>
    <row r="17" spans="3:18" ht="16" x14ac:dyDescent="0.2">
      <c r="C17" s="24" t="s">
        <v>10</v>
      </c>
      <c r="D17" s="55">
        <f t="shared" ref="D17:O17" si="30">D59+D100+D141</f>
        <v>435.61913494904485</v>
      </c>
      <c r="E17" s="56">
        <f t="shared" si="30"/>
        <v>435.75887383333128</v>
      </c>
      <c r="F17" s="56">
        <f t="shared" si="30"/>
        <v>465.86554465516542</v>
      </c>
      <c r="G17" s="56">
        <f t="shared" ref="G17:H17" si="31">G59+G100+G141</f>
        <v>489.25882751508306</v>
      </c>
      <c r="H17" s="56">
        <f t="shared" si="31"/>
        <v>505.67249632913251</v>
      </c>
      <c r="I17" s="56">
        <f t="shared" si="30"/>
        <v>555.16158886289747</v>
      </c>
      <c r="J17" s="56">
        <f t="shared" ref="J17" si="32">J59+J100+J141</f>
        <v>554.5115199243935</v>
      </c>
      <c r="K17" s="56">
        <f t="shared" si="30"/>
        <v>564.59077683510907</v>
      </c>
      <c r="L17" s="56">
        <f t="shared" si="30"/>
        <v>575.06824740623756</v>
      </c>
      <c r="M17" s="56">
        <f t="shared" si="30"/>
        <v>578.73366702664475</v>
      </c>
      <c r="N17" s="56">
        <f t="shared" si="30"/>
        <v>576.81323562269972</v>
      </c>
      <c r="O17" s="56">
        <f t="shared" si="30"/>
        <v>574.04490845729981</v>
      </c>
      <c r="P17" s="56">
        <f t="shared" si="0"/>
        <v>570.15972550416222</v>
      </c>
      <c r="Q17" s="56">
        <f t="shared" si="0"/>
        <v>564.12345251135594</v>
      </c>
      <c r="R17" s="57">
        <f t="shared" si="0"/>
        <v>556.00542759671703</v>
      </c>
    </row>
    <row r="18" spans="3:18" ht="16" x14ac:dyDescent="0.2">
      <c r="C18" s="24" t="s">
        <v>11</v>
      </c>
      <c r="D18" s="55">
        <f t="shared" ref="D18:O18" si="33">D60+D101+D142</f>
        <v>4808.4737206601103</v>
      </c>
      <c r="E18" s="56">
        <f t="shared" si="33"/>
        <v>5072.3404656229995</v>
      </c>
      <c r="F18" s="56">
        <f t="shared" si="33"/>
        <v>5327.6388952680099</v>
      </c>
      <c r="G18" s="56">
        <f t="shared" ref="G18:H18" si="34">G60+G101+G142</f>
        <v>5655.8341077913265</v>
      </c>
      <c r="H18" s="56">
        <f t="shared" si="34"/>
        <v>5721.600354637043</v>
      </c>
      <c r="I18" s="56">
        <f t="shared" si="33"/>
        <v>6053.5785125896145</v>
      </c>
      <c r="J18" s="56">
        <f t="shared" ref="J18" si="35">J60+J101+J142</f>
        <v>6229.2202907345118</v>
      </c>
      <c r="K18" s="56">
        <f t="shared" si="33"/>
        <v>6704.1954855359054</v>
      </c>
      <c r="L18" s="56">
        <f t="shared" si="33"/>
        <v>7207.8801297801274</v>
      </c>
      <c r="M18" s="56">
        <f t="shared" si="33"/>
        <v>7651.3421206277872</v>
      </c>
      <c r="N18" s="56">
        <f t="shared" si="33"/>
        <v>8049.0167565571064</v>
      </c>
      <c r="O18" s="56">
        <f t="shared" si="33"/>
        <v>8449.7116491794768</v>
      </c>
      <c r="P18" s="56">
        <f t="shared" si="0"/>
        <v>8852.0543223394634</v>
      </c>
      <c r="Q18" s="56">
        <f t="shared" si="0"/>
        <v>9235.6202128645418</v>
      </c>
      <c r="R18" s="57">
        <f t="shared" si="0"/>
        <v>9594.5921606427546</v>
      </c>
    </row>
    <row r="19" spans="3:18" ht="16" x14ac:dyDescent="0.2">
      <c r="C19" s="24" t="s">
        <v>12</v>
      </c>
      <c r="D19" s="55">
        <f t="shared" ref="D19:O19" si="36">D61+D102+D143</f>
        <v>1946.898417975759</v>
      </c>
      <c r="E19" s="56">
        <f t="shared" si="36"/>
        <v>2019.9481582484377</v>
      </c>
      <c r="F19" s="56">
        <f t="shared" si="36"/>
        <v>2095.921464983895</v>
      </c>
      <c r="G19" s="56">
        <f t="shared" ref="G19:H19" si="37">G61+G102+G143</f>
        <v>2191.9716709463282</v>
      </c>
      <c r="H19" s="56">
        <f t="shared" si="37"/>
        <v>2297.5275188095584</v>
      </c>
      <c r="I19" s="56">
        <f t="shared" si="36"/>
        <v>2515.7113252507861</v>
      </c>
      <c r="J19" s="56">
        <f t="shared" ref="J19" si="38">J61+J102+J143</f>
        <v>2659.438896142035</v>
      </c>
      <c r="K19" s="56">
        <f t="shared" si="36"/>
        <v>2816.8778905791378</v>
      </c>
      <c r="L19" s="56">
        <f t="shared" si="36"/>
        <v>2978.9554188733614</v>
      </c>
      <c r="M19" s="56">
        <f t="shared" si="36"/>
        <v>3111.5645566146059</v>
      </c>
      <c r="N19" s="56">
        <f t="shared" si="36"/>
        <v>3222.9989052387459</v>
      </c>
      <c r="O19" s="56">
        <f t="shared" si="36"/>
        <v>3332.5932721052968</v>
      </c>
      <c r="P19" s="56">
        <f t="shared" si="0"/>
        <v>3438.6741090652945</v>
      </c>
      <c r="Q19" s="56">
        <f t="shared" si="0"/>
        <v>3533.9529904734072</v>
      </c>
      <c r="R19" s="57">
        <f t="shared" si="0"/>
        <v>3616.6642253337004</v>
      </c>
    </row>
    <row r="20" spans="3:18" ht="17" thickBot="1" x14ac:dyDescent="0.25">
      <c r="C20" s="25" t="s">
        <v>13</v>
      </c>
      <c r="D20" s="58">
        <f t="shared" ref="D20:O20" si="39">D62+D103+D144</f>
        <v>981.04504886168911</v>
      </c>
      <c r="E20" s="59">
        <f t="shared" si="39"/>
        <v>1008.9021959660176</v>
      </c>
      <c r="F20" s="59">
        <f t="shared" si="39"/>
        <v>978.64398653703336</v>
      </c>
      <c r="G20" s="59">
        <f t="shared" ref="G20:H20" si="40">G62+G103+G144</f>
        <v>1100.5153143800753</v>
      </c>
      <c r="H20" s="59">
        <f t="shared" si="40"/>
        <v>1130.2836554633896</v>
      </c>
      <c r="I20" s="59">
        <f t="shared" si="39"/>
        <v>1167.5719145968237</v>
      </c>
      <c r="J20" s="59">
        <f t="shared" ref="J20" si="41">J62+J103+J144</f>
        <v>1300.7319099025488</v>
      </c>
      <c r="K20" s="59">
        <f t="shared" si="39"/>
        <v>1334.0582486496901</v>
      </c>
      <c r="L20" s="59">
        <f t="shared" si="39"/>
        <v>1368.1364566639404</v>
      </c>
      <c r="M20" s="59">
        <f t="shared" si="39"/>
        <v>1388.3951991821489</v>
      </c>
      <c r="N20" s="59">
        <f t="shared" si="39"/>
        <v>1396.2417065884897</v>
      </c>
      <c r="O20" s="59">
        <f t="shared" si="39"/>
        <v>1401.5143040221947</v>
      </c>
      <c r="P20" s="59">
        <f t="shared" si="0"/>
        <v>1404.2089651681213</v>
      </c>
      <c r="Q20" s="59">
        <f t="shared" si="0"/>
        <v>1401.5548026752572</v>
      </c>
      <c r="R20" s="60">
        <f t="shared" si="0"/>
        <v>1393.5299902279114</v>
      </c>
    </row>
    <row r="21" spans="3:18" ht="19" thickTop="1" thickBot="1" x14ac:dyDescent="0.25">
      <c r="C21" s="31" t="s">
        <v>24</v>
      </c>
      <c r="D21" s="61">
        <f t="shared" ref="D21:O21" si="42">SUM(D7:D20)</f>
        <v>37174.308231112649</v>
      </c>
      <c r="E21" s="62">
        <f t="shared" si="42"/>
        <v>38000.027079520652</v>
      </c>
      <c r="F21" s="62">
        <f t="shared" si="0"/>
        <v>39216.15441803469</v>
      </c>
      <c r="G21" s="62">
        <f t="shared" ref="G21:H21" si="43">G63+G104+G145</f>
        <v>40924.618991984396</v>
      </c>
      <c r="H21" s="62">
        <f t="shared" si="43"/>
        <v>42568.759529825598</v>
      </c>
      <c r="I21" s="62">
        <f t="shared" si="42"/>
        <v>43937.645195569989</v>
      </c>
      <c r="J21" s="62">
        <f t="shared" ref="J21" si="44">SUM(J7:J20)</f>
        <v>45923.162916048153</v>
      </c>
      <c r="K21" s="62">
        <f t="shared" si="42"/>
        <v>48957.821274864502</v>
      </c>
      <c r="L21" s="62">
        <f t="shared" si="42"/>
        <v>52214.496420328163</v>
      </c>
      <c r="M21" s="62">
        <f t="shared" si="42"/>
        <v>55062.705694619042</v>
      </c>
      <c r="N21" s="62">
        <f t="shared" si="42"/>
        <v>57512.944562903343</v>
      </c>
      <c r="O21" s="62">
        <f t="shared" si="42"/>
        <v>59943.508336108433</v>
      </c>
      <c r="P21" s="62">
        <f t="shared" ref="P21:R21" si="45">SUM(P7:P20)</f>
        <v>62373.888500159221</v>
      </c>
      <c r="Q21" s="62">
        <f t="shared" si="45"/>
        <v>64670.62038853595</v>
      </c>
      <c r="R21" s="63">
        <f t="shared" si="45"/>
        <v>66803.438313017556</v>
      </c>
    </row>
    <row r="22" spans="3:18" ht="17" thickTop="1" x14ac:dyDescent="0.2">
      <c r="C22" s="131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</row>
    <row r="23" spans="3:18" x14ac:dyDescent="0.15">
      <c r="O23" s="121"/>
    </row>
    <row r="24" spans="3:18" ht="14" thickBot="1" x14ac:dyDescent="0.2">
      <c r="O24" s="121"/>
    </row>
    <row r="25" spans="3:18" ht="17" thickTop="1" x14ac:dyDescent="0.2">
      <c r="C25" s="32" t="s">
        <v>159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</row>
    <row r="26" spans="3:18" ht="14" thickBot="1" x14ac:dyDescent="0.2">
      <c r="C26" s="18"/>
      <c r="D26" s="65" t="s">
        <v>25</v>
      </c>
      <c r="E26" s="65" t="s">
        <v>37</v>
      </c>
      <c r="F26" s="65" t="s">
        <v>38</v>
      </c>
      <c r="G26" s="37" t="s">
        <v>177</v>
      </c>
      <c r="H26" s="37" t="s">
        <v>178</v>
      </c>
      <c r="I26" s="65" t="s">
        <v>26</v>
      </c>
      <c r="J26" s="65"/>
      <c r="K26" s="65" t="s">
        <v>27</v>
      </c>
      <c r="L26" s="65" t="s">
        <v>28</v>
      </c>
      <c r="M26" s="65" t="s">
        <v>29</v>
      </c>
      <c r="N26" s="65" t="s">
        <v>30</v>
      </c>
      <c r="O26" s="65" t="s">
        <v>31</v>
      </c>
      <c r="P26" s="37" t="s">
        <v>174</v>
      </c>
      <c r="Q26" s="37" t="s">
        <v>175</v>
      </c>
      <c r="R26" s="38" t="s">
        <v>176</v>
      </c>
    </row>
    <row r="27" spans="3:18" ht="15" thickTop="1" thickBot="1" x14ac:dyDescent="0.2">
      <c r="C27" s="70"/>
      <c r="D27" s="71" t="s">
        <v>39</v>
      </c>
      <c r="E27" s="71" t="s">
        <v>39</v>
      </c>
      <c r="F27" s="71" t="s">
        <v>39</v>
      </c>
      <c r="G27" s="71" t="s">
        <v>39</v>
      </c>
      <c r="H27" s="71" t="s">
        <v>39</v>
      </c>
      <c r="I27" s="71" t="s">
        <v>39</v>
      </c>
      <c r="J27" s="71" t="s">
        <v>39</v>
      </c>
      <c r="K27" s="71" t="s">
        <v>32</v>
      </c>
      <c r="L27" s="71" t="s">
        <v>32</v>
      </c>
      <c r="M27" s="71" t="s">
        <v>32</v>
      </c>
      <c r="N27" s="71" t="s">
        <v>32</v>
      </c>
      <c r="O27" s="71" t="s">
        <v>32</v>
      </c>
      <c r="P27" s="65" t="s">
        <v>32</v>
      </c>
      <c r="Q27" s="65" t="s">
        <v>32</v>
      </c>
      <c r="R27" s="66" t="s">
        <v>32</v>
      </c>
    </row>
    <row r="28" spans="3:18" ht="17" thickTop="1" x14ac:dyDescent="0.2">
      <c r="C28" s="24" t="s">
        <v>0</v>
      </c>
      <c r="D28" s="42">
        <f t="shared" ref="D28:R41" si="46">D69+D110+D151</f>
        <v>112752.69929219302</v>
      </c>
      <c r="E28" s="43">
        <f t="shared" si="46"/>
        <v>115184.38005796474</v>
      </c>
      <c r="F28" s="43">
        <f t="shared" si="46"/>
        <v>117124.69622642273</v>
      </c>
      <c r="G28" s="43">
        <f t="shared" ref="G28:H28" si="47">G69+G110+G151</f>
        <v>121836.81549470441</v>
      </c>
      <c r="H28" s="43">
        <f t="shared" si="47"/>
        <v>127884.77898514902</v>
      </c>
      <c r="I28" s="43">
        <f t="shared" si="46"/>
        <v>129785.22062638082</v>
      </c>
      <c r="J28" s="43">
        <f t="shared" ref="J28" si="48">J69+J110+J151</f>
        <v>134908.84791173509</v>
      </c>
      <c r="K28" s="43">
        <f t="shared" si="46"/>
        <v>142293.30341709033</v>
      </c>
      <c r="L28" s="43">
        <f t="shared" si="46"/>
        <v>146424.24550470544</v>
      </c>
      <c r="M28" s="43">
        <f t="shared" si="46"/>
        <v>148857.64264350431</v>
      </c>
      <c r="N28" s="43">
        <f t="shared" si="46"/>
        <v>149416.71551779346</v>
      </c>
      <c r="O28" s="43">
        <f t="shared" si="46"/>
        <v>149796.64857696492</v>
      </c>
      <c r="P28" s="156">
        <f t="shared" si="46"/>
        <v>147751.23836473376</v>
      </c>
      <c r="Q28" s="156">
        <f t="shared" si="46"/>
        <v>145180.87818263037</v>
      </c>
      <c r="R28" s="157">
        <f t="shared" si="46"/>
        <v>142149.79686973177</v>
      </c>
    </row>
    <row r="29" spans="3:18" ht="16" x14ac:dyDescent="0.2">
      <c r="C29" s="24" t="s">
        <v>1</v>
      </c>
      <c r="D29" s="42">
        <f t="shared" ref="D29:O29" si="49">D70+D111+D152</f>
        <v>995566.22524327319</v>
      </c>
      <c r="E29" s="43">
        <f t="shared" si="49"/>
        <v>1031177.0909653383</v>
      </c>
      <c r="F29" s="43">
        <f t="shared" si="49"/>
        <v>1091473.5112717948</v>
      </c>
      <c r="G29" s="43">
        <f t="shared" ref="G29:H29" si="50">G70+G111+G152</f>
        <v>1145232.2839828942</v>
      </c>
      <c r="H29" s="43">
        <f t="shared" si="50"/>
        <v>1202277.159020253</v>
      </c>
      <c r="I29" s="43">
        <f t="shared" si="49"/>
        <v>1244005.9048191719</v>
      </c>
      <c r="J29" s="43">
        <f t="shared" ref="J29" si="51">J70+J111+J152</f>
        <v>1273017.9607674323</v>
      </c>
      <c r="K29" s="43">
        <f t="shared" si="49"/>
        <v>1405468.9835936683</v>
      </c>
      <c r="L29" s="43">
        <f t="shared" si="49"/>
        <v>1513736.8887730055</v>
      </c>
      <c r="M29" s="43">
        <f t="shared" si="49"/>
        <v>1601335.1967627234</v>
      </c>
      <c r="N29" s="43">
        <f t="shared" si="49"/>
        <v>1673471.4857945442</v>
      </c>
      <c r="O29" s="43">
        <f t="shared" si="49"/>
        <v>1743215.8483024572</v>
      </c>
      <c r="P29" s="159">
        <f t="shared" si="46"/>
        <v>1791753.4778461647</v>
      </c>
      <c r="Q29" s="159">
        <f t="shared" si="46"/>
        <v>1834534.7339725753</v>
      </c>
      <c r="R29" s="160">
        <f t="shared" si="46"/>
        <v>1870930.7651706489</v>
      </c>
    </row>
    <row r="30" spans="3:18" ht="16" x14ac:dyDescent="0.2">
      <c r="C30" s="24" t="s">
        <v>2</v>
      </c>
      <c r="D30" s="42">
        <f t="shared" ref="D30:O30" si="52">D71+D112+D153</f>
        <v>301335.92548360315</v>
      </c>
      <c r="E30" s="43">
        <f t="shared" si="52"/>
        <v>312551.14801889047</v>
      </c>
      <c r="F30" s="43">
        <f t="shared" si="52"/>
        <v>323022.69023885415</v>
      </c>
      <c r="G30" s="43">
        <f t="shared" ref="G30:H30" si="53">G71+G112+G153</f>
        <v>336918.61004767573</v>
      </c>
      <c r="H30" s="43">
        <f t="shared" si="53"/>
        <v>351117.84199294203</v>
      </c>
      <c r="I30" s="43">
        <f t="shared" si="52"/>
        <v>366291.65652040916</v>
      </c>
      <c r="J30" s="43">
        <f t="shared" ref="J30" si="54">J71+J112+J153</f>
        <v>379268.17623846559</v>
      </c>
      <c r="K30" s="43">
        <f t="shared" si="52"/>
        <v>406153.36524812091</v>
      </c>
      <c r="L30" s="43">
        <f t="shared" si="52"/>
        <v>427218.6790238531</v>
      </c>
      <c r="M30" s="43">
        <f t="shared" si="52"/>
        <v>443177.2604330483</v>
      </c>
      <c r="N30" s="43">
        <f t="shared" si="52"/>
        <v>454296.89336671773</v>
      </c>
      <c r="O30" s="43">
        <f t="shared" si="52"/>
        <v>465113.29199810117</v>
      </c>
      <c r="P30" s="159">
        <f t="shared" si="46"/>
        <v>469182.14090888365</v>
      </c>
      <c r="Q30" s="159">
        <f t="shared" si="46"/>
        <v>471554.46907230042</v>
      </c>
      <c r="R30" s="160">
        <f t="shared" si="46"/>
        <v>472264.72490910214</v>
      </c>
    </row>
    <row r="31" spans="3:18" ht="16" x14ac:dyDescent="0.2">
      <c r="C31" s="24" t="s">
        <v>3</v>
      </c>
      <c r="D31" s="42">
        <f t="shared" ref="D31:O31" si="55">D72+D113+D154</f>
        <v>229203.54703077467</v>
      </c>
      <c r="E31" s="43">
        <f t="shared" si="55"/>
        <v>235088.14150503452</v>
      </c>
      <c r="F31" s="43">
        <f t="shared" si="55"/>
        <v>241624.06887127433</v>
      </c>
      <c r="G31" s="43">
        <f t="shared" ref="G31:H31" si="56">G72+G113+G154</f>
        <v>253173.76943029795</v>
      </c>
      <c r="H31" s="43">
        <f t="shared" si="56"/>
        <v>265852.81265281246</v>
      </c>
      <c r="I31" s="43">
        <f t="shared" si="55"/>
        <v>278434.36653277505</v>
      </c>
      <c r="J31" s="43">
        <f t="shared" ref="J31" si="57">J72+J113+J154</f>
        <v>289793.89388795843</v>
      </c>
      <c r="K31" s="43">
        <f t="shared" si="55"/>
        <v>308368.41825058358</v>
      </c>
      <c r="L31" s="43">
        <f t="shared" si="55"/>
        <v>320852.68282990588</v>
      </c>
      <c r="M31" s="43">
        <f t="shared" si="55"/>
        <v>329830.31383153278</v>
      </c>
      <c r="N31" s="43">
        <f t="shared" si="55"/>
        <v>335186.53716843587</v>
      </c>
      <c r="O31" s="43">
        <f t="shared" si="55"/>
        <v>340501.49413924845</v>
      </c>
      <c r="P31" s="159">
        <f t="shared" si="46"/>
        <v>340542.92629565875</v>
      </c>
      <c r="Q31" s="159">
        <f t="shared" si="46"/>
        <v>339325.81533832627</v>
      </c>
      <c r="R31" s="160">
        <f t="shared" si="46"/>
        <v>336908.63728943636</v>
      </c>
    </row>
    <row r="32" spans="3:18" ht="16" x14ac:dyDescent="0.2">
      <c r="C32" s="24" t="s">
        <v>4</v>
      </c>
      <c r="D32" s="42">
        <f t="shared" ref="D32:O32" si="58">D73+D114+D155</f>
        <v>29936.944476542783</v>
      </c>
      <c r="E32" s="43">
        <f t="shared" si="58"/>
        <v>30366.080389235482</v>
      </c>
      <c r="F32" s="43">
        <f t="shared" si="58"/>
        <v>30881.083761686205</v>
      </c>
      <c r="G32" s="43">
        <f t="shared" ref="G32:H32" si="59">G73+G114+G155</f>
        <v>31397.519576256283</v>
      </c>
      <c r="H32" s="43">
        <f t="shared" si="59"/>
        <v>32183.94888916834</v>
      </c>
      <c r="I32" s="43">
        <f t="shared" si="58"/>
        <v>37400.780076915653</v>
      </c>
      <c r="J32" s="43">
        <f t="shared" ref="J32" si="60">J73+J114+J155</f>
        <v>37655.471344793048</v>
      </c>
      <c r="K32" s="43">
        <f t="shared" si="58"/>
        <v>38991.531594426524</v>
      </c>
      <c r="L32" s="43">
        <f t="shared" si="58"/>
        <v>39963.226392074597</v>
      </c>
      <c r="M32" s="43">
        <f t="shared" si="58"/>
        <v>40231.621991188731</v>
      </c>
      <c r="N32" s="43">
        <f t="shared" si="58"/>
        <v>40047.925312948581</v>
      </c>
      <c r="O32" s="43">
        <f t="shared" si="58"/>
        <v>39826.800466706329</v>
      </c>
      <c r="P32" s="159">
        <f t="shared" si="46"/>
        <v>38726.161136654264</v>
      </c>
      <c r="Q32" s="159">
        <f t="shared" si="46"/>
        <v>37512.199695857016</v>
      </c>
      <c r="R32" s="160">
        <f t="shared" si="46"/>
        <v>36204.921110746727</v>
      </c>
    </row>
    <row r="33" spans="3:18" ht="16" x14ac:dyDescent="0.2">
      <c r="C33" s="24" t="s">
        <v>5</v>
      </c>
      <c r="D33" s="42">
        <f t="shared" ref="D33:O33" si="61">D74+D115+D156</f>
        <v>113259.61475572419</v>
      </c>
      <c r="E33" s="43">
        <f t="shared" si="61"/>
        <v>115299.06151998522</v>
      </c>
      <c r="F33" s="43">
        <f t="shared" si="61"/>
        <v>117425.18797515267</v>
      </c>
      <c r="G33" s="43">
        <f t="shared" ref="G33:H33" si="62">G74+G115+G156</f>
        <v>121879.37021704436</v>
      </c>
      <c r="H33" s="43">
        <f t="shared" si="62"/>
        <v>127265.52863082348</v>
      </c>
      <c r="I33" s="43">
        <f t="shared" si="61"/>
        <v>132554.04653869555</v>
      </c>
      <c r="J33" s="43">
        <f t="shared" ref="J33" si="63">J74+J115+J156</f>
        <v>137009.40724524713</v>
      </c>
      <c r="K33" s="43">
        <f t="shared" si="61"/>
        <v>142488.78590457299</v>
      </c>
      <c r="L33" s="43">
        <f t="shared" si="61"/>
        <v>144795.69503734799</v>
      </c>
      <c r="M33" s="43">
        <f t="shared" si="61"/>
        <v>145333.26568559741</v>
      </c>
      <c r="N33" s="43">
        <f t="shared" si="61"/>
        <v>144246.40041072376</v>
      </c>
      <c r="O33" s="43">
        <f t="shared" si="61"/>
        <v>143202.54247361384</v>
      </c>
      <c r="P33" s="159">
        <f t="shared" si="46"/>
        <v>139838.36649830415</v>
      </c>
      <c r="Q33" s="159">
        <f t="shared" si="46"/>
        <v>136038.88670051275</v>
      </c>
      <c r="R33" s="160">
        <f t="shared" si="46"/>
        <v>131861.630549314</v>
      </c>
    </row>
    <row r="34" spans="3:18" ht="16" x14ac:dyDescent="0.2">
      <c r="C34" s="24" t="s">
        <v>6</v>
      </c>
      <c r="D34" s="42">
        <f t="shared" ref="D34:O34" si="64">D75+D116+D157</f>
        <v>83651.79807064432</v>
      </c>
      <c r="E34" s="43">
        <f t="shared" si="64"/>
        <v>86118.66865165616</v>
      </c>
      <c r="F34" s="43">
        <f t="shared" si="64"/>
        <v>87525.038269808429</v>
      </c>
      <c r="G34" s="43">
        <f t="shared" ref="G34:H34" si="65">G75+G116+G157</f>
        <v>89263.60787209835</v>
      </c>
      <c r="H34" s="43">
        <f t="shared" si="65"/>
        <v>91126.158471790564</v>
      </c>
      <c r="I34" s="43">
        <f t="shared" si="64"/>
        <v>97581.077742034948</v>
      </c>
      <c r="J34" s="43">
        <f t="shared" ref="J34" si="66">J75+J116+J157</f>
        <v>99867.631098663915</v>
      </c>
      <c r="K34" s="43">
        <f t="shared" si="64"/>
        <v>104181.22214282821</v>
      </c>
      <c r="L34" s="43">
        <f t="shared" si="64"/>
        <v>106317.51856301413</v>
      </c>
      <c r="M34" s="43">
        <f t="shared" si="64"/>
        <v>107037.59554273954</v>
      </c>
      <c r="N34" s="43">
        <f t="shared" si="64"/>
        <v>107248.3977944424</v>
      </c>
      <c r="O34" s="43">
        <f t="shared" si="64"/>
        <v>107373.26551706626</v>
      </c>
      <c r="P34" s="159">
        <f t="shared" si="46"/>
        <v>105787.70001761708</v>
      </c>
      <c r="Q34" s="159">
        <f t="shared" si="46"/>
        <v>103815.70840859055</v>
      </c>
      <c r="R34" s="160">
        <f t="shared" si="46"/>
        <v>101502.02230938624</v>
      </c>
    </row>
    <row r="35" spans="3:18" ht="16" x14ac:dyDescent="0.2">
      <c r="C35" s="24" t="s">
        <v>7</v>
      </c>
      <c r="D35" s="42">
        <f t="shared" ref="D35:O35" si="67">D76+D117+D158</f>
        <v>167620.43201958659</v>
      </c>
      <c r="E35" s="43">
        <f t="shared" si="67"/>
        <v>170464.93587730997</v>
      </c>
      <c r="F35" s="43">
        <f t="shared" si="67"/>
        <v>174785.10805437135</v>
      </c>
      <c r="G35" s="43">
        <f t="shared" ref="G35:H35" si="68">G76+G117+G158</f>
        <v>180424.03776717087</v>
      </c>
      <c r="H35" s="43">
        <f t="shared" si="68"/>
        <v>186583.9222405995</v>
      </c>
      <c r="I35" s="43">
        <f t="shared" si="67"/>
        <v>192886.38159448301</v>
      </c>
      <c r="J35" s="43">
        <f t="shared" ref="J35" si="69">J76+J117+J158</f>
        <v>199218.10013335684</v>
      </c>
      <c r="K35" s="43">
        <f t="shared" si="67"/>
        <v>206124.29389612604</v>
      </c>
      <c r="L35" s="43">
        <f t="shared" si="67"/>
        <v>208240.44840695561</v>
      </c>
      <c r="M35" s="43">
        <f t="shared" si="67"/>
        <v>208543.90358934872</v>
      </c>
      <c r="N35" s="43">
        <f t="shared" si="67"/>
        <v>206389.99318529238</v>
      </c>
      <c r="O35" s="43">
        <f t="shared" si="67"/>
        <v>204258.16962670235</v>
      </c>
      <c r="P35" s="159">
        <f t="shared" si="46"/>
        <v>198623.55243250536</v>
      </c>
      <c r="Q35" s="159">
        <f t="shared" si="46"/>
        <v>192402.05890013039</v>
      </c>
      <c r="R35" s="160">
        <f t="shared" si="46"/>
        <v>185702.39889758429</v>
      </c>
    </row>
    <row r="36" spans="3:18" ht="16" x14ac:dyDescent="0.2">
      <c r="C36" s="24" t="s">
        <v>8</v>
      </c>
      <c r="D36" s="42">
        <f t="shared" ref="D36:O36" si="70">D77+D118+D159</f>
        <v>302497.18708853488</v>
      </c>
      <c r="E36" s="43">
        <f t="shared" si="70"/>
        <v>308393.37810258631</v>
      </c>
      <c r="F36" s="43">
        <f t="shared" si="70"/>
        <v>315790.27345002093</v>
      </c>
      <c r="G36" s="43">
        <f t="shared" ref="G36:H36" si="71">G77+G118+G159</f>
        <v>325495.73169066105</v>
      </c>
      <c r="H36" s="43">
        <f t="shared" si="71"/>
        <v>337334.77145518031</v>
      </c>
      <c r="I36" s="43">
        <f t="shared" si="70"/>
        <v>350038.41938278935</v>
      </c>
      <c r="J36" s="43">
        <f t="shared" ref="J36" si="72">J77+J118+J159</f>
        <v>361376.93415386882</v>
      </c>
      <c r="K36" s="43">
        <f t="shared" si="70"/>
        <v>378819.54297063255</v>
      </c>
      <c r="L36" s="43">
        <f t="shared" si="70"/>
        <v>388363.27559153648</v>
      </c>
      <c r="M36" s="43">
        <f t="shared" si="70"/>
        <v>392277.94430616184</v>
      </c>
      <c r="N36" s="43">
        <f t="shared" si="70"/>
        <v>393864.38680197863</v>
      </c>
      <c r="O36" s="43">
        <f t="shared" si="70"/>
        <v>395098.80559648148</v>
      </c>
      <c r="P36" s="159">
        <f t="shared" si="46"/>
        <v>390267.05568617844</v>
      </c>
      <c r="Q36" s="159">
        <f t="shared" si="46"/>
        <v>384028.02405434911</v>
      </c>
      <c r="R36" s="160">
        <f t="shared" si="46"/>
        <v>376512.1110218449</v>
      </c>
    </row>
    <row r="37" spans="3:18" ht="16" x14ac:dyDescent="0.2">
      <c r="C37" s="24" t="s">
        <v>9</v>
      </c>
      <c r="D37" s="42">
        <f t="shared" ref="D37:O37" si="73">D78+D119+D160</f>
        <v>121043.33543309773</v>
      </c>
      <c r="E37" s="43">
        <f t="shared" si="73"/>
        <v>124477.19353914031</v>
      </c>
      <c r="F37" s="43">
        <f t="shared" si="73"/>
        <v>129034.48687989885</v>
      </c>
      <c r="G37" s="43">
        <f t="shared" ref="G37:H37" si="74">G78+G119+G160</f>
        <v>137506.99209400269</v>
      </c>
      <c r="H37" s="43">
        <f t="shared" si="74"/>
        <v>146096.83262669892</v>
      </c>
      <c r="I37" s="43">
        <f t="shared" si="73"/>
        <v>151963.66156240081</v>
      </c>
      <c r="J37" s="43">
        <f t="shared" ref="J37" si="75">J78+J119+J160</f>
        <v>157632.01329880173</v>
      </c>
      <c r="K37" s="43">
        <f t="shared" si="73"/>
        <v>165356.56900398148</v>
      </c>
      <c r="L37" s="43">
        <f t="shared" si="73"/>
        <v>170352.75922387012</v>
      </c>
      <c r="M37" s="43">
        <f t="shared" si="73"/>
        <v>172460.35084602862</v>
      </c>
      <c r="N37" s="43">
        <f t="shared" si="73"/>
        <v>172138.65314833581</v>
      </c>
      <c r="O37" s="43">
        <f t="shared" si="73"/>
        <v>171715.58440964337</v>
      </c>
      <c r="P37" s="159">
        <f t="shared" si="46"/>
        <v>169347.13300886136</v>
      </c>
      <c r="Q37" s="159">
        <f t="shared" si="46"/>
        <v>166405.55921857955</v>
      </c>
      <c r="R37" s="160">
        <f t="shared" si="46"/>
        <v>162933.31604112711</v>
      </c>
    </row>
    <row r="38" spans="3:18" ht="16" x14ac:dyDescent="0.2">
      <c r="C38" s="24" t="s">
        <v>10</v>
      </c>
      <c r="D38" s="42">
        <f t="shared" ref="D38:O38" si="76">D79+D120+D161</f>
        <v>26272.420338552951</v>
      </c>
      <c r="E38" s="43">
        <f t="shared" si="76"/>
        <v>26450.482710432629</v>
      </c>
      <c r="F38" s="43">
        <f t="shared" si="76"/>
        <v>26329.876855280872</v>
      </c>
      <c r="G38" s="43">
        <f t="shared" ref="G38:H38" si="77">G79+G120+G161</f>
        <v>26209.223035722083</v>
      </c>
      <c r="H38" s="43">
        <f t="shared" si="77"/>
        <v>26262.091351681596</v>
      </c>
      <c r="I38" s="43">
        <f t="shared" si="76"/>
        <v>27294.485230986156</v>
      </c>
      <c r="J38" s="43">
        <f t="shared" ref="J38" si="78">J79+J120+J161</f>
        <v>28097.863512943859</v>
      </c>
      <c r="K38" s="43">
        <f t="shared" si="76"/>
        <v>28499.608353713971</v>
      </c>
      <c r="L38" s="43">
        <f t="shared" si="76"/>
        <v>28539.002152272304</v>
      </c>
      <c r="M38" s="43">
        <f t="shared" si="76"/>
        <v>27779.219532315157</v>
      </c>
      <c r="N38" s="43">
        <f t="shared" si="76"/>
        <v>27083.379286899584</v>
      </c>
      <c r="O38" s="43">
        <f t="shared" si="76"/>
        <v>26432.343772699314</v>
      </c>
      <c r="P38" s="159">
        <f t="shared" si="46"/>
        <v>25409.225391978518</v>
      </c>
      <c r="Q38" s="159">
        <f t="shared" si="46"/>
        <v>24338.124077222237</v>
      </c>
      <c r="R38" s="160">
        <f t="shared" si="46"/>
        <v>23233.208454328371</v>
      </c>
    </row>
    <row r="39" spans="3:18" ht="16" x14ac:dyDescent="0.2">
      <c r="C39" s="24" t="s">
        <v>11</v>
      </c>
      <c r="D39" s="42">
        <f t="shared" ref="D39:O39" si="79">D80+D121+D162</f>
        <v>486778.86921859178</v>
      </c>
      <c r="E39" s="43">
        <f t="shared" si="79"/>
        <v>502538.77860785392</v>
      </c>
      <c r="F39" s="43">
        <f t="shared" si="79"/>
        <v>522173.19879763969</v>
      </c>
      <c r="G39" s="43">
        <f t="shared" ref="G39:H39" si="80">G80+G121+G162</f>
        <v>539611.91654357605</v>
      </c>
      <c r="H39" s="43">
        <f t="shared" si="80"/>
        <v>556020.44651744259</v>
      </c>
      <c r="I39" s="43">
        <f t="shared" si="79"/>
        <v>574878.24586566014</v>
      </c>
      <c r="J39" s="43">
        <f t="shared" ref="J39" si="81">J80+J121+J162</f>
        <v>590923.48692523374</v>
      </c>
      <c r="K39" s="43">
        <f t="shared" si="79"/>
        <v>636208.13084584416</v>
      </c>
      <c r="L39" s="43">
        <f t="shared" si="79"/>
        <v>670593.18885371159</v>
      </c>
      <c r="M39" s="43">
        <f t="shared" si="79"/>
        <v>696451.48980658851</v>
      </c>
      <c r="N39" s="43">
        <f t="shared" si="79"/>
        <v>715764.98908075131</v>
      </c>
      <c r="O39" s="43">
        <f t="shared" si="79"/>
        <v>734610.85469145887</v>
      </c>
      <c r="P39" s="159">
        <f t="shared" si="46"/>
        <v>744444.15053019521</v>
      </c>
      <c r="Q39" s="159">
        <f t="shared" si="46"/>
        <v>751644.78659636748</v>
      </c>
      <c r="R39" s="160">
        <f t="shared" si="46"/>
        <v>756157.82369802496</v>
      </c>
    </row>
    <row r="40" spans="3:18" ht="16" x14ac:dyDescent="0.2">
      <c r="C40" s="24" t="s">
        <v>12</v>
      </c>
      <c r="D40" s="42">
        <f t="shared" ref="D40:O40" si="82">D81+D122+D163</f>
        <v>147288.37606219845</v>
      </c>
      <c r="E40" s="43">
        <f t="shared" si="82"/>
        <v>151609.65433270653</v>
      </c>
      <c r="F40" s="43">
        <f t="shared" si="82"/>
        <v>155983.88217072579</v>
      </c>
      <c r="G40" s="43">
        <f t="shared" ref="G40:H40" si="83">G81+G122+G163</f>
        <v>162912.10612108107</v>
      </c>
      <c r="H40" s="43">
        <f t="shared" si="83"/>
        <v>176983.92455683372</v>
      </c>
      <c r="I40" s="43">
        <f t="shared" si="82"/>
        <v>181031.28710477275</v>
      </c>
      <c r="J40" s="43">
        <f t="shared" ref="J40" si="84">J81+J122+J163</f>
        <v>187781.82805507208</v>
      </c>
      <c r="K40" s="43">
        <f t="shared" si="82"/>
        <v>198844.8951610795</v>
      </c>
      <c r="L40" s="43">
        <f t="shared" si="82"/>
        <v>206015.45401660868</v>
      </c>
      <c r="M40" s="43">
        <f t="shared" si="82"/>
        <v>210333.01703296095</v>
      </c>
      <c r="N40" s="43">
        <f t="shared" si="82"/>
        <v>212649.35122670597</v>
      </c>
      <c r="O40" s="43">
        <f t="shared" si="82"/>
        <v>214766.45669520495</v>
      </c>
      <c r="P40" s="159">
        <f t="shared" si="46"/>
        <v>214054.75779274807</v>
      </c>
      <c r="Q40" s="159">
        <f t="shared" si="46"/>
        <v>212565.34116059711</v>
      </c>
      <c r="R40" s="160">
        <f t="shared" si="46"/>
        <v>210322.5034312178</v>
      </c>
    </row>
    <row r="41" spans="3:18" ht="17" thickBot="1" x14ac:dyDescent="0.25">
      <c r="C41" s="25" t="s">
        <v>13</v>
      </c>
      <c r="D41" s="45">
        <f t="shared" ref="D41:O41" si="85">D82+D123+D164</f>
        <v>82612.625486682198</v>
      </c>
      <c r="E41" s="46">
        <f t="shared" si="85"/>
        <v>84138.00572186544</v>
      </c>
      <c r="F41" s="46">
        <f t="shared" si="85"/>
        <v>85861.897177069055</v>
      </c>
      <c r="G41" s="46">
        <f t="shared" ref="G41:H41" si="86">G82+G123+G164</f>
        <v>88507.016126814604</v>
      </c>
      <c r="H41" s="46">
        <f t="shared" si="86"/>
        <v>90913.78260862481</v>
      </c>
      <c r="I41" s="46">
        <f t="shared" si="85"/>
        <v>93463.166736511645</v>
      </c>
      <c r="J41" s="46">
        <f t="shared" ref="J41" si="87">J82+J123+J164</f>
        <v>96542.64456502629</v>
      </c>
      <c r="K41" s="46">
        <f t="shared" si="85"/>
        <v>99320.779539854324</v>
      </c>
      <c r="L41" s="46">
        <f t="shared" si="85"/>
        <v>100171.34903483672</v>
      </c>
      <c r="M41" s="46">
        <f t="shared" si="85"/>
        <v>99901.428820668109</v>
      </c>
      <c r="N41" s="46">
        <f t="shared" si="85"/>
        <v>98540.299144957564</v>
      </c>
      <c r="O41" s="46">
        <f t="shared" si="85"/>
        <v>97057.612348217153</v>
      </c>
      <c r="P41" s="162">
        <f t="shared" si="46"/>
        <v>94147.771405512161</v>
      </c>
      <c r="Q41" s="162">
        <f t="shared" si="46"/>
        <v>90982.448769865339</v>
      </c>
      <c r="R41" s="163">
        <f t="shared" si="46"/>
        <v>87608.993071366858</v>
      </c>
    </row>
    <row r="42" spans="3:18" ht="19" thickTop="1" thickBot="1" x14ac:dyDescent="0.25">
      <c r="C42" s="20" t="s">
        <v>24</v>
      </c>
      <c r="D42" s="48">
        <f t="shared" ref="D42:R42" si="88">SUM(D28:D41)</f>
        <v>3199819.9999999995</v>
      </c>
      <c r="E42" s="48">
        <f t="shared" si="88"/>
        <v>3293857</v>
      </c>
      <c r="F42" s="48">
        <f t="shared" si="88"/>
        <v>3419034.9999999995</v>
      </c>
      <c r="G42" s="48">
        <f t="shared" ref="G42:H42" si="89">SUM(G28:G41)</f>
        <v>3560368.9999999995</v>
      </c>
      <c r="H42" s="48">
        <f t="shared" si="89"/>
        <v>3717904.0000000005</v>
      </c>
      <c r="I42" s="48">
        <f t="shared" si="88"/>
        <v>3857608.7003339864</v>
      </c>
      <c r="J42" s="48">
        <f t="shared" ref="J42" si="90">SUM(J28:J41)</f>
        <v>3973094.2591385986</v>
      </c>
      <c r="K42" s="48">
        <f t="shared" si="88"/>
        <v>4261119.429922523</v>
      </c>
      <c r="L42" s="48">
        <f t="shared" si="88"/>
        <v>4471584.4134036982</v>
      </c>
      <c r="M42" s="48">
        <f t="shared" si="88"/>
        <v>4623550.2508244067</v>
      </c>
      <c r="N42" s="48">
        <f t="shared" si="88"/>
        <v>4730345.4072405268</v>
      </c>
      <c r="O42" s="48">
        <f t="shared" si="88"/>
        <v>4832969.7186145661</v>
      </c>
      <c r="P42" s="125">
        <f t="shared" si="88"/>
        <v>4869875.6573159955</v>
      </c>
      <c r="Q42" s="125">
        <f t="shared" si="88"/>
        <v>4890329.0341479043</v>
      </c>
      <c r="R42" s="126">
        <f t="shared" si="88"/>
        <v>4894292.8528238609</v>
      </c>
    </row>
    <row r="43" spans="3:18" ht="14" thickTop="1" x14ac:dyDescent="0.15">
      <c r="O43" s="121"/>
    </row>
    <row r="44" spans="3:18" x14ac:dyDescent="0.15">
      <c r="O44" s="121"/>
    </row>
    <row r="45" spans="3:18" ht="14" thickBot="1" x14ac:dyDescent="0.2">
      <c r="O45" s="121"/>
    </row>
    <row r="46" spans="3:18" ht="17" thickTop="1" x14ac:dyDescent="0.2">
      <c r="C46" s="32" t="s">
        <v>50</v>
      </c>
      <c r="D46" s="33"/>
      <c r="E46" s="33"/>
      <c r="F46" s="33"/>
      <c r="G46" s="33"/>
      <c r="H46" s="33"/>
      <c r="I46" s="33"/>
      <c r="J46" s="33"/>
      <c r="K46" s="34"/>
      <c r="L46" s="34"/>
      <c r="M46" s="34"/>
      <c r="N46" s="34"/>
      <c r="O46" s="34"/>
      <c r="P46" s="34"/>
      <c r="Q46" s="34"/>
      <c r="R46" s="35"/>
    </row>
    <row r="47" spans="3:18" ht="14" thickBot="1" x14ac:dyDescent="0.2">
      <c r="C47" s="36"/>
      <c r="D47" s="37" t="s">
        <v>25</v>
      </c>
      <c r="E47" s="37" t="s">
        <v>37</v>
      </c>
      <c r="F47" s="37" t="s">
        <v>38</v>
      </c>
      <c r="G47" s="37" t="s">
        <v>177</v>
      </c>
      <c r="H47" s="37" t="s">
        <v>178</v>
      </c>
      <c r="I47" s="37" t="s">
        <v>26</v>
      </c>
      <c r="J47" s="37"/>
      <c r="K47" s="37" t="s">
        <v>27</v>
      </c>
      <c r="L47" s="37" t="s">
        <v>28</v>
      </c>
      <c r="M47" s="37" t="s">
        <v>29</v>
      </c>
      <c r="N47" s="37" t="s">
        <v>30</v>
      </c>
      <c r="O47" s="37" t="s">
        <v>31</v>
      </c>
      <c r="P47" s="37" t="s">
        <v>174</v>
      </c>
      <c r="Q47" s="37" t="s">
        <v>175</v>
      </c>
      <c r="R47" s="38" t="s">
        <v>176</v>
      </c>
    </row>
    <row r="48" spans="3:18" ht="15" thickTop="1" thickBot="1" x14ac:dyDescent="0.2">
      <c r="C48" s="70"/>
      <c r="D48" s="65" t="s">
        <v>39</v>
      </c>
      <c r="E48" s="65" t="s">
        <v>39</v>
      </c>
      <c r="F48" s="65" t="s">
        <v>39</v>
      </c>
      <c r="G48" s="65" t="s">
        <v>39</v>
      </c>
      <c r="H48" s="65" t="s">
        <v>39</v>
      </c>
      <c r="I48" s="65" t="s">
        <v>39</v>
      </c>
      <c r="J48" s="65" t="s">
        <v>39</v>
      </c>
      <c r="K48" s="65" t="s">
        <v>32</v>
      </c>
      <c r="L48" s="65" t="s">
        <v>32</v>
      </c>
      <c r="M48" s="65" t="s">
        <v>32</v>
      </c>
      <c r="N48" s="65" t="s">
        <v>32</v>
      </c>
      <c r="O48" s="65" t="s">
        <v>32</v>
      </c>
      <c r="P48" s="65" t="s">
        <v>32</v>
      </c>
      <c r="Q48" s="65" t="s">
        <v>32</v>
      </c>
      <c r="R48" s="66" t="s">
        <v>32</v>
      </c>
    </row>
    <row r="49" spans="3:18" ht="17" thickTop="1" x14ac:dyDescent="0.2">
      <c r="C49" s="24" t="s">
        <v>0</v>
      </c>
      <c r="D49" s="52">
        <f>'Car+SUV'!D49+'Van+Ute'!D49</f>
        <v>1194.9141901380303</v>
      </c>
      <c r="E49" s="53">
        <f>'Car+SUV'!E49+'Van+Ute'!E49</f>
        <v>1254.8032675655347</v>
      </c>
      <c r="F49" s="53">
        <f>'Car+SUV'!F49+'Van+Ute'!F49</f>
        <v>1300.4843342927752</v>
      </c>
      <c r="G49" s="53">
        <f>'Car+SUV'!G49+'Van+Ute'!G49</f>
        <v>1376.6740527949148</v>
      </c>
      <c r="H49" s="53">
        <f>'Car+SUV'!H49+'Van+Ute'!H49</f>
        <v>1394.3032070248676</v>
      </c>
      <c r="I49" s="53">
        <f>'Car+SUV'!I49+'Van+Ute'!I49</f>
        <v>1520.3492064666889</v>
      </c>
      <c r="J49" s="53">
        <f>'Car+SUV'!J49+'Van+Ute'!J49</f>
        <v>1594.9119490098492</v>
      </c>
      <c r="K49" s="53">
        <f>'Car+SUV'!K49+'Van+Ute'!K49</f>
        <v>1664.5963485803659</v>
      </c>
      <c r="L49" s="53">
        <f>'Car+SUV'!L49+'Van+Ute'!L49</f>
        <v>1629.8468990823387</v>
      </c>
      <c r="M49" s="53">
        <f>'Car+SUV'!M49+'Van+Ute'!M49</f>
        <v>1580.4658804273665</v>
      </c>
      <c r="N49" s="53">
        <f>'Car+SUV'!N49+'Van+Ute'!N49</f>
        <v>1511.8037951562151</v>
      </c>
      <c r="O49" s="53">
        <f>'Car+SUV'!O49+'Van+Ute'!O49</f>
        <v>1434.2404511015802</v>
      </c>
      <c r="P49" s="156">
        <f>'Car+SUV'!P49+'Van+Ute'!P49</f>
        <v>1351.9917965347315</v>
      </c>
      <c r="Q49" s="156">
        <f>'Car+SUV'!Q49+'Van+Ute'!Q49</f>
        <v>1264.7667361528329</v>
      </c>
      <c r="R49" s="157">
        <f>'Car+SUV'!R49+'Van+Ute'!R49</f>
        <v>1174.6115507062211</v>
      </c>
    </row>
    <row r="50" spans="3:18" ht="16" x14ac:dyDescent="0.2">
      <c r="C50" s="24" t="s">
        <v>1</v>
      </c>
      <c r="D50" s="55">
        <f>'Car+SUV'!D50+'Van+Ute'!D50</f>
        <v>8730.0437884267012</v>
      </c>
      <c r="E50" s="56">
        <f>'Car+SUV'!E50+'Van+Ute'!E50</f>
        <v>8864.8793223356461</v>
      </c>
      <c r="F50" s="56">
        <f>'Car+SUV'!F50+'Van+Ute'!F50</f>
        <v>9102.7819307763948</v>
      </c>
      <c r="G50" s="56">
        <f>'Car+SUV'!G50+'Van+Ute'!G50</f>
        <v>9377.2621681957353</v>
      </c>
      <c r="H50" s="56">
        <f>'Car+SUV'!H50+'Van+Ute'!H50</f>
        <v>9481.4412448021303</v>
      </c>
      <c r="I50" s="56">
        <f>'Car+SUV'!I50+'Van+Ute'!I50</f>
        <v>9224.5901809022835</v>
      </c>
      <c r="J50" s="56">
        <f>'Car+SUV'!J50+'Van+Ute'!J50</f>
        <v>9714.9105486336193</v>
      </c>
      <c r="K50" s="56">
        <f>'Car+SUV'!K50+'Van+Ute'!K50</f>
        <v>10449.535159218623</v>
      </c>
      <c r="L50" s="56">
        <f>'Car+SUV'!L50+'Van+Ute'!L50</f>
        <v>10538.561668862394</v>
      </c>
      <c r="M50" s="56">
        <f>'Car+SUV'!M50+'Van+Ute'!M50</f>
        <v>10582.949865662666</v>
      </c>
      <c r="N50" s="56">
        <f>'Car+SUV'!N50+'Van+Ute'!N50</f>
        <v>10470.911201162146</v>
      </c>
      <c r="O50" s="56">
        <f>'Car+SUV'!O50+'Van+Ute'!O50</f>
        <v>10272.923174298336</v>
      </c>
      <c r="P50" s="159">
        <f>'Car+SUV'!P50+'Van+Ute'!P50</f>
        <v>10020.034436469086</v>
      </c>
      <c r="Q50" s="159">
        <f>'Car+SUV'!Q50+'Van+Ute'!Q50</f>
        <v>9697.4903137043057</v>
      </c>
      <c r="R50" s="160">
        <f>'Car+SUV'!R50+'Van+Ute'!R50</f>
        <v>9314.1931806138091</v>
      </c>
    </row>
    <row r="51" spans="3:18" ht="16" x14ac:dyDescent="0.2">
      <c r="C51" s="24" t="s">
        <v>2</v>
      </c>
      <c r="D51" s="55">
        <f>'Car+SUV'!D51+'Van+Ute'!D51</f>
        <v>3747.3692877844455</v>
      </c>
      <c r="E51" s="56">
        <f>'Car+SUV'!E51+'Van+Ute'!E51</f>
        <v>3667.1737006443445</v>
      </c>
      <c r="F51" s="56">
        <f>'Car+SUV'!F51+'Van+Ute'!F51</f>
        <v>3839.0927471883319</v>
      </c>
      <c r="G51" s="56">
        <f>'Car+SUV'!G51+'Van+Ute'!G51</f>
        <v>4110.2083855631417</v>
      </c>
      <c r="H51" s="56">
        <f>'Car+SUV'!H51+'Van+Ute'!H51</f>
        <v>4296.5440626016953</v>
      </c>
      <c r="I51" s="56">
        <f>'Car+SUV'!I51+'Van+Ute'!I51</f>
        <v>4584.5572391663327</v>
      </c>
      <c r="J51" s="56">
        <f>'Car+SUV'!J51+'Van+Ute'!J51</f>
        <v>4741.4509199116792</v>
      </c>
      <c r="K51" s="56">
        <f>'Car+SUV'!K51+'Van+Ute'!K51</f>
        <v>5006.3929013993802</v>
      </c>
      <c r="L51" s="56">
        <f>'Car+SUV'!L51+'Van+Ute'!L51</f>
        <v>4967.8240351840641</v>
      </c>
      <c r="M51" s="56">
        <f>'Car+SUV'!M51+'Van+Ute'!M51</f>
        <v>4888.469389888076</v>
      </c>
      <c r="N51" s="56">
        <f>'Car+SUV'!N51+'Van+Ute'!N51</f>
        <v>4747.9495328757366</v>
      </c>
      <c r="O51" s="56">
        <f>'Car+SUV'!O51+'Van+Ute'!O51</f>
        <v>4578.4923493489932</v>
      </c>
      <c r="P51" s="159">
        <f>'Car+SUV'!P51+'Van+Ute'!P51</f>
        <v>4386.9677826440729</v>
      </c>
      <c r="Q51" s="159">
        <f>'Car+SUV'!Q51+'Van+Ute'!Q51</f>
        <v>4171.4850010951941</v>
      </c>
      <c r="R51" s="160">
        <f>'Car+SUV'!R51+'Van+Ute'!R51</f>
        <v>3937.8972629096766</v>
      </c>
    </row>
    <row r="52" spans="3:18" ht="16" x14ac:dyDescent="0.2">
      <c r="C52" s="24" t="s">
        <v>3</v>
      </c>
      <c r="D52" s="55">
        <f>'Car+SUV'!D52+'Van+Ute'!D52</f>
        <v>1850.0224266782313</v>
      </c>
      <c r="E52" s="56">
        <f>'Car+SUV'!E52+'Van+Ute'!E52</f>
        <v>1922.2410135687717</v>
      </c>
      <c r="F52" s="56">
        <f>'Car+SUV'!F52+'Van+Ute'!F52</f>
        <v>1948.9431408478936</v>
      </c>
      <c r="G52" s="56">
        <f>'Car+SUV'!G52+'Van+Ute'!G52</f>
        <v>2051.8648276765553</v>
      </c>
      <c r="H52" s="56">
        <f>'Car+SUV'!H52+'Van+Ute'!H52</f>
        <v>2300.6363069508793</v>
      </c>
      <c r="I52" s="56">
        <f>'Car+SUV'!I52+'Van+Ute'!I52</f>
        <v>2249.7731754713668</v>
      </c>
      <c r="J52" s="56">
        <f>'Car+SUV'!J52+'Van+Ute'!J52</f>
        <v>2339.4571760249455</v>
      </c>
      <c r="K52" s="56">
        <f>'Car+SUV'!K52+'Van+Ute'!K52</f>
        <v>2456.882034069356</v>
      </c>
      <c r="L52" s="56">
        <f>'Car+SUV'!L52+'Van+Ute'!L52</f>
        <v>2421.7011402096587</v>
      </c>
      <c r="M52" s="56">
        <f>'Car+SUV'!M52+'Van+Ute'!M52</f>
        <v>2367.7235923438866</v>
      </c>
      <c r="N52" s="56">
        <f>'Car+SUV'!N52+'Van+Ute'!N52</f>
        <v>2284.0585604690418</v>
      </c>
      <c r="O52" s="56">
        <f>'Car+SUV'!O52+'Van+Ute'!O52</f>
        <v>2187.6613676055426</v>
      </c>
      <c r="P52" s="159">
        <f>'Car+SUV'!P52+'Van+Ute'!P52</f>
        <v>2081.9894001781522</v>
      </c>
      <c r="Q52" s="159">
        <f>'Car+SUV'!Q52+'Van+Ute'!Q52</f>
        <v>1966.3517988123169</v>
      </c>
      <c r="R52" s="160">
        <f>'Car+SUV'!R52+'Van+Ute'!R52</f>
        <v>1843.7047699188984</v>
      </c>
    </row>
    <row r="53" spans="3:18" ht="16" x14ac:dyDescent="0.2">
      <c r="C53" s="24" t="s">
        <v>4</v>
      </c>
      <c r="D53" s="55">
        <f>'Car+SUV'!D53+'Van+Ute'!D53</f>
        <v>267.40861641112889</v>
      </c>
      <c r="E53" s="56">
        <f>'Car+SUV'!E53+'Van+Ute'!E53</f>
        <v>269.04093256378616</v>
      </c>
      <c r="F53" s="56">
        <f>'Car+SUV'!F53+'Van+Ute'!F53</f>
        <v>284.38779273568485</v>
      </c>
      <c r="G53" s="56">
        <f>'Car+SUV'!G53+'Van+Ute'!G53</f>
        <v>298.61940906795917</v>
      </c>
      <c r="H53" s="56">
        <f>'Car+SUV'!H53+'Van+Ute'!H53</f>
        <v>290.75803427334841</v>
      </c>
      <c r="I53" s="56">
        <f>'Car+SUV'!I53+'Van+Ute'!I53</f>
        <v>297.93598401956615</v>
      </c>
      <c r="J53" s="56">
        <f>'Car+SUV'!J53+'Van+Ute'!J53</f>
        <v>296.46589074365454</v>
      </c>
      <c r="K53" s="56">
        <f>'Car+SUV'!K53+'Van+Ute'!K53</f>
        <v>304.14322192729003</v>
      </c>
      <c r="L53" s="56">
        <f>'Car+SUV'!L53+'Van+Ute'!L53</f>
        <v>292.94078915836724</v>
      </c>
      <c r="M53" s="56">
        <f>'Car+SUV'!M53+'Van+Ute'!M53</f>
        <v>279.98005629161361</v>
      </c>
      <c r="N53" s="56">
        <f>'Car+SUV'!N53+'Van+Ute'!N53</f>
        <v>263.72214515232042</v>
      </c>
      <c r="O53" s="56">
        <f>'Car+SUV'!O53+'Van+Ute'!O53</f>
        <v>246.67371444459582</v>
      </c>
      <c r="P53" s="159">
        <f>'Car+SUV'!P53+'Van+Ute'!P53</f>
        <v>229.25810632910111</v>
      </c>
      <c r="Q53" s="159">
        <f>'Car+SUV'!Q53+'Van+Ute'!Q53</f>
        <v>211.45152287436258</v>
      </c>
      <c r="R53" s="160">
        <f>'Car+SUV'!R53+'Van+Ute'!R53</f>
        <v>193.61740161083412</v>
      </c>
    </row>
    <row r="54" spans="3:18" ht="16" x14ac:dyDescent="0.2">
      <c r="C54" s="24" t="s">
        <v>5</v>
      </c>
      <c r="D54" s="55">
        <f>'Car+SUV'!D54+'Van+Ute'!D54</f>
        <v>1030.1941521760859</v>
      </c>
      <c r="E54" s="56">
        <f>'Car+SUV'!E54+'Van+Ute'!E54</f>
        <v>1030.8859295608715</v>
      </c>
      <c r="F54" s="56">
        <f>'Car+SUV'!F54+'Van+Ute'!F54</f>
        <v>1085.9555039391655</v>
      </c>
      <c r="G54" s="56">
        <f>'Car+SUV'!G54+'Van+Ute'!G54</f>
        <v>1155.5095918332788</v>
      </c>
      <c r="H54" s="56">
        <f>'Car+SUV'!H54+'Van+Ute'!H54</f>
        <v>1182.8490923879899</v>
      </c>
      <c r="I54" s="56">
        <f>'Car+SUV'!I54+'Van+Ute'!I54</f>
        <v>1199.4775293897139</v>
      </c>
      <c r="J54" s="56">
        <f>'Car+SUV'!J54+'Van+Ute'!J54</f>
        <v>1263.1594872251392</v>
      </c>
      <c r="K54" s="56">
        <f>'Car+SUV'!K54+'Van+Ute'!K54</f>
        <v>1297.440401744936</v>
      </c>
      <c r="L54" s="56">
        <f>'Car+SUV'!L54+'Van+Ute'!L54</f>
        <v>1253.0949859137947</v>
      </c>
      <c r="M54" s="56">
        <f>'Car+SUV'!M54+'Van+Ute'!M54</f>
        <v>1199.6198470495476</v>
      </c>
      <c r="N54" s="56">
        <f>'Car+SUV'!N54+'Van+Ute'!N54</f>
        <v>1133.5337897883733</v>
      </c>
      <c r="O54" s="56">
        <f>'Car+SUV'!O54+'Van+Ute'!O54</f>
        <v>1062.8964701239836</v>
      </c>
      <c r="P54" s="159">
        <f>'Car+SUV'!P54+'Van+Ute'!P54</f>
        <v>990.31421356372675</v>
      </c>
      <c r="Q54" s="159">
        <f>'Car+SUV'!Q54+'Van+Ute'!Q54</f>
        <v>915.67076623914011</v>
      </c>
      <c r="R54" s="160">
        <f>'Car+SUV'!R54+'Van+Ute'!R54</f>
        <v>840.52984673059927</v>
      </c>
    </row>
    <row r="55" spans="3:18" ht="16" x14ac:dyDescent="0.2">
      <c r="C55" s="24" t="s">
        <v>6</v>
      </c>
      <c r="D55" s="55">
        <f>'Car+SUV'!D55+'Van+Ute'!D55</f>
        <v>738.04661484498195</v>
      </c>
      <c r="E55" s="56">
        <f>'Car+SUV'!E55+'Van+Ute'!E55</f>
        <v>757.78007475932282</v>
      </c>
      <c r="F55" s="56">
        <f>'Car+SUV'!F55+'Van+Ute'!F55</f>
        <v>791.28590362958789</v>
      </c>
      <c r="G55" s="56">
        <f>'Car+SUV'!G55+'Van+Ute'!G55</f>
        <v>830.86602594417877</v>
      </c>
      <c r="H55" s="56">
        <f>'Car+SUV'!H55+'Van+Ute'!H55</f>
        <v>851.58019562331788</v>
      </c>
      <c r="I55" s="56">
        <f>'Car+SUV'!I55+'Van+Ute'!I55</f>
        <v>880.59132753516803</v>
      </c>
      <c r="J55" s="56">
        <f>'Car+SUV'!J55+'Van+Ute'!J55</f>
        <v>857.9168137907235</v>
      </c>
      <c r="K55" s="56">
        <f>'Car+SUV'!K55+'Van+Ute'!K55</f>
        <v>886.98146717793281</v>
      </c>
      <c r="L55" s="56">
        <f>'Car+SUV'!L55+'Van+Ute'!L55</f>
        <v>864.73060940190749</v>
      </c>
      <c r="M55" s="56">
        <f>'Car+SUV'!M55+'Van+Ute'!M55</f>
        <v>836.59878373985384</v>
      </c>
      <c r="N55" s="56">
        <f>'Car+SUV'!N55+'Van+Ute'!N55</f>
        <v>800.0919752417326</v>
      </c>
      <c r="O55" s="56">
        <f>'Car+SUV'!O55+'Van+Ute'!O55</f>
        <v>760.4266616878981</v>
      </c>
      <c r="P55" s="159">
        <f>'Car+SUV'!P55+'Van+Ute'!P55</f>
        <v>718.12543623629131</v>
      </c>
      <c r="Q55" s="159">
        <f>'Car+SUV'!Q55+'Van+Ute'!Q55</f>
        <v>673.019385013597</v>
      </c>
      <c r="R55" s="160">
        <f>'Car+SUV'!R55+'Van+Ute'!R55</f>
        <v>626.18446746110101</v>
      </c>
    </row>
    <row r="56" spans="3:18" ht="16" x14ac:dyDescent="0.2">
      <c r="C56" s="24" t="s">
        <v>7</v>
      </c>
      <c r="D56" s="55">
        <f>'Car+SUV'!D56+'Van+Ute'!D56</f>
        <v>1696.2872430494483</v>
      </c>
      <c r="E56" s="56">
        <f>'Car+SUV'!E56+'Van+Ute'!E56</f>
        <v>1714.6728572256782</v>
      </c>
      <c r="F56" s="56">
        <f>'Car+SUV'!F56+'Van+Ute'!F56</f>
        <v>1761.9144385640216</v>
      </c>
      <c r="G56" s="56">
        <f>'Car+SUV'!G56+'Van+Ute'!G56</f>
        <v>1874.8487936040563</v>
      </c>
      <c r="H56" s="56">
        <f>'Car+SUV'!H56+'Van+Ute'!H56</f>
        <v>1915.0606607933976</v>
      </c>
      <c r="I56" s="56">
        <f>'Car+SUV'!I56+'Van+Ute'!I56</f>
        <v>1905.2667953431483</v>
      </c>
      <c r="J56" s="56">
        <f>'Car+SUV'!J56+'Van+Ute'!J56</f>
        <v>1973.2359273057807</v>
      </c>
      <c r="K56" s="56">
        <f>'Car+SUV'!K56+'Van+Ute'!K56</f>
        <v>2021.9509171257521</v>
      </c>
      <c r="L56" s="56">
        <f>'Car+SUV'!L56+'Van+Ute'!L56</f>
        <v>1946.9195625351629</v>
      </c>
      <c r="M56" s="56">
        <f>'Car+SUV'!M56+'Van+Ute'!M56</f>
        <v>1860.1457353113688</v>
      </c>
      <c r="N56" s="56">
        <f>'Car+SUV'!N56+'Van+Ute'!N56</f>
        <v>1754.9155466391799</v>
      </c>
      <c r="O56" s="56">
        <f>'Car+SUV'!O56+'Van+Ute'!O56</f>
        <v>1643.372181312358</v>
      </c>
      <c r="P56" s="159">
        <f>'Car+SUV'!P56+'Van+Ute'!P56</f>
        <v>1529.1186814889852</v>
      </c>
      <c r="Q56" s="159">
        <f>'Car+SUV'!Q56+'Van+Ute'!Q56</f>
        <v>1411.9871569346142</v>
      </c>
      <c r="R56" s="160">
        <f>'Car+SUV'!R56+'Van+Ute'!R56</f>
        <v>1294.3977595866947</v>
      </c>
    </row>
    <row r="57" spans="3:18" ht="16" x14ac:dyDescent="0.2">
      <c r="C57" s="24" t="s">
        <v>8</v>
      </c>
      <c r="D57" s="55">
        <f>'Car+SUV'!D57+'Van+Ute'!D57</f>
        <v>2526.3267482511314</v>
      </c>
      <c r="E57" s="56">
        <f>'Car+SUV'!E57+'Van+Ute'!E57</f>
        <v>2573.355132669979</v>
      </c>
      <c r="F57" s="56">
        <f>'Car+SUV'!F57+'Van+Ute'!F57</f>
        <v>2779.1639214417592</v>
      </c>
      <c r="G57" s="56">
        <f>'Car+SUV'!G57+'Van+Ute'!G57</f>
        <v>2750.6316726932396</v>
      </c>
      <c r="H57" s="56">
        <f>'Car+SUV'!H57+'Van+Ute'!H57</f>
        <v>2717.8506482937514</v>
      </c>
      <c r="I57" s="56">
        <f>'Car+SUV'!I57+'Van+Ute'!I57</f>
        <v>2827.6731703171013</v>
      </c>
      <c r="J57" s="56">
        <f>'Car+SUV'!J57+'Van+Ute'!J57</f>
        <v>2882.4531533186732</v>
      </c>
      <c r="K57" s="56">
        <f>'Car+SUV'!K57+'Van+Ute'!K57</f>
        <v>2984.052362251316</v>
      </c>
      <c r="L57" s="56">
        <f>'Car+SUV'!L57+'Van+Ute'!L57</f>
        <v>2905.9139837246712</v>
      </c>
      <c r="M57" s="56">
        <f>'Car+SUV'!M57+'Van+Ute'!M57</f>
        <v>2813.0965609462392</v>
      </c>
      <c r="N57" s="56">
        <f>'Car+SUV'!N57+'Van+Ute'!N57</f>
        <v>2689.8560812855385</v>
      </c>
      <c r="O57" s="56">
        <f>'Car+SUV'!O57+'Van+Ute'!O57</f>
        <v>2552.0950461935863</v>
      </c>
      <c r="P57" s="159">
        <f>'Car+SUV'!P57+'Van+Ute'!P57</f>
        <v>2405.8789377284293</v>
      </c>
      <c r="Q57" s="159">
        <f>'Car+SUV'!Q57+'Van+Ute'!Q57</f>
        <v>2250.2603988254004</v>
      </c>
      <c r="R57" s="160">
        <f>'Car+SUV'!R57+'Van+Ute'!R57</f>
        <v>2089.0357281800279</v>
      </c>
    </row>
    <row r="58" spans="3:18" ht="16" x14ac:dyDescent="0.2">
      <c r="C58" s="24" t="s">
        <v>9</v>
      </c>
      <c r="D58" s="55">
        <f>'Car+SUV'!D58+'Van+Ute'!D58</f>
        <v>893.775453672298</v>
      </c>
      <c r="E58" s="56">
        <f>'Car+SUV'!E58+'Van+Ute'!E58</f>
        <v>906.60516426578931</v>
      </c>
      <c r="F58" s="56">
        <f>'Car+SUV'!F58+'Van+Ute'!F58</f>
        <v>873.8122857714045</v>
      </c>
      <c r="G58" s="56">
        <f>'Car+SUV'!G58+'Van+Ute'!G58</f>
        <v>1030.1697269378767</v>
      </c>
      <c r="H58" s="56">
        <f>'Car+SUV'!H58+'Van+Ute'!H58</f>
        <v>1056.3912026343926</v>
      </c>
      <c r="I58" s="56">
        <f>'Car+SUV'!I58+'Van+Ute'!I58</f>
        <v>1103.572725156826</v>
      </c>
      <c r="J58" s="56">
        <f>'Car+SUV'!J58+'Van+Ute'!J58</f>
        <v>1124.0459313885526</v>
      </c>
      <c r="K58" s="56">
        <f>'Car+SUV'!K58+'Van+Ute'!K58</f>
        <v>1163.5902150020372</v>
      </c>
      <c r="L58" s="56">
        <f>'Car+SUV'!L58+'Van+Ute'!L58</f>
        <v>1131.7933729016279</v>
      </c>
      <c r="M58" s="56">
        <f>'Car+SUV'!M58+'Van+Ute'!M58</f>
        <v>1091.7044483204688</v>
      </c>
      <c r="N58" s="56">
        <f>'Car+SUV'!N58+'Van+Ute'!N58</f>
        <v>1038.7628534580326</v>
      </c>
      <c r="O58" s="56">
        <f>'Car+SUV'!O58+'Van+Ute'!O58</f>
        <v>979.27767837695706</v>
      </c>
      <c r="P58" s="159">
        <f>'Car+SUV'!P58+'Van+Ute'!P58</f>
        <v>917.36323917990967</v>
      </c>
      <c r="Q58" s="159">
        <f>'Car+SUV'!Q58+'Van+Ute'!Q58</f>
        <v>852.86757471881924</v>
      </c>
      <c r="R58" s="160">
        <f>'Car+SUV'!R58+'Van+Ute'!R58</f>
        <v>787.20864164663794</v>
      </c>
    </row>
    <row r="59" spans="3:18" ht="16" x14ac:dyDescent="0.2">
      <c r="C59" s="24" t="s">
        <v>10</v>
      </c>
      <c r="D59" s="55">
        <f>'Car+SUV'!D59+'Van+Ute'!D59</f>
        <v>328.17134164495133</v>
      </c>
      <c r="E59" s="56">
        <f>'Car+SUV'!E59+'Van+Ute'!E59</f>
        <v>329.60537630315076</v>
      </c>
      <c r="F59" s="56">
        <f>'Car+SUV'!F59+'Van+Ute'!F59</f>
        <v>352.85688638693546</v>
      </c>
      <c r="G59" s="56">
        <f>'Car+SUV'!G59+'Van+Ute'!G59</f>
        <v>380.18278026684106</v>
      </c>
      <c r="H59" s="56">
        <f>'Car+SUV'!H59+'Van+Ute'!H59</f>
        <v>394.33347041751176</v>
      </c>
      <c r="I59" s="56">
        <f>'Car+SUV'!I59+'Van+Ute'!I59</f>
        <v>426.65746526303593</v>
      </c>
      <c r="J59" s="56">
        <f>'Car+SUV'!J59+'Van+Ute'!J59</f>
        <v>425.16083157055425</v>
      </c>
      <c r="K59" s="56">
        <f>'Car+SUV'!K59+'Van+Ute'!K59</f>
        <v>429.83118074085939</v>
      </c>
      <c r="L59" s="56">
        <f>'Car+SUV'!L59+'Van+Ute'!L59</f>
        <v>406.51420658190671</v>
      </c>
      <c r="M59" s="56">
        <f>'Car+SUV'!M59+'Van+Ute'!M59</f>
        <v>381.42851488364158</v>
      </c>
      <c r="N59" s="56">
        <f>'Car+SUV'!N59+'Van+Ute'!N59</f>
        <v>353.22430765105315</v>
      </c>
      <c r="O59" s="56">
        <f>'Car+SUV'!O59+'Van+Ute'!O59</f>
        <v>324.94294845398423</v>
      </c>
      <c r="P59" s="159">
        <f>'Car+SUV'!P59+'Van+Ute'!P59</f>
        <v>297.02240111413772</v>
      </c>
      <c r="Q59" s="159">
        <f>'Car+SUV'!Q59+'Van+Ute'!Q59</f>
        <v>269.435974624702</v>
      </c>
      <c r="R59" s="160">
        <f>'Car+SUV'!R59+'Van+Ute'!R59</f>
        <v>242.64391923559651</v>
      </c>
    </row>
    <row r="60" spans="3:18" ht="16" x14ac:dyDescent="0.2">
      <c r="C60" s="24" t="s">
        <v>11</v>
      </c>
      <c r="D60" s="55">
        <f>'Car+SUV'!D60+'Van+Ute'!D60</f>
        <v>3605.7853595229435</v>
      </c>
      <c r="E60" s="56">
        <f>'Car+SUV'!E60+'Van+Ute'!E60</f>
        <v>3753.1549163898626</v>
      </c>
      <c r="F60" s="56">
        <f>'Car+SUV'!F60+'Van+Ute'!F60</f>
        <v>3961.466136266079</v>
      </c>
      <c r="G60" s="56">
        <f>'Car+SUV'!G60+'Van+Ute'!G60</f>
        <v>4254.3384422427844</v>
      </c>
      <c r="H60" s="56">
        <f>'Car+SUV'!H60+'Van+Ute'!H60</f>
        <v>4202.4065542317676</v>
      </c>
      <c r="I60" s="56">
        <f>'Car+SUV'!I60+'Van+Ute'!I60</f>
        <v>4396.5243769358176</v>
      </c>
      <c r="J60" s="56">
        <f>'Car+SUV'!J60+'Van+Ute'!J60</f>
        <v>4509.5521690913138</v>
      </c>
      <c r="K60" s="56">
        <f>'Car+SUV'!K60+'Van+Ute'!K60</f>
        <v>4795.2408540713277</v>
      </c>
      <c r="L60" s="56">
        <f>'Car+SUV'!L60+'Van+Ute'!L60</f>
        <v>4769.9889078525775</v>
      </c>
      <c r="M60" s="56">
        <f>'Car+SUV'!M60+'Van+Ute'!M60</f>
        <v>4710.5994581968498</v>
      </c>
      <c r="N60" s="56">
        <f>'Car+SUV'!N60+'Van+Ute'!N60</f>
        <v>4594.3663518976391</v>
      </c>
      <c r="O60" s="56">
        <f>'Car+SUV'!O60+'Van+Ute'!O60</f>
        <v>4447.8270029844352</v>
      </c>
      <c r="P60" s="159">
        <f>'Car+SUV'!P60+'Van+Ute'!P60</f>
        <v>4278.541069570414</v>
      </c>
      <c r="Q60" s="159">
        <f>'Car+SUV'!Q60+'Van+Ute'!Q60</f>
        <v>4084.3957186897164</v>
      </c>
      <c r="R60" s="160">
        <f>'Car+SUV'!R60+'Van+Ute'!R60</f>
        <v>3870.8591890591374</v>
      </c>
    </row>
    <row r="61" spans="3:18" ht="16" x14ac:dyDescent="0.2">
      <c r="C61" s="24" t="s">
        <v>12</v>
      </c>
      <c r="D61" s="55">
        <f>'Car+SUV'!D61+'Van+Ute'!D61</f>
        <v>1457.4568504361932</v>
      </c>
      <c r="E61" s="56">
        <f>'Car+SUV'!E61+'Van+Ute'!E61</f>
        <v>1498.0768675491838</v>
      </c>
      <c r="F61" s="56">
        <f>'Car+SUV'!F61+'Van+Ute'!F61</f>
        <v>1556.5053835708459</v>
      </c>
      <c r="G61" s="56">
        <f>'Car+SUV'!G61+'Van+Ute'!G61</f>
        <v>1644.8774878043305</v>
      </c>
      <c r="H61" s="56">
        <f>'Car+SUV'!H61+'Van+Ute'!H61</f>
        <v>1692.6121814286205</v>
      </c>
      <c r="I61" s="56">
        <f>'Car+SUV'!I61+'Van+Ute'!I61</f>
        <v>1815.5385362014188</v>
      </c>
      <c r="J61" s="56">
        <f>'Car+SUV'!J61+'Van+Ute'!J61</f>
        <v>1906.1436544487476</v>
      </c>
      <c r="K61" s="56">
        <f>'Car+SUV'!K61+'Van+Ute'!K61</f>
        <v>1995.9038447687408</v>
      </c>
      <c r="L61" s="56">
        <f>'Car+SUV'!L61+'Van+Ute'!L61</f>
        <v>1953.2419251485865</v>
      </c>
      <c r="M61" s="56">
        <f>'Car+SUV'!M61+'Van+Ute'!M61</f>
        <v>1898.5072039329852</v>
      </c>
      <c r="N61" s="56">
        <f>'Car+SUV'!N61+'Van+Ute'!N61</f>
        <v>1823.5788344482496</v>
      </c>
      <c r="O61" s="56">
        <f>'Car+SUV'!O61+'Van+Ute'!O61</f>
        <v>1739.0350081290965</v>
      </c>
      <c r="P61" s="159">
        <f>'Car+SUV'!P61+'Van+Ute'!P61</f>
        <v>1647.849938549733</v>
      </c>
      <c r="Q61" s="159">
        <f>'Car+SUV'!Q61+'Van+Ute'!Q61</f>
        <v>1549.5703029725355</v>
      </c>
      <c r="R61" s="160">
        <f>'Car+SUV'!R61+'Van+Ute'!R61</f>
        <v>1446.6129979577966</v>
      </c>
    </row>
    <row r="62" spans="3:18" ht="17" thickBot="1" x14ac:dyDescent="0.25">
      <c r="C62" s="25" t="s">
        <v>13</v>
      </c>
      <c r="D62" s="58">
        <f>'Car+SUV'!D62+'Van+Ute'!D62</f>
        <v>776.98693565603571</v>
      </c>
      <c r="E62" s="59">
        <f>'Car+SUV'!E62+'Van+Ute'!E62</f>
        <v>792.52700324826901</v>
      </c>
      <c r="F62" s="59">
        <f>'Car+SUV'!F62+'Van+Ute'!F62</f>
        <v>767.64395612199041</v>
      </c>
      <c r="G62" s="59">
        <f>'Car+SUV'!G62+'Van+Ute'!G62</f>
        <v>871.32586357758191</v>
      </c>
      <c r="H62" s="59">
        <f>'Car+SUV'!H62+'Van+Ute'!H62</f>
        <v>880.30918701104326</v>
      </c>
      <c r="I62" s="59">
        <f>'Car+SUV'!I62+'Van+Ute'!I62</f>
        <v>906.25486173629758</v>
      </c>
      <c r="J62" s="59">
        <f>'Car+SUV'!J62+'Van+Ute'!J62</f>
        <v>1004.2747329454016</v>
      </c>
      <c r="K62" s="59">
        <f>'Car+SUV'!K62+'Van+Ute'!K62</f>
        <v>1022.6420571726786</v>
      </c>
      <c r="L62" s="59">
        <f>'Car+SUV'!L62+'Van+Ute'!L62</f>
        <v>978.01654609198238</v>
      </c>
      <c r="M62" s="59">
        <f>'Car+SUV'!M62+'Van+Ute'!M62</f>
        <v>929.17062371661291</v>
      </c>
      <c r="N62" s="59">
        <f>'Car+SUV'!N62+'Van+Ute'!N62</f>
        <v>871.72853279992012</v>
      </c>
      <c r="O62" s="59">
        <f>'Car+SUV'!O62+'Van+Ute'!O62</f>
        <v>812.07455196258638</v>
      </c>
      <c r="P62" s="162">
        <f>'Car+SUV'!P62+'Van+Ute'!P62</f>
        <v>751.68536465113061</v>
      </c>
      <c r="Q62" s="162">
        <f>'Car+SUV'!Q62+'Van+Ute'!Q62</f>
        <v>690.49506210382026</v>
      </c>
      <c r="R62" s="163">
        <f>'Car+SUV'!R62+'Van+Ute'!R62</f>
        <v>629.69828938220257</v>
      </c>
    </row>
    <row r="63" spans="3:18" ht="19" thickTop="1" thickBot="1" x14ac:dyDescent="0.25">
      <c r="C63" s="31" t="s">
        <v>24</v>
      </c>
      <c r="D63" s="61">
        <f t="shared" ref="D63:O63" si="91">SUM(D49:D62)</f>
        <v>28842.789008692605</v>
      </c>
      <c r="E63" s="62">
        <f t="shared" si="91"/>
        <v>29334.801558650197</v>
      </c>
      <c r="F63" s="62">
        <f t="shared" si="91"/>
        <v>30406.29436153287</v>
      </c>
      <c r="G63" s="62">
        <f t="shared" ref="G63:H63" si="92">SUM(G49:G62)</f>
        <v>32007.379228202473</v>
      </c>
      <c r="H63" s="62">
        <f t="shared" si="92"/>
        <v>32657.076048474719</v>
      </c>
      <c r="I63" s="62">
        <f t="shared" si="91"/>
        <v>33338.762573904765</v>
      </c>
      <c r="J63" s="62">
        <f t="shared" ref="J63" si="93">SUM(J49:J62)</f>
        <v>34633.139185408625</v>
      </c>
      <c r="K63" s="62">
        <f t="shared" si="91"/>
        <v>36479.182965250598</v>
      </c>
      <c r="L63" s="62">
        <f t="shared" si="91"/>
        <v>36061.088632649036</v>
      </c>
      <c r="M63" s="62">
        <f t="shared" si="91"/>
        <v>35420.459960711174</v>
      </c>
      <c r="N63" s="62">
        <f t="shared" si="91"/>
        <v>34338.503508025176</v>
      </c>
      <c r="O63" s="62">
        <f t="shared" si="91"/>
        <v>33041.938606023934</v>
      </c>
      <c r="P63" s="125">
        <f t="shared" ref="P63:R63" si="94">SUM(P49:P62)</f>
        <v>31606.140804237904</v>
      </c>
      <c r="Q63" s="125">
        <f t="shared" si="94"/>
        <v>30009.247712761364</v>
      </c>
      <c r="R63" s="126">
        <f t="shared" si="94"/>
        <v>28291.195004999234</v>
      </c>
    </row>
    <row r="64" spans="3:18" ht="14" thickTop="1" x14ac:dyDescent="0.15">
      <c r="O64" s="121"/>
    </row>
    <row r="65" spans="3:18" ht="14" thickBot="1" x14ac:dyDescent="0.2">
      <c r="O65" s="121"/>
    </row>
    <row r="66" spans="3:18" ht="17" thickTop="1" x14ac:dyDescent="0.2">
      <c r="C66" s="32" t="s">
        <v>60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3:18" ht="14" thickBot="1" x14ac:dyDescent="0.2">
      <c r="C67" s="18"/>
      <c r="D67" s="65" t="s">
        <v>25</v>
      </c>
      <c r="E67" s="65" t="s">
        <v>37</v>
      </c>
      <c r="F67" s="65" t="s">
        <v>38</v>
      </c>
      <c r="G67" s="37" t="s">
        <v>177</v>
      </c>
      <c r="H67" s="37" t="s">
        <v>178</v>
      </c>
      <c r="I67" s="65" t="s">
        <v>26</v>
      </c>
      <c r="J67" s="65"/>
      <c r="K67" s="65" t="s">
        <v>27</v>
      </c>
      <c r="L67" s="65" t="s">
        <v>28</v>
      </c>
      <c r="M67" s="65" t="s">
        <v>29</v>
      </c>
      <c r="N67" s="65" t="s">
        <v>30</v>
      </c>
      <c r="O67" s="65" t="s">
        <v>31</v>
      </c>
      <c r="P67" s="37" t="s">
        <v>174</v>
      </c>
      <c r="Q67" s="37" t="s">
        <v>175</v>
      </c>
      <c r="R67" s="38" t="s">
        <v>176</v>
      </c>
    </row>
    <row r="68" spans="3:18" ht="15" thickTop="1" thickBot="1" x14ac:dyDescent="0.2">
      <c r="C68" s="70"/>
      <c r="D68" s="71" t="s">
        <v>39</v>
      </c>
      <c r="E68" s="71" t="s">
        <v>39</v>
      </c>
      <c r="F68" s="71" t="s">
        <v>39</v>
      </c>
      <c r="G68" s="71" t="s">
        <v>39</v>
      </c>
      <c r="H68" s="71" t="s">
        <v>39</v>
      </c>
      <c r="I68" s="71" t="s">
        <v>39</v>
      </c>
      <c r="J68" s="71" t="s">
        <v>39</v>
      </c>
      <c r="K68" s="71" t="s">
        <v>32</v>
      </c>
      <c r="L68" s="71" t="s">
        <v>32</v>
      </c>
      <c r="M68" s="71" t="s">
        <v>32</v>
      </c>
      <c r="N68" s="71" t="s">
        <v>32</v>
      </c>
      <c r="O68" s="71" t="s">
        <v>32</v>
      </c>
      <c r="P68" s="65" t="s">
        <v>32</v>
      </c>
      <c r="Q68" s="65" t="s">
        <v>32</v>
      </c>
      <c r="R68" s="66" t="s">
        <v>32</v>
      </c>
    </row>
    <row r="69" spans="3:18" ht="17" thickTop="1" x14ac:dyDescent="0.2">
      <c r="C69" s="24" t="s">
        <v>0</v>
      </c>
      <c r="D69" s="42">
        <f>'Car+SUV'!D69+'Van+Ute'!D69</f>
        <v>99533.601902881986</v>
      </c>
      <c r="E69" s="43">
        <f>'Car+SUV'!E69+'Van+Ute'!E69</f>
        <v>101592.98348512857</v>
      </c>
      <c r="F69" s="43">
        <f>'Car+SUV'!F69+'Van+Ute'!F69</f>
        <v>103184.32269460775</v>
      </c>
      <c r="G69" s="43">
        <f>'Car+SUV'!G69+'Van+Ute'!G69</f>
        <v>107118.35873555273</v>
      </c>
      <c r="H69" s="43">
        <f>'Car+SUV'!H69+'Van+Ute'!H69</f>
        <v>112211.82456603071</v>
      </c>
      <c r="I69" s="43">
        <f>'Car+SUV'!I69+'Van+Ute'!I69</f>
        <v>113322.24971989907</v>
      </c>
      <c r="J69" s="43">
        <f>'Car+SUV'!J69+'Van+Ute'!J69</f>
        <v>117527.4629219496</v>
      </c>
      <c r="K69" s="43">
        <f>'Car+SUV'!K69+'Van+Ute'!K69</f>
        <v>123469.94694522905</v>
      </c>
      <c r="L69" s="43">
        <f>'Car+SUV'!L69+'Van+Ute'!L69</f>
        <v>122669.31467287327</v>
      </c>
      <c r="M69" s="43">
        <f>'Car+SUV'!M69+'Van+Ute'!M69</f>
        <v>120646.51723615096</v>
      </c>
      <c r="N69" s="43">
        <f>'Car+SUV'!N69+'Van+Ute'!N69</f>
        <v>116848.97549985723</v>
      </c>
      <c r="O69" s="43">
        <f>'Car+SUV'!O69+'Van+Ute'!O69</f>
        <v>112770.98578445877</v>
      </c>
      <c r="P69" s="53">
        <f>'Car+SUV'!P69+'Van+Ute'!P69</f>
        <v>106224.23136272343</v>
      </c>
      <c r="Q69" s="53">
        <f>'Car+SUV'!Q69+'Van+Ute'!Q69</f>
        <v>99295.754176514543</v>
      </c>
      <c r="R69" s="54">
        <f>'Car+SUV'!R69+'Van+Ute'!R69</f>
        <v>92147.163043767592</v>
      </c>
    </row>
    <row r="70" spans="3:18" ht="16" x14ac:dyDescent="0.2">
      <c r="C70" s="24" t="s">
        <v>1</v>
      </c>
      <c r="D70" s="42">
        <f>'Car+SUV'!D70+'Van+Ute'!D70</f>
        <v>837204.60079855169</v>
      </c>
      <c r="E70" s="43">
        <f>'Car+SUV'!E70+'Van+Ute'!E70</f>
        <v>864936.70457136247</v>
      </c>
      <c r="F70" s="43">
        <f>'Car+SUV'!F70+'Van+Ute'!F70</f>
        <v>914566.09340135113</v>
      </c>
      <c r="G70" s="43">
        <f>'Car+SUV'!G70+'Van+Ute'!G70</f>
        <v>951374.72960725415</v>
      </c>
      <c r="H70" s="43">
        <f>'Car+SUV'!H70+'Van+Ute'!H70</f>
        <v>988432.21736029489</v>
      </c>
      <c r="I70" s="43">
        <f>'Car+SUV'!I70+'Van+Ute'!I70</f>
        <v>1010052.1431368996</v>
      </c>
      <c r="J70" s="43">
        <f>'Car+SUV'!J70+'Van+Ute'!J70</f>
        <v>1030932.2994030232</v>
      </c>
      <c r="K70" s="43">
        <f>'Car+SUV'!K70+'Van+Ute'!K70</f>
        <v>1129647.3420724054</v>
      </c>
      <c r="L70" s="43">
        <f>'Car+SUV'!L70+'Van+Ute'!L70</f>
        <v>1171073.3761656734</v>
      </c>
      <c r="M70" s="43">
        <f>'Car+SUV'!M70+'Van+Ute'!M70</f>
        <v>1195658.069932593</v>
      </c>
      <c r="N70" s="43">
        <f>'Car+SUV'!N70+'Van+Ute'!N70</f>
        <v>1203070.075389581</v>
      </c>
      <c r="O70" s="43">
        <f>'Car+SUV'!O70+'Van+Ute'!O70</f>
        <v>1202491.4140795432</v>
      </c>
      <c r="P70" s="56">
        <f>'Car+SUV'!P70+'Van+Ute'!P70</f>
        <v>1175783.3769629165</v>
      </c>
      <c r="Q70" s="56">
        <f>'Car+SUV'!Q70+'Van+Ute'!Q70</f>
        <v>1140915.5747999025</v>
      </c>
      <c r="R70" s="57">
        <f>'Car+SUV'!R70+'Van+Ute'!R70</f>
        <v>1099066.3477956601</v>
      </c>
    </row>
    <row r="71" spans="3:18" ht="16" x14ac:dyDescent="0.2">
      <c r="C71" s="24" t="s">
        <v>2</v>
      </c>
      <c r="D71" s="42">
        <f>'Car+SUV'!D71+'Van+Ute'!D71</f>
        <v>260853.45470876776</v>
      </c>
      <c r="E71" s="43">
        <f>'Car+SUV'!E71+'Van+Ute'!E71</f>
        <v>269378.45249783417</v>
      </c>
      <c r="F71" s="43">
        <f>'Car+SUV'!F71+'Van+Ute'!F71</f>
        <v>277368.08518352715</v>
      </c>
      <c r="G71" s="43">
        <f>'Car+SUV'!G71+'Van+Ute'!G71</f>
        <v>288182.34111183754</v>
      </c>
      <c r="H71" s="43">
        <f>'Car+SUV'!H71+'Van+Ute'!H71</f>
        <v>299176.38626339863</v>
      </c>
      <c r="I71" s="43">
        <f>'Car+SUV'!I71+'Van+Ute'!I71</f>
        <v>309618.86751976924</v>
      </c>
      <c r="J71" s="43">
        <f>'Car+SUV'!J71+'Van+Ute'!J71</f>
        <v>319074.48808574496</v>
      </c>
      <c r="K71" s="43">
        <f>'Car+SUV'!K71+'Van+Ute'!K71</f>
        <v>340000.50660864776</v>
      </c>
      <c r="L71" s="43">
        <f>'Car+SUV'!L71+'Van+Ute'!L71</f>
        <v>343571.40055187279</v>
      </c>
      <c r="M71" s="43">
        <f>'Car+SUV'!M71+'Van+Ute'!M71</f>
        <v>343209.0331118438</v>
      </c>
      <c r="N71" s="43">
        <f>'Car+SUV'!N71+'Van+Ute'!N71</f>
        <v>337858.46261596301</v>
      </c>
      <c r="O71" s="43">
        <f>'Car+SUV'!O71+'Van+Ute'!O71</f>
        <v>331211.11211133207</v>
      </c>
      <c r="P71" s="56">
        <f>'Car+SUV'!P71+'Van+Ute'!P71</f>
        <v>317118.06452055316</v>
      </c>
      <c r="Q71" s="56">
        <f>'Car+SUV'!Q71+'Van+Ute'!Q71</f>
        <v>301313.0395732522</v>
      </c>
      <c r="R71" s="57">
        <f>'Car+SUV'!R71+'Van+Ute'!R71</f>
        <v>284222.90873007051</v>
      </c>
    </row>
    <row r="72" spans="3:18" ht="16" x14ac:dyDescent="0.2">
      <c r="C72" s="24" t="s">
        <v>3</v>
      </c>
      <c r="D72" s="42">
        <f>'Car+SUV'!D72+'Van+Ute'!D72</f>
        <v>197838.75576075126</v>
      </c>
      <c r="E72" s="43">
        <f>'Car+SUV'!E72+'Van+Ute'!E72</f>
        <v>202626.79333403031</v>
      </c>
      <c r="F72" s="43">
        <f>'Car+SUV'!F72+'Van+Ute'!F72</f>
        <v>207991.84551367775</v>
      </c>
      <c r="G72" s="43">
        <f>'Car+SUV'!G72+'Van+Ute'!G72</f>
        <v>217103.00141679801</v>
      </c>
      <c r="H72" s="43">
        <f>'Car+SUV'!H72+'Van+Ute'!H72</f>
        <v>227149.17848667142</v>
      </c>
      <c r="I72" s="43">
        <f>'Car+SUV'!I72+'Van+Ute'!I72</f>
        <v>235388.18318325869</v>
      </c>
      <c r="J72" s="43">
        <f>'Car+SUV'!J72+'Van+Ute'!J72</f>
        <v>244724.14402605852</v>
      </c>
      <c r="K72" s="43">
        <f>'Car+SUV'!K72+'Van+Ute'!K72</f>
        <v>259162.84941345325</v>
      </c>
      <c r="L72" s="43">
        <f>'Car+SUV'!L72+'Van+Ute'!L72</f>
        <v>259368.14930392202</v>
      </c>
      <c r="M72" s="43">
        <f>'Car+SUV'!M72+'Van+Ute'!M72</f>
        <v>257096.93789578386</v>
      </c>
      <c r="N72" s="43">
        <f>'Car+SUV'!N72+'Van+Ute'!N72</f>
        <v>251287.4446400039</v>
      </c>
      <c r="O72" s="43">
        <f>'Car+SUV'!O72+'Van+Ute'!O72</f>
        <v>244881.2211383679</v>
      </c>
      <c r="P72" s="56">
        <f>'Car+SUV'!P72+'Van+Ute'!P72</f>
        <v>232877.76793621108</v>
      </c>
      <c r="Q72" s="56">
        <f>'Car+SUV'!Q72+'Van+Ute'!Q72</f>
        <v>219776.59398949091</v>
      </c>
      <c r="R72" s="57">
        <f>'Car+SUV'!R72+'Van+Ute'!R72</f>
        <v>205910.76688538434</v>
      </c>
    </row>
    <row r="73" spans="3:18" ht="16" x14ac:dyDescent="0.2">
      <c r="C73" s="24" t="s">
        <v>4</v>
      </c>
      <c r="D73" s="42">
        <f>'Car+SUV'!D73+'Van+Ute'!D73</f>
        <v>26004.412220173319</v>
      </c>
      <c r="E73" s="43">
        <f>'Car+SUV'!E73+'Van+Ute'!E73</f>
        <v>26292.747154941957</v>
      </c>
      <c r="F73" s="43">
        <f>'Car+SUV'!F73+'Van+Ute'!F73</f>
        <v>26710.059946540623</v>
      </c>
      <c r="G73" s="43">
        <f>'Car+SUV'!G73+'Van+Ute'!G73</f>
        <v>27123.554645722874</v>
      </c>
      <c r="H73" s="43">
        <f>'Car+SUV'!H73+'Van+Ute'!H73</f>
        <v>27848.276612127487</v>
      </c>
      <c r="I73" s="43">
        <f>'Car+SUV'!I73+'Van+Ute'!I73</f>
        <v>32244.413760939635</v>
      </c>
      <c r="J73" s="43">
        <f>'Car+SUV'!J73+'Van+Ute'!J73</f>
        <v>32330.529950802007</v>
      </c>
      <c r="K73" s="43">
        <f>'Car+SUV'!K73+'Van+Ute'!K73</f>
        <v>33348.974642522364</v>
      </c>
      <c r="L73" s="43">
        <f>'Car+SUV'!L73+'Van+Ute'!L73</f>
        <v>33048.451509300408</v>
      </c>
      <c r="M73" s="43">
        <f>'Car+SUV'!M73+'Van+Ute'!M73</f>
        <v>32214.283912780851</v>
      </c>
      <c r="N73" s="43">
        <f>'Car+SUV'!N73+'Van+Ute'!N73</f>
        <v>30999.293475437742</v>
      </c>
      <c r="O73" s="43">
        <f>'Car+SUV'!O73+'Van+Ute'!O73</f>
        <v>29739.702112057257</v>
      </c>
      <c r="P73" s="56">
        <f>'Car+SUV'!P73+'Van+Ute'!P73</f>
        <v>27619.293963707245</v>
      </c>
      <c r="Q73" s="56">
        <f>'Car+SUV'!Q73+'Van+Ute'!Q73</f>
        <v>25454.782580937135</v>
      </c>
      <c r="R73" s="57">
        <f>'Car+SUV'!R73+'Van+Ute'!R73</f>
        <v>23290.049960865923</v>
      </c>
    </row>
    <row r="74" spans="3:18" ht="16" x14ac:dyDescent="0.2">
      <c r="C74" s="24" t="s">
        <v>5</v>
      </c>
      <c r="D74" s="42">
        <f>'Car+SUV'!D74+'Van+Ute'!D74</f>
        <v>98002.592468713687</v>
      </c>
      <c r="E74" s="43">
        <f>'Car+SUV'!E74+'Van+Ute'!E74</f>
        <v>99703.927605851248</v>
      </c>
      <c r="F74" s="43">
        <f>'Car+SUV'!F74+'Van+Ute'!F74</f>
        <v>101357.1163114713</v>
      </c>
      <c r="G74" s="43">
        <f>'Car+SUV'!G74+'Van+Ute'!G74</f>
        <v>104904.23115110649</v>
      </c>
      <c r="H74" s="43">
        <f>'Car+SUV'!H74+'Van+Ute'!H74</f>
        <v>109016.88702129821</v>
      </c>
      <c r="I74" s="43">
        <f>'Car+SUV'!I74+'Van+Ute'!I74</f>
        <v>112407.05120474339</v>
      </c>
      <c r="J74" s="43">
        <f>'Car+SUV'!J74+'Van+Ute'!J74</f>
        <v>116053.05606409743</v>
      </c>
      <c r="K74" s="43">
        <f>'Car+SUV'!K74+'Van+Ute'!K74</f>
        <v>120240.49323925073</v>
      </c>
      <c r="L74" s="43">
        <f>'Car+SUV'!L74+'Van+Ute'!L74</f>
        <v>117799.6958448441</v>
      </c>
      <c r="M74" s="43">
        <f>'Car+SUV'!M74+'Van+Ute'!M74</f>
        <v>114274.32144881024</v>
      </c>
      <c r="N74" s="43">
        <f>'Car+SUV'!N74+'Van+Ute'!N74</f>
        <v>109334.49271697176</v>
      </c>
      <c r="O74" s="43">
        <f>'Car+SUV'!O74+'Van+Ute'!O74</f>
        <v>104403.24314359293</v>
      </c>
      <c r="P74" s="56">
        <f>'Car+SUV'!P74+'Van+Ute'!P74</f>
        <v>97200.873618322337</v>
      </c>
      <c r="Q74" s="56">
        <f>'Car+SUV'!Q74+'Van+Ute'!Q74</f>
        <v>89806.383565229145</v>
      </c>
      <c r="R74" s="57">
        <f>'Car+SUV'!R74+'Van+Ute'!R74</f>
        <v>82373.677777613892</v>
      </c>
    </row>
    <row r="75" spans="3:18" ht="16" x14ac:dyDescent="0.2">
      <c r="C75" s="24" t="s">
        <v>6</v>
      </c>
      <c r="D75" s="42">
        <f>'Car+SUV'!D75+'Van+Ute'!D75</f>
        <v>73773.718446360203</v>
      </c>
      <c r="E75" s="43">
        <f>'Car+SUV'!E75+'Van+Ute'!E75</f>
        <v>75754.926797001535</v>
      </c>
      <c r="F75" s="43">
        <f>'Car+SUV'!F75+'Van+Ute'!F75</f>
        <v>76952.087092408445</v>
      </c>
      <c r="G75" s="43">
        <f>'Car+SUV'!G75+'Van+Ute'!G75</f>
        <v>78405.808090572726</v>
      </c>
      <c r="H75" s="43">
        <f>'Car+SUV'!H75+'Van+Ute'!H75</f>
        <v>80015.029751169437</v>
      </c>
      <c r="I75" s="43">
        <f>'Car+SUV'!I75+'Van+Ute'!I75</f>
        <v>84889.847531443666</v>
      </c>
      <c r="J75" s="43">
        <f>'Car+SUV'!J75+'Van+Ute'!J75</f>
        <v>86998.857558466232</v>
      </c>
      <c r="K75" s="43">
        <f>'Car+SUV'!K75+'Van+Ute'!K75</f>
        <v>90411.492327189349</v>
      </c>
      <c r="L75" s="43">
        <f>'Car+SUV'!L75+'Van+Ute'!L75</f>
        <v>89307.308595220165</v>
      </c>
      <c r="M75" s="43">
        <f>'Car+SUV'!M75+'Van+Ute'!M75</f>
        <v>87134.43496028037</v>
      </c>
      <c r="N75" s="43">
        <f>'Car+SUV'!N75+'Van+Ute'!N75</f>
        <v>84495.006093409043</v>
      </c>
      <c r="O75" s="43">
        <f>'Car+SUV'!O75+'Van+Ute'!O75</f>
        <v>81647.668280048383</v>
      </c>
      <c r="P75" s="56">
        <f>'Car+SUV'!P75+'Van+Ute'!P75</f>
        <v>77047.915220348834</v>
      </c>
      <c r="Q75" s="56">
        <f>'Car+SUV'!Q75+'Van+Ute'!Q75</f>
        <v>72153.741894700259</v>
      </c>
      <c r="R75" s="57">
        <f>'Car+SUV'!R75+'Van+Ute'!R75</f>
        <v>67081.232573240297</v>
      </c>
    </row>
    <row r="76" spans="3:18" ht="16" x14ac:dyDescent="0.2">
      <c r="C76" s="24" t="s">
        <v>7</v>
      </c>
      <c r="D76" s="42">
        <f>'Car+SUV'!D76+'Van+Ute'!D76</f>
        <v>147242.60342973581</v>
      </c>
      <c r="E76" s="43">
        <f>'Car+SUV'!E76+'Van+Ute'!E76</f>
        <v>149579.2450051631</v>
      </c>
      <c r="F76" s="43">
        <f>'Car+SUV'!F76+'Van+Ute'!F76</f>
        <v>153308.88606128757</v>
      </c>
      <c r="G76" s="43">
        <f>'Car+SUV'!G76+'Van+Ute'!G76</f>
        <v>157805.75275131097</v>
      </c>
      <c r="H76" s="43">
        <f>'Car+SUV'!H76+'Van+Ute'!H76</f>
        <v>163026.86826235204</v>
      </c>
      <c r="I76" s="43">
        <f>'Car+SUV'!I76+'Van+Ute'!I76</f>
        <v>167603.04713500605</v>
      </c>
      <c r="J76" s="43">
        <f>'Car+SUV'!J76+'Van+Ute'!J76</f>
        <v>173072.56649921325</v>
      </c>
      <c r="K76" s="43">
        <f>'Car+SUV'!K76+'Van+Ute'!K76</f>
        <v>178457.61015582061</v>
      </c>
      <c r="L76" s="43">
        <f>'Car+SUV'!L76+'Van+Ute'!L76</f>
        <v>174222.6950545118</v>
      </c>
      <c r="M76" s="43">
        <f>'Car+SUV'!M76+'Van+Ute'!M76</f>
        <v>169009.30770150508</v>
      </c>
      <c r="N76" s="43">
        <f>'Car+SUV'!N76+'Van+Ute'!N76</f>
        <v>161607.05392529722</v>
      </c>
      <c r="O76" s="43">
        <f>'Car+SUV'!O76+'Van+Ute'!O76</f>
        <v>154198.63424678205</v>
      </c>
      <c r="P76" s="56">
        <f>'Car+SUV'!P76+'Van+Ute'!P76</f>
        <v>143370.54011461412</v>
      </c>
      <c r="Q76" s="56">
        <f>'Car+SUV'!Q76+'Van+Ute'!Q76</f>
        <v>132287.91655400812</v>
      </c>
      <c r="R76" s="57">
        <f>'Car+SUV'!R76+'Van+Ute'!R76</f>
        <v>121178.24007785413</v>
      </c>
    </row>
    <row r="77" spans="3:18" ht="16" x14ac:dyDescent="0.2">
      <c r="C77" s="24" t="s">
        <v>8</v>
      </c>
      <c r="D77" s="42">
        <f>'Car+SUV'!D77+'Van+Ute'!D77</f>
        <v>262793.46636836999</v>
      </c>
      <c r="E77" s="43">
        <f>'Car+SUV'!E77+'Van+Ute'!E77</f>
        <v>267429.46225909749</v>
      </c>
      <c r="F77" s="43">
        <f>'Car+SUV'!F77+'Van+Ute'!F77</f>
        <v>273818.26305253874</v>
      </c>
      <c r="G77" s="43">
        <f>'Car+SUV'!G77+'Van+Ute'!G77</f>
        <v>281208.62722983561</v>
      </c>
      <c r="H77" s="43">
        <f>'Car+SUV'!H77+'Van+Ute'!H77</f>
        <v>290748.55004399025</v>
      </c>
      <c r="I77" s="43">
        <f>'Car+SUV'!I77+'Van+Ute'!I77</f>
        <v>298392.42745807511</v>
      </c>
      <c r="J77" s="43">
        <f>'Car+SUV'!J77+'Van+Ute'!J77</f>
        <v>307352.66119225015</v>
      </c>
      <c r="K77" s="43">
        <f>'Car+SUV'!K77+'Van+Ute'!K77</f>
        <v>320563.09753697581</v>
      </c>
      <c r="L77" s="43">
        <f>'Car+SUV'!L77+'Van+Ute'!L77</f>
        <v>317457.05796534102</v>
      </c>
      <c r="M77" s="43">
        <f>'Car+SUV'!M77+'Van+Ute'!M77</f>
        <v>310108.09788355767</v>
      </c>
      <c r="N77" s="43">
        <f>'Car+SUV'!N77+'Van+Ute'!N77</f>
        <v>300656.00240646425</v>
      </c>
      <c r="O77" s="43">
        <f>'Car+SUV'!O77+'Van+Ute'!O77</f>
        <v>290462.5821423654</v>
      </c>
      <c r="P77" s="56">
        <f>'Car+SUV'!P77+'Van+Ute'!P77</f>
        <v>274109.53756745008</v>
      </c>
      <c r="Q77" s="56">
        <f>'Car+SUV'!Q77+'Van+Ute'!Q77</f>
        <v>256707.73877708387</v>
      </c>
      <c r="R77" s="57">
        <f>'Car+SUV'!R77+'Van+Ute'!R77</f>
        <v>238670.08306921594</v>
      </c>
    </row>
    <row r="78" spans="3:18" ht="16" x14ac:dyDescent="0.2">
      <c r="C78" s="24" t="s">
        <v>9</v>
      </c>
      <c r="D78" s="42">
        <f>'Car+SUV'!D78+'Van+Ute'!D78</f>
        <v>103882.52149964115</v>
      </c>
      <c r="E78" s="43">
        <f>'Car+SUV'!E78+'Van+Ute'!E78</f>
        <v>106692.11884391919</v>
      </c>
      <c r="F78" s="43">
        <f>'Car+SUV'!F78+'Van+Ute'!F78</f>
        <v>110492.48808594114</v>
      </c>
      <c r="G78" s="43">
        <f>'Car+SUV'!G78+'Van+Ute'!G78</f>
        <v>117329.41236439779</v>
      </c>
      <c r="H78" s="43">
        <f>'Car+SUV'!H78+'Van+Ute'!H78</f>
        <v>124117.61756324989</v>
      </c>
      <c r="I78" s="43">
        <f>'Car+SUV'!I78+'Van+Ute'!I78</f>
        <v>126648.10937274981</v>
      </c>
      <c r="J78" s="43">
        <f>'Car+SUV'!J78+'Van+Ute'!J78</f>
        <v>131221.51445878606</v>
      </c>
      <c r="K78" s="43">
        <f>'Car+SUV'!K78+'Van+Ute'!K78</f>
        <v>137048.15536201731</v>
      </c>
      <c r="L78" s="43">
        <f>'Car+SUV'!L78+'Van+Ute'!L78</f>
        <v>135720.19876297712</v>
      </c>
      <c r="M78" s="43">
        <f>'Car+SUV'!M78+'Van+Ute'!M78</f>
        <v>132281.14245353261</v>
      </c>
      <c r="N78" s="43">
        <f>'Car+SUV'!N78+'Van+Ute'!N78</f>
        <v>126632.33673726444</v>
      </c>
      <c r="O78" s="43">
        <f>'Car+SUV'!O78+'Van+Ute'!O78</f>
        <v>120847.00488319922</v>
      </c>
      <c r="P78" s="56">
        <f>'Car+SUV'!P78+'Van+Ute'!P78</f>
        <v>113121.58976236451</v>
      </c>
      <c r="Q78" s="56">
        <f>'Car+SUV'!Q78+'Van+Ute'!Q78</f>
        <v>105088.809735381</v>
      </c>
      <c r="R78" s="57">
        <f>'Car+SUV'!R78+'Van+Ute'!R78</f>
        <v>96924.190137915532</v>
      </c>
    </row>
    <row r="79" spans="3:18" ht="16" x14ac:dyDescent="0.2">
      <c r="C79" s="24" t="s">
        <v>10</v>
      </c>
      <c r="D79" s="42">
        <f>'Car+SUV'!D79+'Van+Ute'!D79</f>
        <v>22386.948116354637</v>
      </c>
      <c r="E79" s="43">
        <f>'Car+SUV'!E79+'Van+Ute'!E79</f>
        <v>22580.32178011513</v>
      </c>
      <c r="F79" s="43">
        <f>'Car+SUV'!F79+'Van+Ute'!F79</f>
        <v>22443.047406007052</v>
      </c>
      <c r="G79" s="43">
        <f>'Car+SUV'!G79+'Van+Ute'!G79</f>
        <v>22440.599430344821</v>
      </c>
      <c r="H79" s="43">
        <f>'Car+SUV'!H79+'Van+Ute'!H79</f>
        <v>22631.842651890169</v>
      </c>
      <c r="I79" s="43">
        <f>'Car+SUV'!I79+'Van+Ute'!I79</f>
        <v>23192.721517863363</v>
      </c>
      <c r="J79" s="43">
        <f>'Car+SUV'!J79+'Van+Ute'!J79</f>
        <v>23960.107309966785</v>
      </c>
      <c r="K79" s="43">
        <f>'Car+SUV'!K79+'Van+Ute'!K79</f>
        <v>24190.421139293139</v>
      </c>
      <c r="L79" s="43">
        <f>'Car+SUV'!L79+'Van+Ute'!L79</f>
        <v>23314.277625303297</v>
      </c>
      <c r="M79" s="43">
        <f>'Car+SUV'!M79+'Van+Ute'!M79</f>
        <v>21797.527950032778</v>
      </c>
      <c r="N79" s="43">
        <f>'Car+SUV'!N79+'Van+Ute'!N79</f>
        <v>20415.873613046402</v>
      </c>
      <c r="O79" s="43">
        <f>'Car+SUV'!O79+'Van+Ute'!O79</f>
        <v>19095.810641530625</v>
      </c>
      <c r="P79" s="56">
        <f>'Car+SUV'!P79+'Van+Ute'!P79</f>
        <v>17441.921127111105</v>
      </c>
      <c r="Q79" s="56">
        <f>'Car+SUV'!Q79+'Van+Ute'!Q79</f>
        <v>15809.982826720345</v>
      </c>
      <c r="R79" s="57">
        <f>'Car+SUV'!R79+'Van+Ute'!R79</f>
        <v>14226.978883247797</v>
      </c>
    </row>
    <row r="80" spans="3:18" ht="16" x14ac:dyDescent="0.2">
      <c r="C80" s="24" t="s">
        <v>11</v>
      </c>
      <c r="D80" s="42">
        <f>'Car+SUV'!D80+'Van+Ute'!D80</f>
        <v>411390.81711041008</v>
      </c>
      <c r="E80" s="43">
        <f>'Car+SUV'!E80+'Van+Ute'!E80</f>
        <v>422132.18241870869</v>
      </c>
      <c r="F80" s="43">
        <f>'Car+SUV'!F80+'Van+Ute'!F80</f>
        <v>436986.39792936906</v>
      </c>
      <c r="G80" s="43">
        <f>'Car+SUV'!G80+'Van+Ute'!G80</f>
        <v>451037.68996802339</v>
      </c>
      <c r="H80" s="43">
        <f>'Car+SUV'!H80+'Van+Ute'!H80</f>
        <v>463116.06374404993</v>
      </c>
      <c r="I80" s="43">
        <f>'Car+SUV'!I80+'Van+Ute'!I80</f>
        <v>473698.26996819873</v>
      </c>
      <c r="J80" s="43">
        <f>'Car+SUV'!J80+'Van+Ute'!J80</f>
        <v>486477.76674532291</v>
      </c>
      <c r="K80" s="43">
        <f>'Car+SUV'!K80+'Van+Ute'!K80</f>
        <v>520327.34301994054</v>
      </c>
      <c r="L80" s="43">
        <f>'Car+SUV'!L80+'Van+Ute'!L80</f>
        <v>526677.1704584175</v>
      </c>
      <c r="M80" s="43">
        <f>'Car+SUV'!M80+'Van+Ute'!M80</f>
        <v>526448.74146080413</v>
      </c>
      <c r="N80" s="43">
        <f>'Car+SUV'!N80+'Van+Ute'!N80</f>
        <v>519252.7684205274</v>
      </c>
      <c r="O80" s="43">
        <f>'Car+SUV'!O80+'Van+Ute'!O80</f>
        <v>509795.50675821427</v>
      </c>
      <c r="P80" s="56">
        <f>'Car+SUV'!P80+'Van+Ute'!P80</f>
        <v>490024.6785018309</v>
      </c>
      <c r="Q80" s="56">
        <f>'Car+SUV'!Q80+'Van+Ute'!Q80</f>
        <v>467434.49925131467</v>
      </c>
      <c r="R80" s="57">
        <f>'Car+SUV'!R80+'Van+Ute'!R80</f>
        <v>442657.45372746041</v>
      </c>
    </row>
    <row r="81" spans="3:18" ht="16" x14ac:dyDescent="0.2">
      <c r="C81" s="24" t="s">
        <v>12</v>
      </c>
      <c r="D81" s="42">
        <f>'Car+SUV'!D81+'Van+Ute'!D81</f>
        <v>125275.28116763497</v>
      </c>
      <c r="E81" s="43">
        <f>'Car+SUV'!E81+'Van+Ute'!E81</f>
        <v>128402.12575403877</v>
      </c>
      <c r="F81" s="43">
        <f>'Car+SUV'!F81+'Van+Ute'!F81</f>
        <v>131750.67808368758</v>
      </c>
      <c r="G81" s="43">
        <f>'Car+SUV'!G81+'Van+Ute'!G81</f>
        <v>136620.23872400052</v>
      </c>
      <c r="H81" s="43">
        <f>'Car+SUV'!H81+'Van+Ute'!H81</f>
        <v>148018.31643069838</v>
      </c>
      <c r="I81" s="43">
        <f>'Car+SUV'!I81+'Van+Ute'!I81</f>
        <v>149013.39291640313</v>
      </c>
      <c r="J81" s="43">
        <f>'Car+SUV'!J81+'Van+Ute'!J81</f>
        <v>154530.53047904361</v>
      </c>
      <c r="K81" s="43">
        <f>'Car+SUV'!K81+'Van+Ute'!K81</f>
        <v>162638.19223870404</v>
      </c>
      <c r="L81" s="43">
        <f>'Car+SUV'!L81+'Van+Ute'!L81</f>
        <v>162069.48462547586</v>
      </c>
      <c r="M81" s="43">
        <f>'Car+SUV'!M81+'Van+Ute'!M81</f>
        <v>159491.52737542798</v>
      </c>
      <c r="N81" s="43">
        <f>'Car+SUV'!N81+'Van+Ute'!N81</f>
        <v>154992.54449161165</v>
      </c>
      <c r="O81" s="43">
        <f>'Car+SUV'!O81+'Van+Ute'!O81</f>
        <v>149981.22352925109</v>
      </c>
      <c r="P81" s="56">
        <f>'Car+SUV'!P81+'Van+Ute'!P81</f>
        <v>142010.467989325</v>
      </c>
      <c r="Q81" s="56">
        <f>'Car+SUV'!Q81+'Van+Ute'!Q81</f>
        <v>133439.5860850118</v>
      </c>
      <c r="R81" s="57">
        <f>'Car+SUV'!R81+'Van+Ute'!R81</f>
        <v>124478.17788714691</v>
      </c>
    </row>
    <row r="82" spans="3:18" ht="17" thickBot="1" x14ac:dyDescent="0.25">
      <c r="C82" s="25" t="s">
        <v>13</v>
      </c>
      <c r="D82" s="45">
        <f>'Car+SUV'!D82+'Van+Ute'!D82</f>
        <v>72226.226001653238</v>
      </c>
      <c r="E82" s="46">
        <f>'Car+SUV'!E82+'Van+Ute'!E82</f>
        <v>73270.008492807407</v>
      </c>
      <c r="F82" s="46">
        <f>'Car+SUV'!F82+'Van+Ute'!F82</f>
        <v>74595.629237584639</v>
      </c>
      <c r="G82" s="46">
        <f>'Car+SUV'!G82+'Van+Ute'!G82</f>
        <v>76565.654773242393</v>
      </c>
      <c r="H82" s="46">
        <f>'Car+SUV'!H82+'Van+Ute'!H82</f>
        <v>78398.94124277879</v>
      </c>
      <c r="I82" s="46">
        <f>'Car+SUV'!I82+'Van+Ute'!I82</f>
        <v>80021.617582730367</v>
      </c>
      <c r="J82" s="46">
        <f>'Car+SUV'!J82+'Van+Ute'!J82</f>
        <v>82458.431214383003</v>
      </c>
      <c r="K82" s="46">
        <f>'Car+SUV'!K82+'Van+Ute'!K82</f>
        <v>84530.847788101091</v>
      </c>
      <c r="L82" s="46">
        <f>'Car+SUV'!L82+'Van+Ute'!L82</f>
        <v>82233.878062226984</v>
      </c>
      <c r="M82" s="46">
        <f>'Car+SUV'!M82+'Van+Ute'!M82</f>
        <v>79277.037050863612</v>
      </c>
      <c r="N82" s="46">
        <f>'Car+SUV'!N82+'Van+Ute'!N82</f>
        <v>75397.382008158558</v>
      </c>
      <c r="O82" s="46">
        <f>'Car+SUV'!O82+'Van+Ute'!O82</f>
        <v>71397.900783089703</v>
      </c>
      <c r="P82" s="59">
        <f>'Car+SUV'!P82+'Van+Ute'!P82</f>
        <v>66038.890387346823</v>
      </c>
      <c r="Q82" s="59">
        <f>'Car+SUV'!Q82+'Van+Ute'!Q82</f>
        <v>60617.071766600893</v>
      </c>
      <c r="R82" s="60">
        <f>'Car+SUV'!R82+'Van+Ute'!R82</f>
        <v>55237.542334170568</v>
      </c>
    </row>
    <row r="83" spans="3:18" ht="19" thickTop="1" thickBot="1" x14ac:dyDescent="0.25">
      <c r="C83" s="20" t="s">
        <v>24</v>
      </c>
      <c r="D83" s="48">
        <f t="shared" ref="D83:O83" si="95">SUM(D69:D82)</f>
        <v>2738408.9999999995</v>
      </c>
      <c r="E83" s="48">
        <f t="shared" si="95"/>
        <v>2810372</v>
      </c>
      <c r="F83" s="48">
        <f t="shared" si="95"/>
        <v>2911524.9999999995</v>
      </c>
      <c r="G83" s="48">
        <f t="shared" ref="G83:H83" si="96">SUM(G69:G82)</f>
        <v>3017219.9999999995</v>
      </c>
      <c r="H83" s="48">
        <f t="shared" si="96"/>
        <v>3133908</v>
      </c>
      <c r="I83" s="48">
        <f t="shared" si="95"/>
        <v>3216492.3420079802</v>
      </c>
      <c r="J83" s="48">
        <f t="shared" ref="J83" si="97">SUM(J69:J82)</f>
        <v>3306714.4159091078</v>
      </c>
      <c r="K83" s="48">
        <f t="shared" si="95"/>
        <v>3524037.2724895505</v>
      </c>
      <c r="L83" s="48">
        <f t="shared" si="95"/>
        <v>3558532.4591979594</v>
      </c>
      <c r="M83" s="48">
        <f t="shared" si="95"/>
        <v>3548646.9803739674</v>
      </c>
      <c r="N83" s="48">
        <f t="shared" si="95"/>
        <v>3492847.712033594</v>
      </c>
      <c r="O83" s="48">
        <f t="shared" si="95"/>
        <v>3422924.0096338326</v>
      </c>
      <c r="P83" s="62">
        <f t="shared" ref="P83:R83" si="98">SUM(P69:P82)</f>
        <v>3279989.1490348256</v>
      </c>
      <c r="Q83" s="62">
        <f t="shared" si="98"/>
        <v>3120101.4755761479</v>
      </c>
      <c r="R83" s="63">
        <f t="shared" si="98"/>
        <v>2947464.8128836141</v>
      </c>
    </row>
    <row r="84" spans="3:18" ht="14" thickTop="1" x14ac:dyDescent="0.15">
      <c r="O84" s="121"/>
      <c r="P84" s="56"/>
      <c r="Q84" s="56"/>
      <c r="R84" s="56"/>
    </row>
    <row r="85" spans="3:18" x14ac:dyDescent="0.15">
      <c r="O85" s="121"/>
    </row>
    <row r="86" spans="3:18" ht="14" thickBot="1" x14ac:dyDescent="0.2">
      <c r="O86" s="121"/>
    </row>
    <row r="87" spans="3:18" ht="17" thickTop="1" x14ac:dyDescent="0.2">
      <c r="C87" s="32" t="s">
        <v>117</v>
      </c>
      <c r="D87" s="33"/>
      <c r="E87" s="33"/>
      <c r="F87" s="33"/>
      <c r="G87" s="33"/>
      <c r="H87" s="33"/>
      <c r="I87" s="33"/>
      <c r="J87" s="33"/>
      <c r="K87" s="34"/>
      <c r="L87" s="34"/>
      <c r="M87" s="34"/>
      <c r="N87" s="34"/>
      <c r="O87" s="34"/>
      <c r="P87" s="34"/>
      <c r="Q87" s="34"/>
      <c r="R87" s="35"/>
    </row>
    <row r="88" spans="3:18" ht="14" thickBot="1" x14ac:dyDescent="0.2">
      <c r="C88" s="36"/>
      <c r="D88" s="37" t="s">
        <v>25</v>
      </c>
      <c r="E88" s="37" t="s">
        <v>37</v>
      </c>
      <c r="F88" s="37" t="s">
        <v>38</v>
      </c>
      <c r="G88" s="37" t="s">
        <v>177</v>
      </c>
      <c r="H88" s="37" t="s">
        <v>178</v>
      </c>
      <c r="I88" s="37" t="s">
        <v>26</v>
      </c>
      <c r="J88" s="37"/>
      <c r="K88" s="37" t="s">
        <v>27</v>
      </c>
      <c r="L88" s="37" t="s">
        <v>28</v>
      </c>
      <c r="M88" s="37" t="s">
        <v>29</v>
      </c>
      <c r="N88" s="37" t="s">
        <v>30</v>
      </c>
      <c r="O88" s="37" t="s">
        <v>31</v>
      </c>
      <c r="P88" s="37" t="s">
        <v>174</v>
      </c>
      <c r="Q88" s="37" t="s">
        <v>175</v>
      </c>
      <c r="R88" s="38" t="s">
        <v>176</v>
      </c>
    </row>
    <row r="89" spans="3:18" ht="15" thickTop="1" thickBot="1" x14ac:dyDescent="0.2">
      <c r="C89" s="70"/>
      <c r="D89" s="65" t="s">
        <v>39</v>
      </c>
      <c r="E89" s="65" t="s">
        <v>39</v>
      </c>
      <c r="F89" s="65" t="s">
        <v>39</v>
      </c>
      <c r="G89" s="65" t="s">
        <v>39</v>
      </c>
      <c r="H89" s="65" t="s">
        <v>39</v>
      </c>
      <c r="I89" s="65" t="s">
        <v>39</v>
      </c>
      <c r="J89" s="65" t="s">
        <v>39</v>
      </c>
      <c r="K89" s="65" t="s">
        <v>32</v>
      </c>
      <c r="L89" s="65" t="s">
        <v>32</v>
      </c>
      <c r="M89" s="65" t="s">
        <v>32</v>
      </c>
      <c r="N89" s="65" t="s">
        <v>32</v>
      </c>
      <c r="O89" s="65" t="s">
        <v>32</v>
      </c>
      <c r="P89" s="65" t="s">
        <v>32</v>
      </c>
      <c r="Q89" s="65" t="s">
        <v>32</v>
      </c>
      <c r="R89" s="66" t="s">
        <v>32</v>
      </c>
    </row>
    <row r="90" spans="3:18" ht="17" thickTop="1" x14ac:dyDescent="0.2">
      <c r="C90" s="24" t="s">
        <v>0</v>
      </c>
      <c r="D90" s="52">
        <f>'Car+SUV'!D90+'Van+Ute'!D90</f>
        <v>264.44463387948065</v>
      </c>
      <c r="E90" s="53">
        <f>'Car+SUV'!E90+'Van+Ute'!E90</f>
        <v>281.35885698948084</v>
      </c>
      <c r="F90" s="53">
        <f>'Car+SUV'!F90+'Van+Ute'!F90</f>
        <v>287.7825961001198</v>
      </c>
      <c r="G90" s="53">
        <f>'Car+SUV'!G90+'Van+Ute'!G90</f>
        <v>286.37760392811424</v>
      </c>
      <c r="H90" s="53">
        <f>'Car+SUV'!H90+'Van+Ute'!H90</f>
        <v>306.94453394573111</v>
      </c>
      <c r="I90" s="53">
        <f>'Car+SUV'!I90+'Van+Ute'!I90</f>
        <v>338.22015271195033</v>
      </c>
      <c r="J90" s="53">
        <f>'Car+SUV'!J90+'Van+Ute'!J90</f>
        <v>363.65752834035806</v>
      </c>
      <c r="K90" s="53">
        <f>'Car+SUV'!K90+'Van+Ute'!K90</f>
        <v>393.47995582873773</v>
      </c>
      <c r="L90" s="53">
        <f>'Car+SUV'!L90+'Van+Ute'!L90</f>
        <v>444.12041000161025</v>
      </c>
      <c r="M90" s="53">
        <f>'Car+SUV'!M90+'Van+Ute'!M90</f>
        <v>482.24187150413201</v>
      </c>
      <c r="N90" s="53">
        <f>'Car+SUV'!N90+'Van+Ute'!N90</f>
        <v>517.41542470030231</v>
      </c>
      <c r="O90" s="53">
        <f>'Car+SUV'!O90+'Van+Ute'!O90</f>
        <v>554.30147798390999</v>
      </c>
      <c r="P90" s="156">
        <f>'Car+SUV'!P90+'Van+Ute'!P90</f>
        <v>592.01544460977402</v>
      </c>
      <c r="Q90" s="156">
        <f>'Car+SUV'!Q90+'Van+Ute'!Q90</f>
        <v>627.06180805639406</v>
      </c>
      <c r="R90" s="157">
        <f>'Car+SUV'!R90+'Van+Ute'!R90</f>
        <v>657.49174872559729</v>
      </c>
    </row>
    <row r="91" spans="3:18" ht="16" x14ac:dyDescent="0.2">
      <c r="C91" s="24" t="s">
        <v>1</v>
      </c>
      <c r="D91" s="55">
        <f>'Car+SUV'!D91+'Van+Ute'!D91</f>
        <v>2576.2807468857873</v>
      </c>
      <c r="E91" s="56">
        <f>'Car+SUV'!E91+'Van+Ute'!E91</f>
        <v>2642.1759097979211</v>
      </c>
      <c r="F91" s="56">
        <f>'Car+SUV'!F91+'Van+Ute'!F91</f>
        <v>2628.7882208272599</v>
      </c>
      <c r="G91" s="56">
        <f>'Car+SUV'!G91+'Van+Ute'!G91</f>
        <v>2672.9585512585932</v>
      </c>
      <c r="H91" s="56">
        <f>'Car+SUV'!H91+'Van+Ute'!H91</f>
        <v>3075.1134971968922</v>
      </c>
      <c r="I91" s="56">
        <f>'Car+SUV'!I91+'Van+Ute'!I91</f>
        <v>3105.5329363523942</v>
      </c>
      <c r="J91" s="56">
        <f>'Car+SUV'!J91+'Van+Ute'!J91</f>
        <v>3341.6940112370439</v>
      </c>
      <c r="K91" s="56">
        <f>'Car+SUV'!K91+'Van+Ute'!K91</f>
        <v>3799.4409401785556</v>
      </c>
      <c r="L91" s="56">
        <f>'Car+SUV'!L91+'Van+Ute'!L91</f>
        <v>4461.1212083832797</v>
      </c>
      <c r="M91" s="56">
        <f>'Car+SUV'!M91+'Van+Ute'!M91</f>
        <v>5036.6082887395341</v>
      </c>
      <c r="N91" s="56">
        <f>'Car+SUV'!N91+'Van+Ute'!N91</f>
        <v>5611.4233015116515</v>
      </c>
      <c r="O91" s="56">
        <f>'Car+SUV'!O91+'Van+Ute'!O91</f>
        <v>6240.2042917355957</v>
      </c>
      <c r="P91" s="159">
        <f>'Car+SUV'!P91+'Van+Ute'!P91</f>
        <v>6918.3880763100942</v>
      </c>
      <c r="Q91" s="159">
        <f>'Car+SUV'!Q91+'Van+Ute'!Q91</f>
        <v>7606.7885540853358</v>
      </c>
      <c r="R91" s="160">
        <f>'Car+SUV'!R91+'Van+Ute'!R91</f>
        <v>8279.4294973532651</v>
      </c>
    </row>
    <row r="92" spans="3:18" ht="16" x14ac:dyDescent="0.2">
      <c r="C92" s="24" t="s">
        <v>2</v>
      </c>
      <c r="D92" s="55">
        <f>'Car+SUV'!D92+'Van+Ute'!D92</f>
        <v>968.93589041091695</v>
      </c>
      <c r="E92" s="56">
        <f>'Car+SUV'!E92+'Van+Ute'!E92</f>
        <v>978.64522219363425</v>
      </c>
      <c r="F92" s="56">
        <f>'Car+SUV'!F92+'Van+Ute'!F92</f>
        <v>1029.4515955469242</v>
      </c>
      <c r="G92" s="56">
        <f>'Car+SUV'!G92+'Van+Ute'!G92</f>
        <v>1034.2236322522645</v>
      </c>
      <c r="H92" s="56">
        <f>'Car+SUV'!H92+'Van+Ute'!H92</f>
        <v>1147.7344631702367</v>
      </c>
      <c r="I92" s="56">
        <f>'Car+SUV'!I92+'Van+Ute'!I92</f>
        <v>1262.700376718552</v>
      </c>
      <c r="J92" s="56">
        <f>'Car+SUV'!J92+'Van+Ute'!J92</f>
        <v>1352.4790743750727</v>
      </c>
      <c r="K92" s="56">
        <f>'Car+SUV'!K92+'Van+Ute'!K92</f>
        <v>1485.0524740101</v>
      </c>
      <c r="L92" s="56">
        <f>'Car+SUV'!L92+'Van+Ute'!L92</f>
        <v>1698.7259420955331</v>
      </c>
      <c r="M92" s="56">
        <f>'Car+SUV'!M92+'Van+Ute'!M92</f>
        <v>1871.7846648424761</v>
      </c>
      <c r="N92" s="56">
        <f>'Car+SUV'!N92+'Van+Ute'!N92</f>
        <v>2039.1690339809802</v>
      </c>
      <c r="O92" s="56">
        <f>'Car+SUV'!O92+'Van+Ute'!O92</f>
        <v>2220.4947750184879</v>
      </c>
      <c r="P92" s="159">
        <f>'Car+SUV'!P92+'Van+Ute'!P92</f>
        <v>2410.6081397153566</v>
      </c>
      <c r="Q92" s="159">
        <f>'Car+SUV'!Q92+'Van+Ute'!Q92</f>
        <v>2595.3372201411398</v>
      </c>
      <c r="R92" s="160">
        <f>'Car+SUV'!R92+'Van+Ute'!R92</f>
        <v>2766.0728538226394</v>
      </c>
    </row>
    <row r="93" spans="3:18" ht="16" x14ac:dyDescent="0.2">
      <c r="C93" s="24" t="s">
        <v>3</v>
      </c>
      <c r="D93" s="55">
        <f>'Car+SUV'!D93+'Van+Ute'!D93</f>
        <v>504.81934412716737</v>
      </c>
      <c r="E93" s="56">
        <f>'Car+SUV'!E93+'Van+Ute'!E93</f>
        <v>526.58496646670642</v>
      </c>
      <c r="F93" s="56">
        <f>'Car+SUV'!F93+'Van+Ute'!F93</f>
        <v>518.00640580187064</v>
      </c>
      <c r="G93" s="56">
        <f>'Car+SUV'!G93+'Van+Ute'!G93</f>
        <v>514.42173269503144</v>
      </c>
      <c r="H93" s="56">
        <f>'Car+SUV'!H93+'Van+Ute'!H93</f>
        <v>617.18081948590407</v>
      </c>
      <c r="I93" s="56">
        <f>'Car+SUV'!I93+'Van+Ute'!I93</f>
        <v>629.02067985932797</v>
      </c>
      <c r="J93" s="56">
        <f>'Car+SUV'!J93+'Van+Ute'!J93</f>
        <v>658.84107101145401</v>
      </c>
      <c r="K93" s="56">
        <f>'Car+SUV'!K93+'Van+Ute'!K93</f>
        <v>718.49202251268389</v>
      </c>
      <c r="L93" s="56">
        <f>'Car+SUV'!L93+'Van+Ute'!L93</f>
        <v>816.39143055968771</v>
      </c>
      <c r="M93" s="56">
        <f>'Car+SUV'!M93+'Van+Ute'!M93</f>
        <v>893.78850029248883</v>
      </c>
      <c r="N93" s="56">
        <f>'Car+SUV'!N93+'Van+Ute'!N93</f>
        <v>967.10837497506407</v>
      </c>
      <c r="O93" s="56">
        <f>'Car+SUV'!O93+'Van+Ute'!O93</f>
        <v>1045.9914549526984</v>
      </c>
      <c r="P93" s="159">
        <f>'Car+SUV'!P93+'Van+Ute'!P93</f>
        <v>1127.876282169593</v>
      </c>
      <c r="Q93" s="159">
        <f>'Car+SUV'!Q93+'Van+Ute'!Q93</f>
        <v>1206.1049637437063</v>
      </c>
      <c r="R93" s="160">
        <f>'Car+SUV'!R93+'Van+Ute'!R93</f>
        <v>1276.7662340658085</v>
      </c>
    </row>
    <row r="94" spans="3:18" ht="16" x14ac:dyDescent="0.2">
      <c r="C94" s="24" t="s">
        <v>4</v>
      </c>
      <c r="D94" s="55">
        <f>'Car+SUV'!D94+'Van+Ute'!D94</f>
        <v>68.930314037627284</v>
      </c>
      <c r="E94" s="56">
        <f>'Car+SUV'!E94+'Van+Ute'!E94</f>
        <v>72.046269923023999</v>
      </c>
      <c r="F94" s="56">
        <f>'Car+SUV'!F94+'Van+Ute'!F94</f>
        <v>74.328092920971287</v>
      </c>
      <c r="G94" s="56">
        <f>'Car+SUV'!G94+'Van+Ute'!G94</f>
        <v>73.350015048188524</v>
      </c>
      <c r="H94" s="56">
        <f>'Car+SUV'!H94+'Van+Ute'!H94</f>
        <v>73.663530598269887</v>
      </c>
      <c r="I94" s="56">
        <f>'Car+SUV'!I94+'Van+Ute'!I94</f>
        <v>76.117400317721433</v>
      </c>
      <c r="J94" s="56">
        <f>'Car+SUV'!J94+'Van+Ute'!J94</f>
        <v>81.666121871575839</v>
      </c>
      <c r="K94" s="56">
        <f>'Car+SUV'!K94+'Van+Ute'!K94</f>
        <v>86.467731460716408</v>
      </c>
      <c r="L94" s="56">
        <f>'Car+SUV'!L94+'Van+Ute'!L94</f>
        <v>96.005478207277108</v>
      </c>
      <c r="M94" s="56">
        <f>'Car+SUV'!M94+'Van+Ute'!M94</f>
        <v>102.74699627046911</v>
      </c>
      <c r="N94" s="56">
        <f>'Car+SUV'!N94+'Van+Ute'!N94</f>
        <v>108.55573852842328</v>
      </c>
      <c r="O94" s="56">
        <f>'Car+SUV'!O94+'Van+Ute'!O94</f>
        <v>114.65927450357432</v>
      </c>
      <c r="P94" s="159">
        <f>'Car+SUV'!P94+'Van+Ute'!P94</f>
        <v>120.73854214652491</v>
      </c>
      <c r="Q94" s="159">
        <f>'Car+SUV'!Q94+'Van+Ute'!Q94</f>
        <v>126.08777445407284</v>
      </c>
      <c r="R94" s="160">
        <f>'Car+SUV'!R94+'Van+Ute'!R94</f>
        <v>130.34749030146565</v>
      </c>
    </row>
    <row r="95" spans="3:18" ht="16" x14ac:dyDescent="0.2">
      <c r="C95" s="24" t="s">
        <v>5</v>
      </c>
      <c r="D95" s="55">
        <f>'Car+SUV'!D95+'Van+Ute'!D95</f>
        <v>261.55089461233894</v>
      </c>
      <c r="E95" s="56">
        <f>'Car+SUV'!E95+'Van+Ute'!E95</f>
        <v>261.37522654075269</v>
      </c>
      <c r="F95" s="56">
        <f>'Car+SUV'!F95+'Van+Ute'!F95</f>
        <v>271.455928097536</v>
      </c>
      <c r="G95" s="56">
        <f>'Car+SUV'!G95+'Van+Ute'!G95</f>
        <v>272.40361518343775</v>
      </c>
      <c r="H95" s="56">
        <f>'Car+SUV'!H95+'Van+Ute'!H95</f>
        <v>300.79619040836644</v>
      </c>
      <c r="I95" s="56">
        <f>'Car+SUV'!I95+'Van+Ute'!I95</f>
        <v>316.84610827502883</v>
      </c>
      <c r="J95" s="56">
        <f>'Car+SUV'!J95+'Van+Ute'!J95</f>
        <v>344.20756982552939</v>
      </c>
      <c r="K95" s="56">
        <f>'Car+SUV'!K95+'Van+Ute'!K95</f>
        <v>365.0011325712228</v>
      </c>
      <c r="L95" s="56">
        <f>'Car+SUV'!L95+'Van+Ute'!L95</f>
        <v>406.37878911256627</v>
      </c>
      <c r="M95" s="56">
        <f>'Car+SUV'!M95+'Van+Ute'!M95</f>
        <v>435.6287680279716</v>
      </c>
      <c r="N95" s="56">
        <f>'Car+SUV'!N95+'Van+Ute'!N95</f>
        <v>461.71238997364208</v>
      </c>
      <c r="O95" s="56">
        <f>'Car+SUV'!O95+'Van+Ute'!O95</f>
        <v>488.88662099963165</v>
      </c>
      <c r="P95" s="159">
        <f>'Car+SUV'!P95+'Van+Ute'!P95</f>
        <v>516.08960407398138</v>
      </c>
      <c r="Q95" s="159">
        <f>'Car+SUV'!Q95+'Van+Ute'!Q95</f>
        <v>540.29678419381116</v>
      </c>
      <c r="R95" s="160">
        <f>'Car+SUV'!R95+'Van+Ute'!R95</f>
        <v>559.94103730367885</v>
      </c>
    </row>
    <row r="96" spans="3:18" ht="16" x14ac:dyDescent="0.2">
      <c r="C96" s="24" t="s">
        <v>6</v>
      </c>
      <c r="D96" s="55">
        <f>'Car+SUV'!D96+'Van+Ute'!D96</f>
        <v>159.4315852873292</v>
      </c>
      <c r="E96" s="56">
        <f>'Car+SUV'!E96+'Van+Ute'!E96</f>
        <v>166.98303230993344</v>
      </c>
      <c r="F96" s="56">
        <f>'Car+SUV'!F96+'Van+Ute'!F96</f>
        <v>170.94024187262471</v>
      </c>
      <c r="G96" s="56">
        <f>'Car+SUV'!G96+'Van+Ute'!G96</f>
        <v>169.93759351347759</v>
      </c>
      <c r="H96" s="56">
        <f>'Car+SUV'!H96+'Van+Ute'!H96</f>
        <v>177.88588135380564</v>
      </c>
      <c r="I96" s="56">
        <f>'Car+SUV'!I96+'Van+Ute'!I96</f>
        <v>193.15517436579819</v>
      </c>
      <c r="J96" s="56">
        <f>'Car+SUV'!J96+'Van+Ute'!J96</f>
        <v>189.98255679918066</v>
      </c>
      <c r="K96" s="56">
        <f>'Car+SUV'!K96+'Van+Ute'!K96</f>
        <v>203.12574804222342</v>
      </c>
      <c r="L96" s="56">
        <f>'Car+SUV'!L96+'Van+Ute'!L96</f>
        <v>228.28191625612362</v>
      </c>
      <c r="M96" s="56">
        <f>'Car+SUV'!M96+'Van+Ute'!M96</f>
        <v>247.30550055624769</v>
      </c>
      <c r="N96" s="56">
        <f>'Car+SUV'!N96+'Van+Ute'!N96</f>
        <v>265.28983544813764</v>
      </c>
      <c r="O96" s="56">
        <f>'Car+SUV'!O96+'Van+Ute'!O96</f>
        <v>284.72012170824888</v>
      </c>
      <c r="P96" s="159">
        <f>'Car+SUV'!P96+'Van+Ute'!P96</f>
        <v>304.64639682937099</v>
      </c>
      <c r="Q96" s="159">
        <f>'Car+SUV'!Q96+'Van+Ute'!Q96</f>
        <v>323.26913749953508</v>
      </c>
      <c r="R96" s="160">
        <f>'Car+SUV'!R96+'Van+Ute'!R96</f>
        <v>339.57451271006255</v>
      </c>
    </row>
    <row r="97" spans="3:18" ht="16" x14ac:dyDescent="0.2">
      <c r="C97" s="24" t="s">
        <v>7</v>
      </c>
      <c r="D97" s="55">
        <f>'Car+SUV'!D97+'Van+Ute'!D97</f>
        <v>393.73172237166631</v>
      </c>
      <c r="E97" s="56">
        <f>'Car+SUV'!E97+'Van+Ute'!E97</f>
        <v>409.69447988807269</v>
      </c>
      <c r="F97" s="56">
        <f>'Car+SUV'!F97+'Van+Ute'!F97</f>
        <v>412.23285411061852</v>
      </c>
      <c r="G97" s="56">
        <f>'Car+SUV'!G97+'Van+Ute'!G97</f>
        <v>413.80320184128533</v>
      </c>
      <c r="H97" s="56">
        <f>'Car+SUV'!H97+'Van+Ute'!H97</f>
        <v>439.92442527319372</v>
      </c>
      <c r="I97" s="56">
        <f>'Car+SUV'!I97+'Van+Ute'!I97</f>
        <v>450.26803446802955</v>
      </c>
      <c r="J97" s="56">
        <f>'Car+SUV'!J97+'Van+Ute'!J97</f>
        <v>466.16992974217374</v>
      </c>
      <c r="K97" s="56">
        <f>'Car+SUV'!K97+'Van+Ute'!K97</f>
        <v>492.84749132439885</v>
      </c>
      <c r="L97" s="56">
        <f>'Car+SUV'!L97+'Van+Ute'!L97</f>
        <v>547.05399698840961</v>
      </c>
      <c r="M97" s="56">
        <f>'Car+SUV'!M97+'Van+Ute'!M97</f>
        <v>585.26833425347797</v>
      </c>
      <c r="N97" s="56">
        <f>'Car+SUV'!N97+'Van+Ute'!N97</f>
        <v>619.33899712977063</v>
      </c>
      <c r="O97" s="56">
        <f>'Car+SUV'!O97+'Van+Ute'!O97</f>
        <v>654.92001874886569</v>
      </c>
      <c r="P97" s="159">
        <f>'Car+SUV'!P97+'Van+Ute'!P97</f>
        <v>690.4439677299797</v>
      </c>
      <c r="Q97" s="159">
        <f>'Car+SUV'!Q97+'Van+Ute'!Q97</f>
        <v>721.86988946460485</v>
      </c>
      <c r="R97" s="160">
        <f>'Car+SUV'!R97+'Van+Ute'!R97</f>
        <v>747.12291588285223</v>
      </c>
    </row>
    <row r="98" spans="3:18" ht="16" x14ac:dyDescent="0.2">
      <c r="C98" s="24" t="s">
        <v>8</v>
      </c>
      <c r="D98" s="55">
        <f>'Car+SUV'!D98+'Van+Ute'!D98</f>
        <v>614.06755625747019</v>
      </c>
      <c r="E98" s="56">
        <f>'Car+SUV'!E98+'Van+Ute'!E98</f>
        <v>635.64698077122694</v>
      </c>
      <c r="F98" s="56">
        <f>'Car+SUV'!F98+'Van+Ute'!F98</f>
        <v>671.22653652223266</v>
      </c>
      <c r="G98" s="56">
        <f>'Car+SUV'!G98+'Van+Ute'!G98</f>
        <v>627.77574847287281</v>
      </c>
      <c r="H98" s="56">
        <f>'Car+SUV'!H98+'Van+Ute'!H98</f>
        <v>654.9026181183408</v>
      </c>
      <c r="I98" s="56">
        <f>'Car+SUV'!I98+'Van+Ute'!I98</f>
        <v>700.27454250241794</v>
      </c>
      <c r="J98" s="56">
        <f>'Car+SUV'!J98+'Van+Ute'!J98</f>
        <v>739.81132577455764</v>
      </c>
      <c r="K98" s="56">
        <f>'Car+SUV'!K98+'Van+Ute'!K98</f>
        <v>794.86185464288178</v>
      </c>
      <c r="L98" s="56">
        <f>'Car+SUV'!L98+'Van+Ute'!L98</f>
        <v>894.38114310587457</v>
      </c>
      <c r="M98" s="56">
        <f>'Car+SUV'!M98+'Van+Ute'!M98</f>
        <v>970.9861633497685</v>
      </c>
      <c r="N98" s="56">
        <f>'Car+SUV'!N98+'Van+Ute'!N98</f>
        <v>1043.0458449154839</v>
      </c>
      <c r="O98" s="56">
        <f>'Car+SUV'!O98+'Van+Ute'!O98</f>
        <v>1119.4837537117178</v>
      </c>
      <c r="P98" s="159">
        <f>'Car+SUV'!P98+'Van+Ute'!P98</f>
        <v>1197.8778331583601</v>
      </c>
      <c r="Q98" s="159">
        <f>'Car+SUV'!Q98+'Van+Ute'!Q98</f>
        <v>1271.1522619714938</v>
      </c>
      <c r="R98" s="160">
        <f>'Car+SUV'!R98+'Van+Ute'!R98</f>
        <v>1335.3197238404177</v>
      </c>
    </row>
    <row r="99" spans="3:18" ht="16" x14ac:dyDescent="0.2">
      <c r="C99" s="24" t="s">
        <v>9</v>
      </c>
      <c r="D99" s="55">
        <f>'Car+SUV'!D99+'Van+Ute'!D99</f>
        <v>247.59569500173262</v>
      </c>
      <c r="E99" s="56">
        <f>'Car+SUV'!E99+'Van+Ute'!E99</f>
        <v>257.12996068440185</v>
      </c>
      <c r="F99" s="56">
        <f>'Car+SUV'!F99+'Van+Ute'!F99</f>
        <v>242.59884365545966</v>
      </c>
      <c r="G99" s="56">
        <f>'Car+SUV'!G99+'Van+Ute'!G99</f>
        <v>275.93195922123573</v>
      </c>
      <c r="H99" s="56">
        <f>'Car+SUV'!H99+'Van+Ute'!H99</f>
        <v>303.61389322623683</v>
      </c>
      <c r="I99" s="56">
        <f>'Car+SUV'!I99+'Van+Ute'!I99</f>
        <v>348.81428367787845</v>
      </c>
      <c r="J99" s="56">
        <f>'Car+SUV'!J99+'Van+Ute'!J99</f>
        <v>354.45595614446256</v>
      </c>
      <c r="K99" s="56">
        <f>'Car+SUV'!K99+'Van+Ute'!K99</f>
        <v>379.57952066556606</v>
      </c>
      <c r="L99" s="56">
        <f>'Car+SUV'!L99+'Van+Ute'!L99</f>
        <v>425.60831534168858</v>
      </c>
      <c r="M99" s="56">
        <f>'Car+SUV'!M99+'Van+Ute'!M99</f>
        <v>459.69936899521042</v>
      </c>
      <c r="N99" s="56">
        <f>'Car+SUV'!N99+'Van+Ute'!N99</f>
        <v>490.62467573699303</v>
      </c>
      <c r="O99" s="56">
        <f>'Car+SUV'!O99+'Van+Ute'!O99</f>
        <v>522.29871943574551</v>
      </c>
      <c r="P99" s="159">
        <f>'Car+SUV'!P99+'Van+Ute'!P99</f>
        <v>554.35676226929729</v>
      </c>
      <c r="Q99" s="159">
        <f>'Car+SUV'!Q99+'Van+Ute'!Q99</f>
        <v>583.53989763216032</v>
      </c>
      <c r="R99" s="160">
        <f>'Car+SUV'!R99+'Van+Ute'!R99</f>
        <v>608.09989571110759</v>
      </c>
    </row>
    <row r="100" spans="3:18" ht="16" x14ac:dyDescent="0.2">
      <c r="C100" s="24" t="s">
        <v>10</v>
      </c>
      <c r="D100" s="55">
        <f>'Car+SUV'!D100+'Van+Ute'!D100</f>
        <v>105.03531456220671</v>
      </c>
      <c r="E100" s="56">
        <f>'Car+SUV'!E100+'Van+Ute'!E100</f>
        <v>103.65457409729865</v>
      </c>
      <c r="F100" s="56">
        <f>'Car+SUV'!F100+'Van+Ute'!F100</f>
        <v>110.24522204843223</v>
      </c>
      <c r="G100" s="56">
        <f>'Car+SUV'!G100+'Van+Ute'!G100</f>
        <v>106.1197591238957</v>
      </c>
      <c r="H100" s="56">
        <f>'Car+SUV'!H100+'Van+Ute'!H100</f>
        <v>108.30076052865169</v>
      </c>
      <c r="I100" s="56">
        <f>'Car+SUV'!I100+'Van+Ute'!I100</f>
        <v>124.98629340073933</v>
      </c>
      <c r="J100" s="56">
        <f>'Car+SUV'!J100+'Van+Ute'!J100</f>
        <v>125.46706859814518</v>
      </c>
      <c r="K100" s="56">
        <f>'Car+SUV'!K100+'Van+Ute'!K100</f>
        <v>130.42374715896531</v>
      </c>
      <c r="L100" s="56">
        <f>'Car+SUV'!L100+'Van+Ute'!L100</f>
        <v>142.19185817023026</v>
      </c>
      <c r="M100" s="56">
        <f>'Car+SUV'!M100+'Van+Ute'!M100</f>
        <v>149.39567639694957</v>
      </c>
      <c r="N100" s="56">
        <f>'Car+SUV'!N100+'Van+Ute'!N100</f>
        <v>155.18137767155832</v>
      </c>
      <c r="O100" s="56">
        <f>'Car+SUV'!O100+'Van+Ute'!O100</f>
        <v>161.20416811535955</v>
      </c>
      <c r="P100" s="159">
        <f>'Car+SUV'!P100+'Van+Ute'!P100</f>
        <v>166.95263021481969</v>
      </c>
      <c r="Q100" s="159">
        <f>'Car+SUV'!Q100+'Van+Ute'!Q100</f>
        <v>171.47490754723034</v>
      </c>
      <c r="R100" s="160">
        <f>'Car+SUV'!R100+'Van+Ute'!R100</f>
        <v>174.34541570791893</v>
      </c>
    </row>
    <row r="101" spans="3:18" ht="16" x14ac:dyDescent="0.2">
      <c r="C101" s="24" t="s">
        <v>11</v>
      </c>
      <c r="D101" s="55">
        <f>'Car+SUV'!D101+'Van+Ute'!D101</f>
        <v>1169.5585121661452</v>
      </c>
      <c r="E101" s="56">
        <f>'Car+SUV'!E101+'Van+Ute'!E101</f>
        <v>1285.3020082383496</v>
      </c>
      <c r="F101" s="56">
        <f>'Car+SUV'!F101+'Van+Ute'!F101</f>
        <v>1331.9255878099048</v>
      </c>
      <c r="G101" s="56">
        <f>'Car+SUV'!G101+'Van+Ute'!G101</f>
        <v>1365.7480186102398</v>
      </c>
      <c r="H101" s="56">
        <f>'Car+SUV'!H101+'Van+Ute'!H101</f>
        <v>1479.518745453435</v>
      </c>
      <c r="I101" s="56">
        <f>'Car+SUV'!I101+'Van+Ute'!I101</f>
        <v>1598.7464904922263</v>
      </c>
      <c r="J101" s="56">
        <f>'Car+SUV'!J101+'Van+Ute'!J101</f>
        <v>1652.8103750270398</v>
      </c>
      <c r="K101" s="56">
        <f>'Car+SUV'!K101+'Van+Ute'!K101</f>
        <v>1831.1392817721319</v>
      </c>
      <c r="L101" s="56">
        <f>'Car+SUV'!L101+'Van+Ute'!L101</f>
        <v>2099.7547284440607</v>
      </c>
      <c r="M101" s="56">
        <f>'Car+SUV'!M101+'Van+Ute'!M101</f>
        <v>2321.9520474049355</v>
      </c>
      <c r="N101" s="56">
        <f>'Car+SUV'!N101+'Van+Ute'!N101</f>
        <v>2540.1937315210912</v>
      </c>
      <c r="O101" s="56">
        <f>'Car+SUV'!O101+'Van+Ute'!O101</f>
        <v>2776.9575046977238</v>
      </c>
      <c r="P101" s="159">
        <f>'Car+SUV'!P101+'Van+Ute'!P101</f>
        <v>3026.5786401741143</v>
      </c>
      <c r="Q101" s="159">
        <f>'Car+SUV'!Q101+'Van+Ute'!Q101</f>
        <v>3271.3348851166106</v>
      </c>
      <c r="R101" s="160">
        <f>'Car+SUV'!R101+'Van+Ute'!R101</f>
        <v>3500.2631042747944</v>
      </c>
    </row>
    <row r="102" spans="3:18" ht="16" x14ac:dyDescent="0.2">
      <c r="C102" s="24" t="s">
        <v>12</v>
      </c>
      <c r="D102" s="55">
        <f>'Car+SUV'!D102+'Van+Ute'!D102</f>
        <v>462.78997233820382</v>
      </c>
      <c r="E102" s="56">
        <f>'Car+SUV'!E102+'Van+Ute'!E102</f>
        <v>494.34181176216669</v>
      </c>
      <c r="F102" s="56">
        <f>'Car+SUV'!F102+'Van+Ute'!F102</f>
        <v>511.31779594649481</v>
      </c>
      <c r="G102" s="56">
        <f>'Car+SUV'!G102+'Van+Ute'!G102</f>
        <v>518.75339554502341</v>
      </c>
      <c r="H102" s="56">
        <f>'Car+SUV'!H102+'Van+Ute'!H102</f>
        <v>573.10126537715951</v>
      </c>
      <c r="I102" s="56">
        <f>'Car+SUV'!I102+'Van+Ute'!I102</f>
        <v>663.45295190889465</v>
      </c>
      <c r="J102" s="56">
        <f>'Car+SUV'!J102+'Van+Ute'!J102</f>
        <v>713.37541670750875</v>
      </c>
      <c r="K102" s="56">
        <f>'Car+SUV'!K102+'Van+Ute'!K102</f>
        <v>775.05607904938768</v>
      </c>
      <c r="L102" s="56">
        <f>'Car+SUV'!L102+'Van+Ute'!L102</f>
        <v>874.35902068871042</v>
      </c>
      <c r="M102" s="56">
        <f>'Car+SUV'!M102+'Van+Ute'!M102</f>
        <v>951.63822166455816</v>
      </c>
      <c r="N102" s="56">
        <f>'Car+SUV'!N102+'Van+Ute'!N102</f>
        <v>1025.2937708848381</v>
      </c>
      <c r="O102" s="56">
        <f>'Car+SUV'!O102+'Van+Ute'!O102</f>
        <v>1104.1097121671046</v>
      </c>
      <c r="P102" s="159">
        <f>'Car+SUV'!P102+'Van+Ute'!P102</f>
        <v>1185.3769455530619</v>
      </c>
      <c r="Q102" s="159">
        <f>'Car+SUV'!Q102+'Van+Ute'!Q102</f>
        <v>1262.0920640489617</v>
      </c>
      <c r="R102" s="160">
        <f>'Car+SUV'!R102+'Van+Ute'!R102</f>
        <v>1330.2345960724851</v>
      </c>
    </row>
    <row r="103" spans="3:18" ht="17" thickBot="1" x14ac:dyDescent="0.25">
      <c r="C103" s="25" t="s">
        <v>13</v>
      </c>
      <c r="D103" s="58">
        <f>'Car+SUV'!D103+'Van+Ute'!D103</f>
        <v>199.49208451932276</v>
      </c>
      <c r="E103" s="59">
        <f>'Car+SUV'!E103+'Van+Ute'!E103</f>
        <v>211.81395987269906</v>
      </c>
      <c r="F103" s="59">
        <f>'Car+SUV'!F103+'Van+Ute'!F103</f>
        <v>206.72386004046069</v>
      </c>
      <c r="G103" s="59">
        <f>'Car+SUV'!G103+'Van+Ute'!G103</f>
        <v>224.21614437990669</v>
      </c>
      <c r="H103" s="59">
        <f>'Car+SUV'!H103+'Van+Ute'!H103</f>
        <v>244.62206664795562</v>
      </c>
      <c r="I103" s="59">
        <f>'Car+SUV'!I103+'Van+Ute'!I103</f>
        <v>255.86827680364178</v>
      </c>
      <c r="J103" s="59">
        <f>'Car+SUV'!J103+'Van+Ute'!J103</f>
        <v>290.27783622439205</v>
      </c>
      <c r="K103" s="59">
        <f>'Car+SUV'!K103+'Van+Ute'!K103</f>
        <v>304.4831085324787</v>
      </c>
      <c r="L103" s="59">
        <f>'Car+SUV'!L103+'Van+Ute'!L103</f>
        <v>335.6804144210364</v>
      </c>
      <c r="M103" s="59">
        <f>'Car+SUV'!M103+'Van+Ute'!M103</f>
        <v>357.10928421135884</v>
      </c>
      <c r="N103" s="59">
        <f>'Car+SUV'!N103+'Van+Ute'!N103</f>
        <v>375.79507163387234</v>
      </c>
      <c r="O103" s="59">
        <f>'Car+SUV'!O103+'Van+Ute'!O103</f>
        <v>395.31732646000893</v>
      </c>
      <c r="P103" s="162">
        <f>'Car+SUV'!P103+'Van+Ute'!P103</f>
        <v>414.59203456549335</v>
      </c>
      <c r="Q103" s="162">
        <f>'Car+SUV'!Q103+'Van+Ute'!Q103</f>
        <v>431.20756507030234</v>
      </c>
      <c r="R103" s="163">
        <f>'Car+SUV'!R103+'Van+Ute'!R103</f>
        <v>443.97082523231131</v>
      </c>
    </row>
    <row r="104" spans="3:18" ht="19" thickTop="1" thickBot="1" x14ac:dyDescent="0.25">
      <c r="C104" s="31" t="s">
        <v>24</v>
      </c>
      <c r="D104" s="61">
        <f t="shared" ref="D104:O104" si="99">SUM(D90:D103)</f>
        <v>7996.6642664573938</v>
      </c>
      <c r="E104" s="62">
        <f t="shared" si="99"/>
        <v>8326.7532595356679</v>
      </c>
      <c r="F104" s="62">
        <f t="shared" si="99"/>
        <v>8467.0237813009098</v>
      </c>
      <c r="G104" s="62">
        <f t="shared" ref="G104:H104" si="100">SUM(G90:G103)</f>
        <v>8556.0209710735671</v>
      </c>
      <c r="H104" s="62">
        <f t="shared" si="100"/>
        <v>9503.3026907841795</v>
      </c>
      <c r="I104" s="62">
        <f t="shared" si="99"/>
        <v>10064.003701854603</v>
      </c>
      <c r="J104" s="62">
        <f t="shared" ref="J104" si="101">SUM(J90:J103)</f>
        <v>10674.895841678495</v>
      </c>
      <c r="K104" s="62">
        <f t="shared" si="99"/>
        <v>11759.451087750051</v>
      </c>
      <c r="L104" s="62">
        <f t="shared" si="99"/>
        <v>13470.054651776092</v>
      </c>
      <c r="M104" s="62">
        <f t="shared" si="99"/>
        <v>14866.153686509577</v>
      </c>
      <c r="N104" s="62">
        <f t="shared" si="99"/>
        <v>16220.147568611812</v>
      </c>
      <c r="O104" s="62">
        <f t="shared" si="99"/>
        <v>17683.54922023867</v>
      </c>
      <c r="P104" s="125">
        <f t="shared" ref="P104:R104" si="102">SUM(P90:P103)</f>
        <v>19226.541299519817</v>
      </c>
      <c r="Q104" s="125">
        <f t="shared" si="102"/>
        <v>20737.617713025356</v>
      </c>
      <c r="R104" s="126">
        <f t="shared" si="102"/>
        <v>22148.979851004398</v>
      </c>
    </row>
    <row r="105" spans="3:18" ht="14" thickTop="1" x14ac:dyDescent="0.15">
      <c r="O105" s="121"/>
    </row>
    <row r="106" spans="3:18" ht="14" thickBot="1" x14ac:dyDescent="0.2">
      <c r="O106" s="121"/>
    </row>
    <row r="107" spans="3:18" ht="17" thickTop="1" x14ac:dyDescent="0.2">
      <c r="C107" s="32" t="s">
        <v>118</v>
      </c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5"/>
    </row>
    <row r="108" spans="3:18" ht="14" thickBot="1" x14ac:dyDescent="0.2">
      <c r="C108" s="18"/>
      <c r="D108" s="65" t="s">
        <v>25</v>
      </c>
      <c r="E108" s="65" t="s">
        <v>37</v>
      </c>
      <c r="F108" s="65" t="s">
        <v>38</v>
      </c>
      <c r="G108" s="37" t="s">
        <v>177</v>
      </c>
      <c r="H108" s="37" t="s">
        <v>178</v>
      </c>
      <c r="I108" s="65" t="s">
        <v>26</v>
      </c>
      <c r="J108" s="65"/>
      <c r="K108" s="65" t="s">
        <v>27</v>
      </c>
      <c r="L108" s="65" t="s">
        <v>28</v>
      </c>
      <c r="M108" s="65" t="s">
        <v>29</v>
      </c>
      <c r="N108" s="65" t="s">
        <v>30</v>
      </c>
      <c r="O108" s="65" t="s">
        <v>31</v>
      </c>
      <c r="P108" s="37" t="s">
        <v>174</v>
      </c>
      <c r="Q108" s="37" t="s">
        <v>175</v>
      </c>
      <c r="R108" s="38" t="s">
        <v>176</v>
      </c>
    </row>
    <row r="109" spans="3:18" ht="15" thickTop="1" thickBot="1" x14ac:dyDescent="0.2">
      <c r="C109" s="70"/>
      <c r="D109" s="71" t="s">
        <v>39</v>
      </c>
      <c r="E109" s="71" t="s">
        <v>39</v>
      </c>
      <c r="F109" s="71" t="s">
        <v>39</v>
      </c>
      <c r="G109" s="71" t="s">
        <v>39</v>
      </c>
      <c r="H109" s="71" t="s">
        <v>39</v>
      </c>
      <c r="I109" s="71" t="s">
        <v>39</v>
      </c>
      <c r="J109" s="71" t="s">
        <v>39</v>
      </c>
      <c r="K109" s="71" t="s">
        <v>32</v>
      </c>
      <c r="L109" s="71" t="s">
        <v>32</v>
      </c>
      <c r="M109" s="71" t="s">
        <v>32</v>
      </c>
      <c r="N109" s="71" t="s">
        <v>32</v>
      </c>
      <c r="O109" s="71" t="s">
        <v>32</v>
      </c>
      <c r="P109" s="65" t="s">
        <v>32</v>
      </c>
      <c r="Q109" s="65" t="s">
        <v>32</v>
      </c>
      <c r="R109" s="66" t="s">
        <v>32</v>
      </c>
    </row>
    <row r="110" spans="3:18" ht="17" thickTop="1" x14ac:dyDescent="0.2">
      <c r="C110" s="24" t="s">
        <v>0</v>
      </c>
      <c r="D110" s="42">
        <f>'Car+SUV'!D110+'Van+Ute'!D110</f>
        <v>13017.065895264179</v>
      </c>
      <c r="E110" s="43">
        <f>'Car+SUV'!E110+'Van+Ute'!E110</f>
        <v>13369.360534529711</v>
      </c>
      <c r="F110" s="43">
        <f>'Car+SUV'!F110+'Van+Ute'!F110</f>
        <v>13723.340308440806</v>
      </c>
      <c r="G110" s="43">
        <f>'Car+SUV'!G110+'Van+Ute'!G110</f>
        <v>14487.426336273676</v>
      </c>
      <c r="H110" s="43">
        <f>'Car+SUV'!H110+'Van+Ute'!H110</f>
        <v>15446.928133845789</v>
      </c>
      <c r="I110" s="43">
        <f>'Car+SUV'!I110+'Van+Ute'!I110</f>
        <v>16215.503444401016</v>
      </c>
      <c r="J110" s="43">
        <f>'Car+SUV'!J110+'Van+Ute'!J110</f>
        <v>17124.522709887762</v>
      </c>
      <c r="K110" s="43">
        <f>'Car+SUV'!K110+'Van+Ute'!K110</f>
        <v>18528.851774982119</v>
      </c>
      <c r="L110" s="43">
        <f>'Car+SUV'!L110+'Van+Ute'!L110</f>
        <v>20913.495402408284</v>
      </c>
      <c r="M110" s="43">
        <f>'Car+SUV'!M110+'Van+Ute'!M110</f>
        <v>22708.623462078373</v>
      </c>
      <c r="N110" s="43">
        <f>'Car+SUV'!N110+'Van+Ute'!N110</f>
        <v>24364.935413721854</v>
      </c>
      <c r="O110" s="43">
        <f>'Car+SUV'!O110+'Van+Ute'!O110</f>
        <v>26101.888475070511</v>
      </c>
      <c r="P110" s="53">
        <f>'Car+SUV'!P110+'Van+Ute'!P110</f>
        <v>27877.82772459459</v>
      </c>
      <c r="Q110" s="53">
        <f>'Car+SUV'!Q110+'Van+Ute'!Q110</f>
        <v>29528.150349509218</v>
      </c>
      <c r="R110" s="54">
        <f>'Car+SUV'!R110+'Van+Ute'!R110</f>
        <v>30961.087026025907</v>
      </c>
    </row>
    <row r="111" spans="3:18" ht="16" x14ac:dyDescent="0.2">
      <c r="C111" s="24" t="s">
        <v>1</v>
      </c>
      <c r="D111" s="42">
        <f>'Car+SUV'!D111+'Van+Ute'!D111</f>
        <v>154107.70548428103</v>
      </c>
      <c r="E111" s="43">
        <f>'Car+SUV'!E111+'Van+Ute'!E111</f>
        <v>161875.45494236297</v>
      </c>
      <c r="F111" s="43">
        <f>'Car+SUV'!F111+'Van+Ute'!F111</f>
        <v>172062.445910029</v>
      </c>
      <c r="G111" s="43">
        <f>'Car+SUV'!G111+'Van+Ute'!G111</f>
        <v>187947.50620608334</v>
      </c>
      <c r="H111" s="43">
        <f>'Car+SUV'!H111+'Van+Ute'!H111</f>
        <v>207725.90918991546</v>
      </c>
      <c r="I111" s="43">
        <f>'Car+SUV'!I111+'Van+Ute'!I111</f>
        <v>223900.30774868088</v>
      </c>
      <c r="J111" s="43">
        <f>'Car+SUV'!J111+'Van+Ute'!J111</f>
        <v>231096.28887448693</v>
      </c>
      <c r="K111" s="43">
        <f>'Car+SUV'!K111+'Van+Ute'!K111</f>
        <v>262751.97493262403</v>
      </c>
      <c r="L111" s="43">
        <f>'Car+SUV'!L111+'Van+Ute'!L111</f>
        <v>308510.75891745137</v>
      </c>
      <c r="M111" s="43">
        <f>'Car+SUV'!M111+'Van+Ute'!M111</f>
        <v>348308.81586651108</v>
      </c>
      <c r="N111" s="43">
        <f>'Car+SUV'!N111+'Van+Ute'!N111</f>
        <v>388060.39569227817</v>
      </c>
      <c r="O111" s="43">
        <f>'Car+SUV'!O111+'Van+Ute'!O111</f>
        <v>431544.01593606808</v>
      </c>
      <c r="P111" s="56">
        <f>'Car+SUV'!P111+'Van+Ute'!P111</f>
        <v>478444.10770479462</v>
      </c>
      <c r="Q111" s="56">
        <f>'Car+SUV'!Q111+'Van+Ute'!Q111</f>
        <v>526050.73929294245</v>
      </c>
      <c r="R111" s="57">
        <f>'Car+SUV'!R111+'Van+Ute'!R111</f>
        <v>572567.51348338043</v>
      </c>
    </row>
    <row r="112" spans="3:18" ht="16" x14ac:dyDescent="0.2">
      <c r="C112" s="24" t="s">
        <v>2</v>
      </c>
      <c r="D112" s="42">
        <f>'Car+SUV'!D112+'Van+Ute'!D112</f>
        <v>39929.383206022132</v>
      </c>
      <c r="E112" s="43">
        <f>'Car+SUV'!E112+'Van+Ute'!E112</f>
        <v>42645.612607749892</v>
      </c>
      <c r="F112" s="43">
        <f>'Car+SUV'!F112+'Van+Ute'!F112</f>
        <v>45113.52729849382</v>
      </c>
      <c r="G112" s="43">
        <f>'Car+SUV'!G112+'Van+Ute'!G112</f>
        <v>48157.195920931001</v>
      </c>
      <c r="H112" s="43">
        <f>'Car+SUV'!H112+'Van+Ute'!H112</f>
        <v>51251.373008244642</v>
      </c>
      <c r="I112" s="43">
        <f>'Car+SUV'!I112+'Van+Ute'!I112</f>
        <v>55759.803180574556</v>
      </c>
      <c r="J112" s="43">
        <f>'Car+SUV'!J112+'Van+Ute'!J112</f>
        <v>59190.578520103802</v>
      </c>
      <c r="K112" s="43">
        <f>'Car+SUV'!K112+'Van+Ute'!K112</f>
        <v>64992.587859435</v>
      </c>
      <c r="L112" s="43">
        <f>'Car+SUV'!L112+'Van+Ute'!L112</f>
        <v>74343.901628350519</v>
      </c>
      <c r="M112" s="43">
        <f>'Car+SUV'!M112+'Van+Ute'!M112</f>
        <v>81917.731132570305</v>
      </c>
      <c r="N112" s="43">
        <f>'Car+SUV'!N112+'Van+Ute'!N112</f>
        <v>89243.225354437338</v>
      </c>
      <c r="O112" s="43">
        <f>'Car+SUV'!O112+'Van+Ute'!O112</f>
        <v>97178.856829960016</v>
      </c>
      <c r="P112" s="56">
        <f>'Car+SUV'!P112+'Van+Ute'!P112</f>
        <v>105499.07431355448</v>
      </c>
      <c r="Q112" s="56">
        <f>'Car+SUV'!Q112+'Van+Ute'!Q112</f>
        <v>113583.6512560415</v>
      </c>
      <c r="R112" s="57">
        <f>'Car+SUV'!R112+'Van+Ute'!R112</f>
        <v>121055.81191499589</v>
      </c>
    </row>
    <row r="113" spans="3:18" ht="16" x14ac:dyDescent="0.2">
      <c r="C113" s="24" t="s">
        <v>3</v>
      </c>
      <c r="D113" s="42">
        <f>'Car+SUV'!D113+'Van+Ute'!D113</f>
        <v>30845.71035848841</v>
      </c>
      <c r="E113" s="43">
        <f>'Car+SUV'!E113+'Van+Ute'!E113</f>
        <v>31955.275590359044</v>
      </c>
      <c r="F113" s="43">
        <f>'Car+SUV'!F113+'Van+Ute'!F113</f>
        <v>33119.153376446709</v>
      </c>
      <c r="G113" s="43">
        <f>'Car+SUV'!G113+'Van+Ute'!G113</f>
        <v>35542.704531094496</v>
      </c>
      <c r="H113" s="43">
        <f>'Car+SUV'!H113+'Van+Ute'!H113</f>
        <v>38100.567100041342</v>
      </c>
      <c r="I113" s="43">
        <f>'Car+SUV'!I113+'Van+Ute'!I113</f>
        <v>42218.989398084814</v>
      </c>
      <c r="J113" s="43">
        <f>'Car+SUV'!J113+'Van+Ute'!J113</f>
        <v>44186.712347275468</v>
      </c>
      <c r="K113" s="43">
        <f>'Car+SUV'!K113+'Van+Ute'!K113</f>
        <v>48187.34247068243</v>
      </c>
      <c r="L113" s="43">
        <f>'Car+SUV'!L113+'Van+Ute'!L113</f>
        <v>54753.194498851291</v>
      </c>
      <c r="M113" s="43">
        <f>'Car+SUV'!M113+'Van+Ute'!M113</f>
        <v>59944.009412006344</v>
      </c>
      <c r="N113" s="43">
        <f>'Car+SUV'!N113+'Van+Ute'!N113</f>
        <v>64861.377734177804</v>
      </c>
      <c r="O113" s="43">
        <f>'Car+SUV'!O113+'Van+Ute'!O113</f>
        <v>70151.855388656419</v>
      </c>
      <c r="P113" s="56">
        <f>'Car+SUV'!P113+'Van+Ute'!P113</f>
        <v>75643.65221954399</v>
      </c>
      <c r="Q113" s="56">
        <f>'Car+SUV'!Q113+'Van+Ute'!Q113</f>
        <v>80890.24111952752</v>
      </c>
      <c r="R113" s="57">
        <f>'Car+SUV'!R113+'Van+Ute'!R113</f>
        <v>85629.303942405968</v>
      </c>
    </row>
    <row r="114" spans="3:18" ht="16" x14ac:dyDescent="0.2">
      <c r="C114" s="24" t="s">
        <v>4</v>
      </c>
      <c r="D114" s="42">
        <f>'Car+SUV'!D114+'Van+Ute'!D114</f>
        <v>3874.5217583538483</v>
      </c>
      <c r="E114" s="43">
        <f>'Car+SUV'!E114+'Van+Ute'!E114</f>
        <v>4013.3221455838461</v>
      </c>
      <c r="F114" s="43">
        <f>'Car+SUV'!F114+'Van+Ute'!F114</f>
        <v>4108.01486132843</v>
      </c>
      <c r="G114" s="43">
        <f>'Car+SUV'!G114+'Van+Ute'!G114</f>
        <v>4213.9576290426876</v>
      </c>
      <c r="H114" s="43">
        <f>'Car+SUV'!H114+'Van+Ute'!H114</f>
        <v>4271.6651259005357</v>
      </c>
      <c r="I114" s="43">
        <f>'Car+SUV'!I114+'Van+Ute'!I114</f>
        <v>5090.0014412741839</v>
      </c>
      <c r="J114" s="43">
        <f>'Car+SUV'!J114+'Van+Ute'!J114</f>
        <v>5261.6916838088273</v>
      </c>
      <c r="K114" s="43">
        <f>'Car+SUV'!K114+'Van+Ute'!K114</f>
        <v>5571.0560648407518</v>
      </c>
      <c r="L114" s="43">
        <f>'Car+SUV'!L114+'Van+Ute'!L114</f>
        <v>6185.5664834641684</v>
      </c>
      <c r="M114" s="43">
        <f>'Car+SUV'!M114+'Van+Ute'!M114</f>
        <v>6619.9178242211783</v>
      </c>
      <c r="N114" s="43">
        <f>'Car+SUV'!N114+'Van+Ute'!N114</f>
        <v>6994.1710657321382</v>
      </c>
      <c r="O114" s="43">
        <f>'Car+SUV'!O114+'Van+Ute'!O114</f>
        <v>7387.4176623169815</v>
      </c>
      <c r="P114" s="56">
        <f>'Car+SUV'!P114+'Van+Ute'!P114</f>
        <v>7779.100667062361</v>
      </c>
      <c r="Q114" s="56">
        <f>'Car+SUV'!Q114+'Van+Ute'!Q114</f>
        <v>8123.7480006488349</v>
      </c>
      <c r="R114" s="57">
        <f>'Car+SUV'!R114+'Van+Ute'!R114</f>
        <v>8398.1985431254507</v>
      </c>
    </row>
    <row r="115" spans="3:18" ht="16" x14ac:dyDescent="0.2">
      <c r="C115" s="24" t="s">
        <v>5</v>
      </c>
      <c r="D115" s="42">
        <f>'Car+SUV'!D115+'Van+Ute'!D115</f>
        <v>15011.977990505577</v>
      </c>
      <c r="E115" s="43">
        <f>'Car+SUV'!E115+'Van+Ute'!E115</f>
        <v>15342.089055263001</v>
      </c>
      <c r="F115" s="43">
        <f>'Car+SUV'!F115+'Van+Ute'!F115</f>
        <v>15806.028543982968</v>
      </c>
      <c r="G115" s="43">
        <f>'Car+SUV'!G115+'Van+Ute'!G115</f>
        <v>16678.097285185402</v>
      </c>
      <c r="H115" s="43">
        <f>'Car+SUV'!H115+'Van+Ute'!H115</f>
        <v>17902.592711187412</v>
      </c>
      <c r="I115" s="43">
        <f>'Car+SUV'!I115+'Van+Ute'!I115</f>
        <v>19767.123070158297</v>
      </c>
      <c r="J115" s="43">
        <f>'Car+SUV'!J115+'Van+Ute'!J115</f>
        <v>20585.884559942064</v>
      </c>
      <c r="K115" s="43">
        <f>'Car+SUV'!K115+'Van+Ute'!K115</f>
        <v>21829.476856560424</v>
      </c>
      <c r="L115" s="43">
        <f>'Car+SUV'!L115+'Van+Ute'!L115</f>
        <v>24304.133824019867</v>
      </c>
      <c r="M115" s="43">
        <f>'Car+SUV'!M115+'Van+Ute'!M115</f>
        <v>26053.475622744641</v>
      </c>
      <c r="N115" s="43">
        <f>'Car+SUV'!N115+'Van+Ute'!N115</f>
        <v>27613.44837567077</v>
      </c>
      <c r="O115" s="43">
        <f>'Car+SUV'!O115+'Van+Ute'!O115</f>
        <v>29238.646749982428</v>
      </c>
      <c r="P115" s="56">
        <f>'Car+SUV'!P115+'Van+Ute'!P115</f>
        <v>30865.564686559104</v>
      </c>
      <c r="Q115" s="56">
        <f>'Car+SUV'!Q115+'Van+Ute'!Q115</f>
        <v>32313.313833160173</v>
      </c>
      <c r="R115" s="57">
        <f>'Car+SUV'!R115+'Van+Ute'!R115</f>
        <v>33488.16982773054</v>
      </c>
    </row>
    <row r="116" spans="3:18" ht="16" x14ac:dyDescent="0.2">
      <c r="C116" s="24" t="s">
        <v>6</v>
      </c>
      <c r="D116" s="42">
        <f>'Car+SUV'!D116+'Van+Ute'!D116</f>
        <v>9763.0583722037154</v>
      </c>
      <c r="E116" s="43">
        <f>'Car+SUV'!E116+'Van+Ute'!E116</f>
        <v>10238.719425219133</v>
      </c>
      <c r="F116" s="43">
        <f>'Car+SUV'!F116+'Van+Ute'!F116</f>
        <v>10450.930913498003</v>
      </c>
      <c r="G116" s="43">
        <f>'Car+SUV'!G116+'Van+Ute'!G116</f>
        <v>10740.783150352327</v>
      </c>
      <c r="H116" s="43">
        <f>'Car+SUV'!H116+'Van+Ute'!H116</f>
        <v>10981.110939407376</v>
      </c>
      <c r="I116" s="43">
        <f>'Car+SUV'!I116+'Van+Ute'!I116</f>
        <v>12541.773500097714</v>
      </c>
      <c r="J116" s="43">
        <f>'Car+SUV'!J116+'Van+Ute'!J116</f>
        <v>12712.976366613835</v>
      </c>
      <c r="K116" s="43">
        <f>'Car+SUV'!K116+'Van+Ute'!K116</f>
        <v>13592.473318701435</v>
      </c>
      <c r="L116" s="43">
        <f>'Car+SUV'!L116+'Van+Ute'!L116</f>
        <v>15275.837188343041</v>
      </c>
      <c r="M116" s="43">
        <f>'Car+SUV'!M116+'Van+Ute'!M116</f>
        <v>16548.82972876561</v>
      </c>
      <c r="N116" s="43">
        <f>'Car+SUV'!N116+'Van+Ute'!N116</f>
        <v>17752.279289093094</v>
      </c>
      <c r="O116" s="43">
        <f>'Car+SUV'!O116+'Van+Ute'!O116</f>
        <v>19052.486919641211</v>
      </c>
      <c r="P116" s="56">
        <f>'Car+SUV'!P116+'Van+Ute'!P116</f>
        <v>20385.884411271152</v>
      </c>
      <c r="Q116" s="56">
        <f>'Car+SUV'!Q116+'Van+Ute'!Q116</f>
        <v>21632.053880774762</v>
      </c>
      <c r="R116" s="57">
        <f>'Car+SUV'!R116+'Van+Ute'!R116</f>
        <v>22723.153259542047</v>
      </c>
    </row>
    <row r="117" spans="3:18" ht="16" x14ac:dyDescent="0.2">
      <c r="C117" s="24" t="s">
        <v>7</v>
      </c>
      <c r="D117" s="42">
        <f>'Car+SUV'!D117+'Van+Ute'!D117</f>
        <v>20119.788646181587</v>
      </c>
      <c r="E117" s="43">
        <f>'Car+SUV'!E117+'Van+Ute'!E117</f>
        <v>20628.653069727494</v>
      </c>
      <c r="F117" s="43">
        <f>'Car+SUV'!F117+'Van+Ute'!F117</f>
        <v>21230.186884695453</v>
      </c>
      <c r="G117" s="43">
        <f>'Car+SUV'!G117+'Van+Ute'!G117</f>
        <v>22362.252767609243</v>
      </c>
      <c r="H117" s="43">
        <f>'Car+SUV'!H117+'Van+Ute'!H117</f>
        <v>23188.021508204929</v>
      </c>
      <c r="I117" s="43">
        <f>'Car+SUV'!I117+'Van+Ute'!I117</f>
        <v>24934.78312487786</v>
      </c>
      <c r="J117" s="43">
        <f>'Car+SUV'!J117+'Van+Ute'!J117</f>
        <v>25788.601761395752</v>
      </c>
      <c r="K117" s="43">
        <f>'Car+SUV'!K117+'Van+Ute'!K117</f>
        <v>27264.409117716685</v>
      </c>
      <c r="L117" s="43">
        <f>'Car+SUV'!L117+'Van+Ute'!L117</f>
        <v>30263.122458620426</v>
      </c>
      <c r="M117" s="43">
        <f>'Car+SUV'!M117+'Van+Ute'!M117</f>
        <v>32377.146256443604</v>
      </c>
      <c r="N117" s="43">
        <f>'Car+SUV'!N117+'Van+Ute'!N117</f>
        <v>34261.941264884903</v>
      </c>
      <c r="O117" s="43">
        <f>'Car+SUV'!O117+'Van+Ute'!O117</f>
        <v>36230.289582216195</v>
      </c>
      <c r="P117" s="56">
        <f>'Car+SUV'!P117+'Van+Ute'!P117</f>
        <v>38195.480631267281</v>
      </c>
      <c r="Q117" s="56">
        <f>'Car+SUV'!Q117+'Van+Ute'!Q117</f>
        <v>39933.968098803562</v>
      </c>
      <c r="R117" s="57">
        <f>'Car+SUV'!R117+'Van+Ute'!R117</f>
        <v>41330.969921573153</v>
      </c>
    </row>
    <row r="118" spans="3:18" ht="16" x14ac:dyDescent="0.2">
      <c r="C118" s="24" t="s">
        <v>8</v>
      </c>
      <c r="D118" s="42">
        <f>'Car+SUV'!D118+'Van+Ute'!D118</f>
        <v>38253.386319960067</v>
      </c>
      <c r="E118" s="43">
        <f>'Car+SUV'!E118+'Van+Ute'!E118</f>
        <v>39494.581418085581</v>
      </c>
      <c r="F118" s="43">
        <f>'Car+SUV'!F118+'Van+Ute'!F118</f>
        <v>40455.687588811168</v>
      </c>
      <c r="G118" s="43">
        <f>'Car+SUV'!G118+'Van+Ute'!G118</f>
        <v>42564.785020606418</v>
      </c>
      <c r="H118" s="43">
        <f>'Car+SUV'!H118+'Van+Ute'!H118</f>
        <v>44881.920870022688</v>
      </c>
      <c r="I118" s="43">
        <f>'Car+SUV'!I118+'Van+Ute'!I118</f>
        <v>48773.078048661322</v>
      </c>
      <c r="J118" s="43">
        <f>'Car+SUV'!J118+'Van+Ute'!J118</f>
        <v>50855.128611519278</v>
      </c>
      <c r="K118" s="43">
        <f>'Car+SUV'!K118+'Van+Ute'!K118</f>
        <v>54639.339028681643</v>
      </c>
      <c r="L118" s="43">
        <f>'Car+SUV'!L118+'Van+Ute'!L118</f>
        <v>61480.361918961964</v>
      </c>
      <c r="M118" s="43">
        <f>'Car+SUV'!M118+'Van+Ute'!M118</f>
        <v>66746.242584836524</v>
      </c>
      <c r="N118" s="43">
        <f>'Car+SUV'!N118+'Van+Ute'!N118</f>
        <v>71699.673609825055</v>
      </c>
      <c r="O118" s="43">
        <f>'Car+SUV'!O118+'Van+Ute'!O118</f>
        <v>76954.066922279701</v>
      </c>
      <c r="P118" s="56">
        <f>'Car+SUV'!P118+'Van+Ute'!P118</f>
        <v>82342.928722234821</v>
      </c>
      <c r="Q118" s="56">
        <f>'Car+SUV'!Q118+'Van+Ute'!Q118</f>
        <v>87379.862290839126</v>
      </c>
      <c r="R118" s="57">
        <f>'Car+SUV'!R118+'Van+Ute'!R118</f>
        <v>91790.776820435392</v>
      </c>
    </row>
    <row r="119" spans="3:18" ht="16" x14ac:dyDescent="0.2">
      <c r="C119" s="24" t="s">
        <v>9</v>
      </c>
      <c r="D119" s="42">
        <f>'Car+SUV'!D119+'Van+Ute'!D119</f>
        <v>16900.771429295783</v>
      </c>
      <c r="E119" s="43">
        <f>'Car+SUV'!E119+'Van+Ute'!E119</f>
        <v>17542.037900866282</v>
      </c>
      <c r="F119" s="43">
        <f>'Car+SUV'!F119+'Van+Ute'!F119</f>
        <v>18286.963449942632</v>
      </c>
      <c r="G119" s="43">
        <f>'Car+SUV'!G119+'Van+Ute'!G119</f>
        <v>19911.548495450166</v>
      </c>
      <c r="H119" s="43">
        <f>'Car+SUV'!H119+'Van+Ute'!H119</f>
        <v>21672.179694295563</v>
      </c>
      <c r="I119" s="43">
        <f>'Car+SUV'!I119+'Van+Ute'!I119</f>
        <v>24949.081028923196</v>
      </c>
      <c r="J119" s="43">
        <f>'Car+SUV'!J119+'Van+Ute'!J119</f>
        <v>26018.65903506997</v>
      </c>
      <c r="K119" s="43">
        <f>'Car+SUV'!K119+'Van+Ute'!K119</f>
        <v>27862.84150030624</v>
      </c>
      <c r="L119" s="43">
        <f>'Car+SUV'!L119+'Van+Ute'!L119</f>
        <v>31241.561743859369</v>
      </c>
      <c r="M119" s="43">
        <f>'Car+SUV'!M119+'Van+Ute'!M119</f>
        <v>33743.998184215736</v>
      </c>
      <c r="N119" s="43">
        <f>'Car+SUV'!N119+'Van+Ute'!N119</f>
        <v>36014.054583949233</v>
      </c>
      <c r="O119" s="43">
        <f>'Car+SUV'!O119+'Van+Ute'!O119</f>
        <v>38339.071638885864</v>
      </c>
      <c r="P119" s="56">
        <f>'Car+SUV'!P119+'Van+Ute'!P119</f>
        <v>40692.275954848621</v>
      </c>
      <c r="Q119" s="56">
        <f>'Car+SUV'!Q119+'Van+Ute'!Q119</f>
        <v>42834.449151315261</v>
      </c>
      <c r="R119" s="57">
        <f>'Car+SUV'!R119+'Van+Ute'!R119</f>
        <v>44637.263308732508</v>
      </c>
    </row>
    <row r="120" spans="3:18" ht="16" x14ac:dyDescent="0.2">
      <c r="C120" s="24" t="s">
        <v>10</v>
      </c>
      <c r="D120" s="42">
        <f>'Car+SUV'!D120+'Van+Ute'!D120</f>
        <v>3805.4647967726301</v>
      </c>
      <c r="E120" s="43">
        <f>'Car+SUV'!E120+'Van+Ute'!E120</f>
        <v>3788.1541258820143</v>
      </c>
      <c r="F120" s="43">
        <f>'Car+SUV'!F120+'Van+Ute'!F120</f>
        <v>3804.8226160975723</v>
      </c>
      <c r="G120" s="43">
        <f>'Car+SUV'!G120+'Van+Ute'!G120</f>
        <v>3679.617115163288</v>
      </c>
      <c r="H120" s="43">
        <f>'Car+SUV'!H120+'Van+Ute'!H120</f>
        <v>3537.2419351992371</v>
      </c>
      <c r="I120" s="43">
        <f>'Car+SUV'!I120+'Van+Ute'!I120</f>
        <v>4001.439442055892</v>
      </c>
      <c r="J120" s="43">
        <f>'Car+SUV'!J120+'Van+Ute'!J120</f>
        <v>4034.2256109909758</v>
      </c>
      <c r="K120" s="43">
        <f>'Car+SUV'!K120+'Van+Ute'!K120</f>
        <v>4193.6009739362617</v>
      </c>
      <c r="L120" s="43">
        <f>'Car+SUV'!L120+'Van+Ute'!L120</f>
        <v>4571.9888279371153</v>
      </c>
      <c r="M120" s="43">
        <f>'Car+SUV'!M120+'Van+Ute'!M120</f>
        <v>4803.617958288728</v>
      </c>
      <c r="N120" s="43">
        <f>'Car+SUV'!N120+'Van+Ute'!N120</f>
        <v>4989.6494366707357</v>
      </c>
      <c r="O120" s="43">
        <f>'Car+SUV'!O120+'Van+Ute'!O120</f>
        <v>5183.3041998647004</v>
      </c>
      <c r="P120" s="56">
        <f>'Car+SUV'!P120+'Van+Ute'!P120</f>
        <v>5368.1383024269389</v>
      </c>
      <c r="Q120" s="56">
        <f>'Car+SUV'!Q120+'Van+Ute'!Q120</f>
        <v>5513.5460754645628</v>
      </c>
      <c r="R120" s="57">
        <f>'Car+SUV'!R120+'Van+Ute'!R120</f>
        <v>5605.8434222328906</v>
      </c>
    </row>
    <row r="121" spans="3:18" ht="16" x14ac:dyDescent="0.2">
      <c r="C121" s="24" t="s">
        <v>11</v>
      </c>
      <c r="D121" s="42">
        <f>'Car+SUV'!D121+'Van+Ute'!D121</f>
        <v>74102.818335297285</v>
      </c>
      <c r="E121" s="43">
        <f>'Car+SUV'!E121+'Van+Ute'!E121</f>
        <v>79137.359798016201</v>
      </c>
      <c r="F121" s="43">
        <f>'Car+SUV'!F121+'Van+Ute'!F121</f>
        <v>83852.567362144371</v>
      </c>
      <c r="G121" s="43">
        <f>'Car+SUV'!G121+'Van+Ute'!G121</f>
        <v>87207.021728174164</v>
      </c>
      <c r="H121" s="43">
        <f>'Car+SUV'!H121+'Van+Ute'!H121</f>
        <v>91408.170365197817</v>
      </c>
      <c r="I121" s="43">
        <f>'Car+SUV'!I121+'Van+Ute'!I121</f>
        <v>98570.117280633189</v>
      </c>
      <c r="J121" s="43">
        <f>'Car+SUV'!J121+'Van+Ute'!J121</f>
        <v>101482.0705362077</v>
      </c>
      <c r="K121" s="43">
        <f>'Car+SUV'!K121+'Van+Ute'!K121</f>
        <v>112431.41292078354</v>
      </c>
      <c r="L121" s="43">
        <f>'Car+SUV'!L121+'Van+Ute'!L121</f>
        <v>128924.32228180424</v>
      </c>
      <c r="M121" s="43">
        <f>'Car+SUV'!M121+'Van+Ute'!M121</f>
        <v>142567.17226414106</v>
      </c>
      <c r="N121" s="43">
        <f>'Car+SUV'!N121+'Van+Ute'!N121</f>
        <v>155967.14743131906</v>
      </c>
      <c r="O121" s="43">
        <f>'Car+SUV'!O121+'Van+Ute'!O121</f>
        <v>170504.37341499343</v>
      </c>
      <c r="P121" s="56">
        <f>'Car+SUV'!P121+'Van+Ute'!P121</f>
        <v>185831.03765941947</v>
      </c>
      <c r="Q121" s="56">
        <f>'Car+SUV'!Q121+'Van+Ute'!Q121</f>
        <v>200858.99905700289</v>
      </c>
      <c r="R121" s="57">
        <f>'Car+SUV'!R121+'Van+Ute'!R121</f>
        <v>214915.12433027217</v>
      </c>
    </row>
    <row r="122" spans="3:18" ht="16" x14ac:dyDescent="0.2">
      <c r="C122" s="24" t="s">
        <v>12</v>
      </c>
      <c r="D122" s="42">
        <f>'Car+SUV'!D122+'Van+Ute'!D122</f>
        <v>21240.972503064324</v>
      </c>
      <c r="E122" s="43">
        <f>'Car+SUV'!E122+'Van+Ute'!E122</f>
        <v>22412.406098829058</v>
      </c>
      <c r="F122" s="43">
        <f>'Car+SUV'!F122+'Van+Ute'!F122</f>
        <v>23414.085802401067</v>
      </c>
      <c r="G122" s="43">
        <f>'Car+SUV'!G122+'Van+Ute'!G122</f>
        <v>25442.762945199407</v>
      </c>
      <c r="H122" s="43">
        <f>'Car+SUV'!H122+'Van+Ute'!H122</f>
        <v>28030.497380097462</v>
      </c>
      <c r="I122" s="43">
        <f>'Car+SUV'!I122+'Van+Ute'!I122</f>
        <v>30891.245236466682</v>
      </c>
      <c r="J122" s="43">
        <f>'Car+SUV'!J122+'Van+Ute'!J122</f>
        <v>31991.029594839347</v>
      </c>
      <c r="K122" s="43">
        <f>'Car+SUV'!K122+'Van+Ute'!K122</f>
        <v>34757.073739611697</v>
      </c>
      <c r="L122" s="43">
        <f>'Car+SUV'!L122+'Van+Ute'!L122</f>
        <v>39210.27365432182</v>
      </c>
      <c r="M122" s="43">
        <f>'Car+SUV'!M122+'Van+Ute'!M122</f>
        <v>42675.827901893441</v>
      </c>
      <c r="N122" s="43">
        <f>'Car+SUV'!N122+'Van+Ute'!N122</f>
        <v>45978.880964480588</v>
      </c>
      <c r="O122" s="43">
        <f>'Car+SUV'!O122+'Van+Ute'!O122</f>
        <v>49513.349704296888</v>
      </c>
      <c r="P122" s="56">
        <f>'Car+SUV'!P122+'Van+Ute'!P122</f>
        <v>53157.74563868445</v>
      </c>
      <c r="Q122" s="56">
        <f>'Car+SUV'!Q122+'Van+Ute'!Q122</f>
        <v>56598.003837517477</v>
      </c>
      <c r="R122" s="57">
        <f>'Car+SUV'!R122+'Van+Ute'!R122</f>
        <v>59653.827892533416</v>
      </c>
    </row>
    <row r="123" spans="3:18" ht="17" thickBot="1" x14ac:dyDescent="0.25">
      <c r="C123" s="25" t="s">
        <v>13</v>
      </c>
      <c r="D123" s="45">
        <f>'Car+SUV'!D123+'Van+Ute'!D123</f>
        <v>10192.374904309454</v>
      </c>
      <c r="E123" s="46">
        <f>'Car+SUV'!E123+'Van+Ute'!E123</f>
        <v>10677.973287525778</v>
      </c>
      <c r="F123" s="46">
        <f>'Car+SUV'!F123+'Van+Ute'!F123</f>
        <v>11078.245083688</v>
      </c>
      <c r="G123" s="46">
        <f>'Car+SUV'!G123+'Van+Ute'!G123</f>
        <v>11743.340868834341</v>
      </c>
      <c r="H123" s="46">
        <f>'Car+SUV'!H123+'Van+Ute'!H123</f>
        <v>12320.822038439757</v>
      </c>
      <c r="I123" s="46">
        <f>'Car+SUV'!I123+'Van+Ute'!I123</f>
        <v>13228.656268321283</v>
      </c>
      <c r="J123" s="46">
        <f>'Car+SUV'!J123+'Van+Ute'!J123</f>
        <v>13858.560774435051</v>
      </c>
      <c r="K123" s="46">
        <f>'Car+SUV'!K123+'Van+Ute'!K123</f>
        <v>14536.754577171119</v>
      </c>
      <c r="L123" s="46">
        <f>'Car+SUV'!L123+'Van+Ute'!L123</f>
        <v>16026.188855994251</v>
      </c>
      <c r="M123" s="46">
        <f>'Car+SUV'!M123+'Van+Ute'!M123</f>
        <v>17049.254544299409</v>
      </c>
      <c r="N123" s="46">
        <f>'Car+SUV'!N123+'Van+Ute'!N123</f>
        <v>17941.358895018409</v>
      </c>
      <c r="O123" s="46">
        <f>'Car+SUV'!O123+'Van+Ute'!O123</f>
        <v>18873.39820770255</v>
      </c>
      <c r="P123" s="59">
        <f>'Car+SUV'!P123+'Van+Ute'!P123</f>
        <v>19793.619045654716</v>
      </c>
      <c r="Q123" s="59">
        <f>'Car+SUV'!Q123+'Van+Ute'!Q123</f>
        <v>20586.884361034743</v>
      </c>
      <c r="R123" s="60">
        <f>'Car+SUV'!R123+'Van+Ute'!R123</f>
        <v>21196.233042063199</v>
      </c>
    </row>
    <row r="124" spans="3:18" ht="19" thickTop="1" thickBot="1" x14ac:dyDescent="0.25">
      <c r="C124" s="20" t="s">
        <v>24</v>
      </c>
      <c r="D124" s="48">
        <f t="shared" ref="D124:O124" si="103">SUM(D110:D123)</f>
        <v>451165</v>
      </c>
      <c r="E124" s="48">
        <f t="shared" si="103"/>
        <v>473120.99999999994</v>
      </c>
      <c r="F124" s="48">
        <f t="shared" si="103"/>
        <v>496505.99999999988</v>
      </c>
      <c r="G124" s="48">
        <f t="shared" ref="G124:H124" si="104">SUM(G110:G123)</f>
        <v>530678.99999999988</v>
      </c>
      <c r="H124" s="48">
        <f t="shared" si="104"/>
        <v>570719.00000000012</v>
      </c>
      <c r="I124" s="48">
        <f t="shared" si="103"/>
        <v>620841.90221321082</v>
      </c>
      <c r="J124" s="48">
        <f t="shared" ref="J124" si="105">SUM(J110:J123)</f>
        <v>644186.93098657671</v>
      </c>
      <c r="K124" s="48">
        <f t="shared" si="103"/>
        <v>711139.19513603335</v>
      </c>
      <c r="L124" s="48">
        <f t="shared" si="103"/>
        <v>816004.7076843878</v>
      </c>
      <c r="M124" s="48">
        <f t="shared" si="103"/>
        <v>902064.66274301615</v>
      </c>
      <c r="N124" s="48">
        <f t="shared" si="103"/>
        <v>985742.53911125916</v>
      </c>
      <c r="O124" s="48">
        <f t="shared" si="103"/>
        <v>1076253.0216319347</v>
      </c>
      <c r="P124" s="62">
        <f t="shared" ref="P124:R124" si="106">SUM(P110:P123)</f>
        <v>1171876.4376819166</v>
      </c>
      <c r="Q124" s="62">
        <f t="shared" si="106"/>
        <v>1265827.6106045819</v>
      </c>
      <c r="R124" s="63">
        <f t="shared" si="106"/>
        <v>1353953.276735049</v>
      </c>
    </row>
    <row r="125" spans="3:18" ht="17" thickTop="1" x14ac:dyDescent="0.2">
      <c r="C125" s="131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56"/>
      <c r="Q125" s="56"/>
      <c r="R125" s="56"/>
    </row>
    <row r="126" spans="3:18" ht="16" x14ac:dyDescent="0.2">
      <c r="C126" s="131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</row>
    <row r="127" spans="3:18" ht="14" thickBot="1" x14ac:dyDescent="0.2">
      <c r="O127" s="121"/>
    </row>
    <row r="128" spans="3:18" ht="17" thickTop="1" x14ac:dyDescent="0.2">
      <c r="C128" s="32" t="s">
        <v>120</v>
      </c>
      <c r="D128" s="33"/>
      <c r="E128" s="33"/>
      <c r="F128" s="33"/>
      <c r="G128" s="33"/>
      <c r="H128" s="33"/>
      <c r="I128" s="33"/>
      <c r="J128" s="33"/>
      <c r="K128" s="34"/>
      <c r="L128" s="34"/>
      <c r="M128" s="34"/>
      <c r="N128" s="34"/>
      <c r="O128" s="34"/>
      <c r="P128" s="34"/>
      <c r="Q128" s="34"/>
      <c r="R128" s="35"/>
    </row>
    <row r="129" spans="3:18" ht="14" thickBot="1" x14ac:dyDescent="0.2">
      <c r="C129" s="36"/>
      <c r="D129" s="37" t="s">
        <v>25</v>
      </c>
      <c r="E129" s="37" t="s">
        <v>37</v>
      </c>
      <c r="F129" s="37" t="s">
        <v>38</v>
      </c>
      <c r="G129" s="37" t="s">
        <v>177</v>
      </c>
      <c r="H129" s="37" t="s">
        <v>178</v>
      </c>
      <c r="I129" s="37" t="s">
        <v>26</v>
      </c>
      <c r="J129" s="37"/>
      <c r="K129" s="37" t="s">
        <v>27</v>
      </c>
      <c r="L129" s="37" t="s">
        <v>28</v>
      </c>
      <c r="M129" s="37" t="s">
        <v>29</v>
      </c>
      <c r="N129" s="37" t="s">
        <v>30</v>
      </c>
      <c r="O129" s="37" t="s">
        <v>31</v>
      </c>
      <c r="P129" s="37" t="s">
        <v>174</v>
      </c>
      <c r="Q129" s="37" t="s">
        <v>175</v>
      </c>
      <c r="R129" s="38" t="s">
        <v>176</v>
      </c>
    </row>
    <row r="130" spans="3:18" ht="15" thickTop="1" thickBot="1" x14ac:dyDescent="0.2">
      <c r="C130" s="70"/>
      <c r="D130" s="65" t="s">
        <v>39</v>
      </c>
      <c r="E130" s="65" t="s">
        <v>39</v>
      </c>
      <c r="F130" s="65" t="s">
        <v>39</v>
      </c>
      <c r="G130" s="65" t="s">
        <v>39</v>
      </c>
      <c r="H130" s="65" t="s">
        <v>39</v>
      </c>
      <c r="I130" s="65" t="s">
        <v>39</v>
      </c>
      <c r="J130" s="65" t="s">
        <v>39</v>
      </c>
      <c r="K130" s="65" t="s">
        <v>32</v>
      </c>
      <c r="L130" s="65" t="s">
        <v>32</v>
      </c>
      <c r="M130" s="65" t="s">
        <v>32</v>
      </c>
      <c r="N130" s="65" t="s">
        <v>32</v>
      </c>
      <c r="O130" s="65" t="s">
        <v>32</v>
      </c>
      <c r="P130" s="65" t="s">
        <v>32</v>
      </c>
      <c r="Q130" s="65" t="s">
        <v>32</v>
      </c>
      <c r="R130" s="66" t="s">
        <v>32</v>
      </c>
    </row>
    <row r="131" spans="3:18" ht="17" thickTop="1" x14ac:dyDescent="0.2">
      <c r="C131" s="24" t="s">
        <v>0</v>
      </c>
      <c r="D131" s="52">
        <f>'Car+SUV'!D131+'Van+Ute'!D131</f>
        <v>6.5413548523906062</v>
      </c>
      <c r="E131" s="53">
        <f>'Car+SUV'!E131+'Van+Ute'!E131</f>
        <v>6.4149115115665962</v>
      </c>
      <c r="F131" s="53">
        <f>'Car+SUV'!F131+'Van+Ute'!F131</f>
        <v>6.0168613193954874</v>
      </c>
      <c r="G131" s="53">
        <f>'Car+SUV'!G131+'Van+Ute'!G131</f>
        <v>6.1676714010770182</v>
      </c>
      <c r="H131" s="53">
        <f>'Car+SUV'!H131+'Van+Ute'!H131</f>
        <v>6.7730966445768637</v>
      </c>
      <c r="I131" s="53">
        <f>'Car+SUV'!I131+'Van+Ute'!I131</f>
        <v>7.4650568117513778</v>
      </c>
      <c r="J131" s="53">
        <f>'Car+SUV'!J131+'Van+Ute'!J131</f>
        <v>8.2693177321434561</v>
      </c>
      <c r="K131" s="53">
        <f>'Car+SUV'!K131+'Van+Ute'!K131</f>
        <v>9.4811620961703387</v>
      </c>
      <c r="L131" s="53">
        <f>'Car+SUV'!L131+'Van+Ute'!L131</f>
        <v>93.469077214915814</v>
      </c>
      <c r="M131" s="53">
        <f>'Car+SUV'!M131+'Van+Ute'!M131</f>
        <v>181.22540384391607</v>
      </c>
      <c r="N131" s="53">
        <f>'Car+SUV'!N131+'Van+Ute'!N131</f>
        <v>270.27638107618264</v>
      </c>
      <c r="O131" s="53">
        <f>'Car+SUV'!O131+'Van+Ute'!O131</f>
        <v>360.0064044395333</v>
      </c>
      <c r="P131" s="156">
        <f>'Car+SUV'!P131+'Van+Ute'!P131</f>
        <v>449.88694234364851</v>
      </c>
      <c r="Q131" s="156">
        <f>'Car+SUV'!Q131+'Van+Ute'!Q131</f>
        <v>539.18369068730146</v>
      </c>
      <c r="R131" s="157">
        <f>'Car+SUV'!R131+'Van+Ute'!R131</f>
        <v>627.71105404683101</v>
      </c>
    </row>
    <row r="132" spans="3:18" ht="16" x14ac:dyDescent="0.2">
      <c r="C132" s="24" t="s">
        <v>1</v>
      </c>
      <c r="D132" s="55">
        <f>'Car+SUV'!D132+'Van+Ute'!D132</f>
        <v>149.7079998726262</v>
      </c>
      <c r="E132" s="56">
        <f>'Car+SUV'!E132+'Van+Ute'!E132</f>
        <v>151.54751326323859</v>
      </c>
      <c r="F132" s="56">
        <f>'Car+SUV'!F132+'Van+Ute'!F132</f>
        <v>154.66129755357139</v>
      </c>
      <c r="G132" s="56">
        <f>'Car+SUV'!G132+'Van+Ute'!G132</f>
        <v>167.49310410510358</v>
      </c>
      <c r="H132" s="56">
        <f>'Car+SUV'!H132+'Van+Ute'!H132</f>
        <v>194.37274767728201</v>
      </c>
      <c r="I132" s="56">
        <f>'Car+SUV'!I132+'Van+Ute'!I132</f>
        <v>265.58395392538858</v>
      </c>
      <c r="J132" s="56">
        <f>'Car+SUV'!J132+'Van+Ute'!J132</f>
        <v>313.21813540460272</v>
      </c>
      <c r="K132" s="56">
        <f>'Car+SUV'!K132+'Van+Ute'!K132</f>
        <v>372.51049620962311</v>
      </c>
      <c r="L132" s="56">
        <f>'Car+SUV'!L132+'Van+Ute'!L132</f>
        <v>973.24687991267331</v>
      </c>
      <c r="M132" s="56">
        <f>'Car+SUV'!M132+'Van+Ute'!M132</f>
        <v>1634.7421108615865</v>
      </c>
      <c r="N132" s="56">
        <f>'Car+SUV'!N132+'Van+Ute'!N132</f>
        <v>2346.3036614055795</v>
      </c>
      <c r="O132" s="56">
        <f>'Car+SUV'!O132+'Van+Ute'!O132</f>
        <v>3111.0546947052148</v>
      </c>
      <c r="P132" s="159">
        <f>'Car+SUV'!P132+'Van+Ute'!P132</f>
        <v>3918.7185724125266</v>
      </c>
      <c r="Q132" s="159">
        <f>'Car+SUV'!Q132+'Van+Ute'!Q132</f>
        <v>4774.732248627246</v>
      </c>
      <c r="R132" s="160">
        <f>'Car+SUV'!R132+'Van+Ute'!R132</f>
        <v>5678.7883890937319</v>
      </c>
    </row>
    <row r="133" spans="3:18" ht="16" x14ac:dyDescent="0.2">
      <c r="C133" s="24" t="s">
        <v>2</v>
      </c>
      <c r="D133" s="55">
        <f>'Car+SUV'!D133+'Van+Ute'!D133</f>
        <v>19.726320017137141</v>
      </c>
      <c r="E133" s="56">
        <f>'Car+SUV'!E133+'Van+Ute'!E133</f>
        <v>18.93825798398349</v>
      </c>
      <c r="F133" s="56">
        <f>'Car+SUV'!F133+'Van+Ute'!F133</f>
        <v>18.668688336735819</v>
      </c>
      <c r="G133" s="56">
        <f>'Car+SUV'!G133+'Van+Ute'!G133</f>
        <v>19.813570104644434</v>
      </c>
      <c r="H133" s="56">
        <f>'Car+SUV'!H133+'Van+Ute'!H133</f>
        <v>23.062008178111007</v>
      </c>
      <c r="I133" s="56">
        <f>'Car+SUV'!I133+'Van+Ute'!I133</f>
        <v>27.267790766972738</v>
      </c>
      <c r="J133" s="56">
        <f>'Car+SUV'!J133+'Van+Ute'!J133</f>
        <v>32.529038720513817</v>
      </c>
      <c r="K133" s="56">
        <f>'Car+SUV'!K133+'Van+Ute'!K133</f>
        <v>37.625491674007783</v>
      </c>
      <c r="L133" s="56">
        <f>'Car+SUV'!L133+'Van+Ute'!L133</f>
        <v>299.57230092617669</v>
      </c>
      <c r="M133" s="56">
        <f>'Car+SUV'!M133+'Van+Ute'!M133</f>
        <v>580.94215100122756</v>
      </c>
      <c r="N133" s="56">
        <f>'Car+SUV'!N133+'Van+Ute'!N133</f>
        <v>875.09965315531099</v>
      </c>
      <c r="O133" s="56">
        <f>'Car+SUV'!O133+'Van+Ute'!O133</f>
        <v>1181.5928079536245</v>
      </c>
      <c r="P133" s="159">
        <f>'Car+SUV'!P133+'Van+Ute'!P133</f>
        <v>1498.1654322276934</v>
      </c>
      <c r="Q133" s="159">
        <f>'Car+SUV'!Q133+'Van+Ute'!Q133</f>
        <v>1822.8178044025431</v>
      </c>
      <c r="R133" s="160">
        <f>'Car+SUV'!R133+'Van+Ute'!R133</f>
        <v>2155.0472686301268</v>
      </c>
    </row>
    <row r="134" spans="3:18" ht="16" x14ac:dyDescent="0.2">
      <c r="C134" s="24" t="s">
        <v>3</v>
      </c>
      <c r="D134" s="55">
        <f>'Car+SUV'!D134+'Van+Ute'!D134</f>
        <v>12.419145904805834</v>
      </c>
      <c r="E134" s="56">
        <f>'Car+SUV'!E134+'Van+Ute'!E134</f>
        <v>12.810241462696624</v>
      </c>
      <c r="F134" s="56">
        <f>'Car+SUV'!F134+'Van+Ute'!F134</f>
        <v>12.31656965132907</v>
      </c>
      <c r="G134" s="56">
        <f>'Car+SUV'!G134+'Van+Ute'!G134</f>
        <v>12.298551429051923</v>
      </c>
      <c r="H134" s="56">
        <f>'Car+SUV'!H134+'Van+Ute'!H134</f>
        <v>15.383018137646737</v>
      </c>
      <c r="I134" s="56">
        <f>'Car+SUV'!I134+'Van+Ute'!I134</f>
        <v>17.231142992040997</v>
      </c>
      <c r="J134" s="56">
        <f>'Car+SUV'!J134+'Van+Ute'!J134</f>
        <v>19.669016835821328</v>
      </c>
      <c r="K134" s="56">
        <f>'Car+SUV'!K134+'Van+Ute'!K134</f>
        <v>22.680249947090822</v>
      </c>
      <c r="L134" s="56">
        <f>'Car+SUV'!L134+'Van+Ute'!L134</f>
        <v>150.06814924478772</v>
      </c>
      <c r="M134" s="56">
        <f>'Car+SUV'!M134+'Van+Ute'!M134</f>
        <v>285.14726123184829</v>
      </c>
      <c r="N134" s="56">
        <f>'Car+SUV'!N134+'Van+Ute'!N134</f>
        <v>424.47016805567921</v>
      </c>
      <c r="O134" s="56">
        <f>'Car+SUV'!O134+'Van+Ute'!O134</f>
        <v>567.85889889032694</v>
      </c>
      <c r="P134" s="159">
        <f>'Car+SUV'!P134+'Van+Ute'!P134</f>
        <v>713.97704458462101</v>
      </c>
      <c r="Q134" s="159">
        <f>'Car+SUV'!Q134+'Van+Ute'!Q134</f>
        <v>861.97652655188608</v>
      </c>
      <c r="R134" s="160">
        <f>'Car+SUV'!R134+'Van+Ute'!R134</f>
        <v>1011.5836219625141</v>
      </c>
    </row>
    <row r="135" spans="3:18" ht="16" x14ac:dyDescent="0.2">
      <c r="C135" s="24" t="s">
        <v>4</v>
      </c>
      <c r="D135" s="55">
        <f>'Car+SUV'!D135+'Van+Ute'!D135</f>
        <v>1.5051244334168628</v>
      </c>
      <c r="E135" s="56">
        <f>'Car+SUV'!E135+'Van+Ute'!E135</f>
        <v>1.5797550711867996</v>
      </c>
      <c r="F135" s="56">
        <f>'Car+SUV'!F135+'Van+Ute'!F135</f>
        <v>1.6671004200038464</v>
      </c>
      <c r="G135" s="56">
        <f>'Car+SUV'!G135+'Van+Ute'!G135</f>
        <v>1.7378406829006352</v>
      </c>
      <c r="H135" s="56">
        <f>'Car+SUV'!H135+'Van+Ute'!H135</f>
        <v>1.6516780103500022</v>
      </c>
      <c r="I135" s="56">
        <f>'Car+SUV'!I135+'Van+Ute'!I135</f>
        <v>1.4444452208388934</v>
      </c>
      <c r="J135" s="56">
        <f>'Car+SUV'!J135+'Van+Ute'!J135</f>
        <v>1.4623133656229115</v>
      </c>
      <c r="K135" s="56">
        <f>'Car+SUV'!K135+'Van+Ute'!K135</f>
        <v>1.6530779746738922</v>
      </c>
      <c r="L135" s="56">
        <f>'Car+SUV'!L135+'Van+Ute'!L135</f>
        <v>17.458797842303035</v>
      </c>
      <c r="M135" s="56">
        <f>'Car+SUV'!M135+'Van+Ute'!M135</f>
        <v>33.517994879837531</v>
      </c>
      <c r="N135" s="56">
        <f>'Car+SUV'!N135+'Van+Ute'!N135</f>
        <v>49.308775237683363</v>
      </c>
      <c r="O135" s="56">
        <f>'Car+SUV'!O135+'Van+Ute'!O135</f>
        <v>64.814555640894284</v>
      </c>
      <c r="P135" s="159">
        <f>'Car+SUV'!P135+'Van+Ute'!P135</f>
        <v>79.90948624402867</v>
      </c>
      <c r="Q135" s="159">
        <f>'Car+SUV'!Q135+'Van+Ute'!Q135</f>
        <v>94.470223081699089</v>
      </c>
      <c r="R135" s="160">
        <f>'Car+SUV'!R135+'Van+Ute'!R135</f>
        <v>108.47939602677987</v>
      </c>
    </row>
    <row r="136" spans="3:18" ht="16" x14ac:dyDescent="0.2">
      <c r="C136" s="24" t="s">
        <v>5</v>
      </c>
      <c r="D136" s="55">
        <f>'Car+SUV'!D136+'Van+Ute'!D136</f>
        <v>7.4193801272618352</v>
      </c>
      <c r="E136" s="56">
        <f>'Car+SUV'!E136+'Van+Ute'!E136</f>
        <v>7.0836295008700763</v>
      </c>
      <c r="F136" s="56">
        <f>'Car+SUV'!F136+'Van+Ute'!F136</f>
        <v>7.3155068552864115</v>
      </c>
      <c r="G136" s="56">
        <f>'Car+SUV'!G136+'Van+Ute'!G136</f>
        <v>7.9336243158661244</v>
      </c>
      <c r="H136" s="56">
        <f>'Car+SUV'!H136+'Van+Ute'!H136</f>
        <v>8.797973487189152</v>
      </c>
      <c r="I136" s="56">
        <f>'Car+SUV'!I136+'Van+Ute'!I136</f>
        <v>9.5149108400497475</v>
      </c>
      <c r="J136" s="56">
        <f>'Car+SUV'!J136+'Van+Ute'!J136</f>
        <v>10.237863126142837</v>
      </c>
      <c r="K136" s="56">
        <f>'Car+SUV'!K136+'Van+Ute'!K136</f>
        <v>11.573995279767713</v>
      </c>
      <c r="L136" s="56">
        <f>'Car+SUV'!L136+'Van+Ute'!L136</f>
        <v>76.117475199136493</v>
      </c>
      <c r="M136" s="56">
        <f>'Car+SUV'!M136+'Van+Ute'!M136</f>
        <v>141.81797433924069</v>
      </c>
      <c r="N136" s="56">
        <f>'Car+SUV'!N136+'Van+Ute'!N136</f>
        <v>206.93327317904848</v>
      </c>
      <c r="O136" s="56">
        <f>'Car+SUV'!O136+'Van+Ute'!O136</f>
        <v>271.16983303945142</v>
      </c>
      <c r="P136" s="159">
        <f>'Car+SUV'!P136+'Van+Ute'!P136</f>
        <v>333.96501448818282</v>
      </c>
      <c r="Q136" s="159">
        <f>'Car+SUV'!Q136+'Van+Ute'!Q136</f>
        <v>394.93731978030905</v>
      </c>
      <c r="R136" s="160">
        <f>'Car+SUV'!R136+'Van+Ute'!R136</f>
        <v>454.01060783778672</v>
      </c>
    </row>
    <row r="137" spans="3:18" ht="16" x14ac:dyDescent="0.2">
      <c r="C137" s="24" t="s">
        <v>6</v>
      </c>
      <c r="D137" s="55">
        <f>'Car+SUV'!D137+'Van+Ute'!D137</f>
        <v>3.6546609764641698</v>
      </c>
      <c r="E137" s="56">
        <f>'Car+SUV'!E137+'Van+Ute'!E137</f>
        <v>4.0152869893301322</v>
      </c>
      <c r="F137" s="56">
        <f>'Car+SUV'!F137+'Van+Ute'!F137</f>
        <v>3.8805945840095828</v>
      </c>
      <c r="G137" s="56">
        <f>'Car+SUV'!G137+'Van+Ute'!G137</f>
        <v>4.0135190326425114</v>
      </c>
      <c r="H137" s="56">
        <f>'Car+SUV'!H137+'Van+Ute'!H137</f>
        <v>4.4762639587486017</v>
      </c>
      <c r="I137" s="56">
        <f>'Car+SUV'!I137+'Van+Ute'!I137</f>
        <v>4.499964484519861</v>
      </c>
      <c r="J137" s="56">
        <f>'Car+SUV'!J137+'Van+Ute'!J137</f>
        <v>4.6255895598921741</v>
      </c>
      <c r="K137" s="56">
        <f>'Car+SUV'!K137+'Van+Ute'!K137</f>
        <v>5.2627129414223832</v>
      </c>
      <c r="L137" s="56">
        <f>'Car+SUV'!L137+'Van+Ute'!L137</f>
        <v>53.091754330859018</v>
      </c>
      <c r="M137" s="56">
        <f>'Car+SUV'!M137+'Van+Ute'!M137</f>
        <v>102.85438554474371</v>
      </c>
      <c r="N137" s="56">
        <f>'Car+SUV'!N137+'Van+Ute'!N137</f>
        <v>153.4412890508211</v>
      </c>
      <c r="O137" s="56">
        <f>'Car+SUV'!O137+'Van+Ute'!O137</f>
        <v>204.80062873449864</v>
      </c>
      <c r="P137" s="159">
        <f>'Car+SUV'!P137+'Van+Ute'!P137</f>
        <v>256.4334579672165</v>
      </c>
      <c r="Q137" s="159">
        <f>'Car+SUV'!Q137+'Van+Ute'!Q137</f>
        <v>307.9171729141309</v>
      </c>
      <c r="R137" s="160">
        <f>'Car+SUV'!R137+'Van+Ute'!R137</f>
        <v>359.14348422266778</v>
      </c>
    </row>
    <row r="138" spans="3:18" ht="16" x14ac:dyDescent="0.2">
      <c r="C138" s="24" t="s">
        <v>7</v>
      </c>
      <c r="D138" s="55">
        <f>'Car+SUV'!D138+'Van+Ute'!D138</f>
        <v>8.4513062826249854</v>
      </c>
      <c r="E138" s="56">
        <f>'Car+SUV'!E138+'Van+Ute'!E138</f>
        <v>8.3762390811818594</v>
      </c>
      <c r="F138" s="56">
        <f>'Car+SUV'!F138+'Van+Ute'!F138</f>
        <v>7.9104812621417269</v>
      </c>
      <c r="G138" s="56">
        <f>'Car+SUV'!G138+'Van+Ute'!G138</f>
        <v>8.2306604027396961</v>
      </c>
      <c r="H138" s="56">
        <f>'Car+SUV'!H138+'Van+Ute'!H138</f>
        <v>9.9750803905591567</v>
      </c>
      <c r="I138" s="56">
        <f>'Car+SUV'!I138+'Van+Ute'!I138</f>
        <v>10.085047311322366</v>
      </c>
      <c r="J138" s="56">
        <f>'Car+SUV'!J138+'Van+Ute'!J138</f>
        <v>10.461163022597319</v>
      </c>
      <c r="K138" s="56">
        <f>'Car+SUV'!K138+'Van+Ute'!K138</f>
        <v>11.790094211416834</v>
      </c>
      <c r="L138" s="56">
        <f>'Car+SUV'!L138+'Van+Ute'!L138</f>
        <v>112.82688086408373</v>
      </c>
      <c r="M138" s="56">
        <f>'Car+SUV'!M138+'Van+Ute'!M138</f>
        <v>215.39003227614106</v>
      </c>
      <c r="N138" s="56">
        <f>'Car+SUV'!N138+'Van+Ute'!N138</f>
        <v>316.76947837466594</v>
      </c>
      <c r="O138" s="56">
        <f>'Car+SUV'!O138+'Van+Ute'!O138</f>
        <v>416.47771654540668</v>
      </c>
      <c r="P138" s="159">
        <f>'Car+SUV'!P138+'Van+Ute'!P138</f>
        <v>513.78019808646218</v>
      </c>
      <c r="Q138" s="159">
        <f>'Car+SUV'!Q138+'Van+Ute'!Q138</f>
        <v>607.8931783605608</v>
      </c>
      <c r="R138" s="160">
        <f>'Car+SUV'!R138+'Van+Ute'!R138</f>
        <v>698.69571770986568</v>
      </c>
    </row>
    <row r="139" spans="3:18" ht="16" x14ac:dyDescent="0.2">
      <c r="C139" s="24" t="s">
        <v>8</v>
      </c>
      <c r="D139" s="55">
        <f>'Car+SUV'!D139+'Van+Ute'!D139</f>
        <v>52.140903702157445</v>
      </c>
      <c r="E139" s="56">
        <f>'Car+SUV'!E139+'Van+Ute'!E139</f>
        <v>53.103339295918971</v>
      </c>
      <c r="F139" s="56">
        <f>'Car+SUV'!F139+'Van+Ute'!F139</f>
        <v>55.701697796507247</v>
      </c>
      <c r="G139" s="56">
        <f>'Car+SUV'!G139+'Van+Ute'!G139</f>
        <v>55.43581061642324</v>
      </c>
      <c r="H139" s="56">
        <f>'Car+SUV'!H139+'Van+Ute'!H139</f>
        <v>56.73744842306477</v>
      </c>
      <c r="I139" s="56">
        <f>'Car+SUV'!I139+'Van+Ute'!I139</f>
        <v>79.776565368876931</v>
      </c>
      <c r="J139" s="56">
        <f>'Car+SUV'!J139+'Van+Ute'!J139</f>
        <v>89.888199346931358</v>
      </c>
      <c r="K139" s="56">
        <f>'Car+SUV'!K139+'Van+Ute'!K139</f>
        <v>102.59399562511855</v>
      </c>
      <c r="L139" s="56">
        <f>'Car+SUV'!L139+'Van+Ute'!L139</f>
        <v>267.99426701425529</v>
      </c>
      <c r="M139" s="56">
        <f>'Car+SUV'!M139+'Van+Ute'!M139</f>
        <v>438.78332501629154</v>
      </c>
      <c r="N139" s="56">
        <f>'Car+SUV'!N139+'Van+Ute'!N139</f>
        <v>612.06066924267975</v>
      </c>
      <c r="O139" s="56">
        <f>'Car+SUV'!O139+'Van+Ute'!O139</f>
        <v>787.84878703178845</v>
      </c>
      <c r="P139" s="159">
        <f>'Car+SUV'!P139+'Van+Ute'!P139</f>
        <v>962.47612705104666</v>
      </c>
      <c r="Q139" s="159">
        <f>'Car+SUV'!Q139+'Van+Ute'!Q139</f>
        <v>1136.9099845772894</v>
      </c>
      <c r="R139" s="160">
        <f>'Car+SUV'!R139+'Van+Ute'!R139</f>
        <v>1310.9099475059779</v>
      </c>
    </row>
    <row r="140" spans="3:18" ht="16" x14ac:dyDescent="0.2">
      <c r="C140" s="24" t="s">
        <v>9</v>
      </c>
      <c r="D140" s="55">
        <f>'Car+SUV'!D140+'Van+Ute'!D140</f>
        <v>6.528808193156574</v>
      </c>
      <c r="E140" s="56">
        <f>'Car+SUV'!E140+'Van+Ute'!E140</f>
        <v>6.1299109650178671</v>
      </c>
      <c r="F140" s="56">
        <f>'Car+SUV'!F140+'Van+Ute'!F140</f>
        <v>5.3124141689692745</v>
      </c>
      <c r="G140" s="56">
        <f>'Car+SUV'!G140+'Van+Ute'!G140</f>
        <v>6.0764115356973045</v>
      </c>
      <c r="H140" s="56">
        <f>'Car+SUV'!H140+'Van+Ute'!H140</f>
        <v>7.2716815161886537</v>
      </c>
      <c r="I140" s="56">
        <f>'Car+SUV'!I140+'Van+Ute'!I140</f>
        <v>8.0159535308124159</v>
      </c>
      <c r="J140" s="56">
        <f>'Car+SUV'!J140+'Van+Ute'!J140</f>
        <v>7.9267197563715737</v>
      </c>
      <c r="K140" s="56">
        <f>'Car+SUV'!K140+'Van+Ute'!K140</f>
        <v>9.0136975712777989</v>
      </c>
      <c r="L140" s="56">
        <f>'Car+SUV'!L140+'Van+Ute'!L140</f>
        <v>69.214908029278945</v>
      </c>
      <c r="M140" s="56">
        <f>'Car+SUV'!M140+'Van+Ute'!M140</f>
        <v>131.43689536016203</v>
      </c>
      <c r="N140" s="56">
        <f>'Car+SUV'!N140+'Van+Ute'!N140</f>
        <v>193.92151198988469</v>
      </c>
      <c r="O140" s="56">
        <f>'Car+SUV'!O140+'Van+Ute'!O140</f>
        <v>256.00027207112254</v>
      </c>
      <c r="P140" s="159">
        <f>'Car+SUV'!P140+'Van+Ute'!P140</f>
        <v>317.39602331193322</v>
      </c>
      <c r="Q140" s="159">
        <f>'Car+SUV'!Q140+'Van+Ute'!Q140</f>
        <v>377.67183541559427</v>
      </c>
      <c r="R140" s="160">
        <f>'Car+SUV'!R140+'Van+Ute'!R140</f>
        <v>436.73050309879875</v>
      </c>
    </row>
    <row r="141" spans="3:18" ht="16" x14ac:dyDescent="0.2">
      <c r="C141" s="24" t="s">
        <v>10</v>
      </c>
      <c r="D141" s="55">
        <f>'Car+SUV'!D141+'Van+Ute'!D141</f>
        <v>2.412478741886801</v>
      </c>
      <c r="E141" s="56">
        <f>'Car+SUV'!E141+'Van+Ute'!E141</f>
        <v>2.498923432881885</v>
      </c>
      <c r="F141" s="56">
        <f>'Car+SUV'!F141+'Van+Ute'!F141</f>
        <v>2.7634362197977955</v>
      </c>
      <c r="G141" s="56">
        <f>'Car+SUV'!G141+'Van+Ute'!G141</f>
        <v>2.9562881243462469</v>
      </c>
      <c r="H141" s="56">
        <f>'Car+SUV'!H141+'Van+Ute'!H141</f>
        <v>3.0382653829690138</v>
      </c>
      <c r="I141" s="56">
        <f>'Car+SUV'!I141+'Van+Ute'!I141</f>
        <v>3.5178301991221304</v>
      </c>
      <c r="J141" s="56">
        <f>'Car+SUV'!J141+'Van+Ute'!J141</f>
        <v>3.8836197556940872</v>
      </c>
      <c r="K141" s="56">
        <f>'Car+SUV'!K141+'Van+Ute'!K141</f>
        <v>4.3358489352843765</v>
      </c>
      <c r="L141" s="56">
        <f>'Car+SUV'!L141+'Van+Ute'!L141</f>
        <v>26.362182654100568</v>
      </c>
      <c r="M141" s="56">
        <f>'Car+SUV'!M141+'Van+Ute'!M141</f>
        <v>47.909475746053687</v>
      </c>
      <c r="N141" s="56">
        <f>'Car+SUV'!N141+'Van+Ute'!N141</f>
        <v>68.407550300088275</v>
      </c>
      <c r="O141" s="56">
        <f>'Car+SUV'!O141+'Van+Ute'!O141</f>
        <v>87.897791887955989</v>
      </c>
      <c r="P141" s="159">
        <f>'Car+SUV'!P141+'Van+Ute'!P141</f>
        <v>106.18469417520481</v>
      </c>
      <c r="Q141" s="159">
        <f>'Car+SUV'!Q141+'Van+Ute'!Q141</f>
        <v>123.21257033942351</v>
      </c>
      <c r="R141" s="160">
        <f>'Car+SUV'!R141+'Van+Ute'!R141</f>
        <v>139.01609265320158</v>
      </c>
    </row>
    <row r="142" spans="3:18" ht="16" x14ac:dyDescent="0.2">
      <c r="C142" s="24" t="s">
        <v>11</v>
      </c>
      <c r="D142" s="55">
        <f>'Car+SUV'!D142+'Van+Ute'!D142</f>
        <v>33.129848971021801</v>
      </c>
      <c r="E142" s="56">
        <f>'Car+SUV'!E142+'Van+Ute'!E142</f>
        <v>33.88354099478758</v>
      </c>
      <c r="F142" s="56">
        <f>'Car+SUV'!F142+'Van+Ute'!F142</f>
        <v>34.247171192026137</v>
      </c>
      <c r="G142" s="56">
        <f>'Car+SUV'!G142+'Van+Ute'!G142</f>
        <v>35.747646938301401</v>
      </c>
      <c r="H142" s="56">
        <f>'Car+SUV'!H142+'Van+Ute'!H142</f>
        <v>39.675054951839705</v>
      </c>
      <c r="I142" s="56">
        <f>'Car+SUV'!I142+'Van+Ute'!I142</f>
        <v>58.307645161570534</v>
      </c>
      <c r="J142" s="56">
        <f>'Car+SUV'!J142+'Van+Ute'!J142</f>
        <v>66.857746616157755</v>
      </c>
      <c r="K142" s="56">
        <f>'Car+SUV'!K142+'Van+Ute'!K142</f>
        <v>77.815349692446389</v>
      </c>
      <c r="L142" s="56">
        <f>'Car+SUV'!L142+'Van+Ute'!L142</f>
        <v>338.1364934834894</v>
      </c>
      <c r="M142" s="56">
        <f>'Car+SUV'!M142+'Van+Ute'!M142</f>
        <v>618.790615026002</v>
      </c>
      <c r="N142" s="56">
        <f>'Car+SUV'!N142+'Van+Ute'!N142</f>
        <v>914.45667313837657</v>
      </c>
      <c r="O142" s="56">
        <f>'Car+SUV'!O142+'Van+Ute'!O142</f>
        <v>1224.9271414973166</v>
      </c>
      <c r="P142" s="159">
        <f>'Car+SUV'!P142+'Van+Ute'!P142</f>
        <v>1546.9346125949344</v>
      </c>
      <c r="Q142" s="159">
        <f>'Car+SUV'!Q142+'Van+Ute'!Q142</f>
        <v>1879.8896090582143</v>
      </c>
      <c r="R142" s="160">
        <f>'Car+SUV'!R142+'Van+Ute'!R142</f>
        <v>2223.4698673088233</v>
      </c>
    </row>
    <row r="143" spans="3:18" ht="16" x14ac:dyDescent="0.2">
      <c r="C143" s="24" t="s">
        <v>12</v>
      </c>
      <c r="D143" s="55">
        <f>'Car+SUV'!D143+'Van+Ute'!D143</f>
        <v>26.651595201362031</v>
      </c>
      <c r="E143" s="56">
        <f>'Car+SUV'!E143+'Van+Ute'!E143</f>
        <v>27.529478937087354</v>
      </c>
      <c r="F143" s="56">
        <f>'Car+SUV'!F143+'Van+Ute'!F143</f>
        <v>28.098285466554461</v>
      </c>
      <c r="G143" s="56">
        <f>'Car+SUV'!G143+'Van+Ute'!G143</f>
        <v>28.340787596974376</v>
      </c>
      <c r="H143" s="56">
        <f>'Car+SUV'!H143+'Van+Ute'!H143</f>
        <v>31.814072003778353</v>
      </c>
      <c r="I143" s="56">
        <f>'Car+SUV'!I143+'Van+Ute'!I143</f>
        <v>36.719837140473039</v>
      </c>
      <c r="J143" s="56">
        <f>'Car+SUV'!J143+'Van+Ute'!J143</f>
        <v>39.919824985778639</v>
      </c>
      <c r="K143" s="56">
        <f>'Car+SUV'!K143+'Van+Ute'!K143</f>
        <v>45.917966761009396</v>
      </c>
      <c r="L143" s="56">
        <f>'Car+SUV'!L143+'Van+Ute'!L143</f>
        <v>151.35447303606446</v>
      </c>
      <c r="M143" s="56">
        <f>'Car+SUV'!M143+'Van+Ute'!M143</f>
        <v>261.41913101706268</v>
      </c>
      <c r="N143" s="56">
        <f>'Car+SUV'!N143+'Van+Ute'!N143</f>
        <v>374.12629990565847</v>
      </c>
      <c r="O143" s="56">
        <f>'Car+SUV'!O143+'Van+Ute'!O143</f>
        <v>489.44855180909599</v>
      </c>
      <c r="P143" s="159">
        <f>'Car+SUV'!P143+'Van+Ute'!P143</f>
        <v>605.4472249624996</v>
      </c>
      <c r="Q143" s="159">
        <f>'Car+SUV'!Q143+'Van+Ute'!Q143</f>
        <v>722.29062345191028</v>
      </c>
      <c r="R143" s="160">
        <f>'Car+SUV'!R143+'Van+Ute'!R143</f>
        <v>839.81663130341894</v>
      </c>
    </row>
    <row r="144" spans="3:18" ht="17" thickBot="1" x14ac:dyDescent="0.25">
      <c r="C144" s="25" t="s">
        <v>13</v>
      </c>
      <c r="D144" s="58">
        <f>'Car+SUV'!D144+'Van+Ute'!D144</f>
        <v>4.5660286863306094</v>
      </c>
      <c r="E144" s="59">
        <f>'Car+SUV'!E144+'Van+Ute'!E144</f>
        <v>4.5612328450495205</v>
      </c>
      <c r="F144" s="59">
        <f>'Car+SUV'!F144+'Van+Ute'!F144</f>
        <v>4.2761703745822377</v>
      </c>
      <c r="G144" s="59">
        <f>'Car+SUV'!G144+'Van+Ute'!G144</f>
        <v>4.9733064225868633</v>
      </c>
      <c r="H144" s="59">
        <f>'Car+SUV'!H144+'Van+Ute'!H144</f>
        <v>5.3524018043906008</v>
      </c>
      <c r="I144" s="59">
        <f>'Car+SUV'!I144+'Van+Ute'!I144</f>
        <v>5.4487760568843822</v>
      </c>
      <c r="J144" s="59">
        <f>'Car+SUV'!J144+'Van+Ute'!J144</f>
        <v>6.1793407327551151</v>
      </c>
      <c r="K144" s="59">
        <f>'Car+SUV'!K144+'Van+Ute'!K144</f>
        <v>6.9330829445326962</v>
      </c>
      <c r="L144" s="59">
        <f>'Car+SUV'!L144+'Van+Ute'!L144</f>
        <v>54.439496150921428</v>
      </c>
      <c r="M144" s="59">
        <f>'Car+SUV'!M144+'Van+Ute'!M144</f>
        <v>102.11529125417718</v>
      </c>
      <c r="N144" s="59">
        <f>'Car+SUV'!N144+'Van+Ute'!N144</f>
        <v>148.71810215469719</v>
      </c>
      <c r="O144" s="59">
        <f>'Car+SUV'!O144+'Van+Ute'!O144</f>
        <v>194.1224255995993</v>
      </c>
      <c r="P144" s="162">
        <f>'Car+SUV'!P144+'Van+Ute'!P144</f>
        <v>237.93156595149719</v>
      </c>
      <c r="Q144" s="162">
        <f>'Car+SUV'!Q144+'Van+Ute'!Q144</f>
        <v>279.85217550113464</v>
      </c>
      <c r="R144" s="163">
        <f>'Car+SUV'!R144+'Van+Ute'!R144</f>
        <v>319.86087561339735</v>
      </c>
    </row>
    <row r="145" spans="3:18" ht="19" thickTop="1" thickBot="1" x14ac:dyDescent="0.25">
      <c r="C145" s="31" t="s">
        <v>24</v>
      </c>
      <c r="D145" s="61">
        <f t="shared" ref="D145:O145" si="107">SUM(D131:D144)</f>
        <v>334.85495596264286</v>
      </c>
      <c r="E145" s="62">
        <f t="shared" si="107"/>
        <v>338.47226133479728</v>
      </c>
      <c r="F145" s="62">
        <f t="shared" si="107"/>
        <v>342.83627520091039</v>
      </c>
      <c r="G145" s="62">
        <f t="shared" si="107"/>
        <v>361.21879270835541</v>
      </c>
      <c r="H145" s="62">
        <f t="shared" si="107"/>
        <v>408.3807905666946</v>
      </c>
      <c r="I145" s="62">
        <f t="shared" si="107"/>
        <v>534.87891981062398</v>
      </c>
      <c r="J145" s="62">
        <f t="shared" ref="J145" si="108">SUM(J131:J144)</f>
        <v>615.12788896102506</v>
      </c>
      <c r="K145" s="62">
        <f t="shared" si="107"/>
        <v>719.18722186384207</v>
      </c>
      <c r="L145" s="62">
        <f t="shared" si="107"/>
        <v>2683.3531359030458</v>
      </c>
      <c r="M145" s="62">
        <f t="shared" si="107"/>
        <v>4776.0920473982915</v>
      </c>
      <c r="N145" s="62">
        <f t="shared" si="107"/>
        <v>6954.293486266356</v>
      </c>
      <c r="O145" s="62">
        <f t="shared" si="107"/>
        <v>9218.0205098458282</v>
      </c>
      <c r="P145" s="125">
        <f t="shared" ref="P145:R145" si="109">SUM(P131:P144)</f>
        <v>11541.206396401494</v>
      </c>
      <c r="Q145" s="125">
        <f t="shared" si="109"/>
        <v>13923.754962749243</v>
      </c>
      <c r="R145" s="126">
        <f t="shared" si="109"/>
        <v>16363.263457013923</v>
      </c>
    </row>
    <row r="146" spans="3:18" ht="14" thickTop="1" x14ac:dyDescent="0.15">
      <c r="O146" s="121"/>
    </row>
    <row r="147" spans="3:18" ht="14" thickBot="1" x14ac:dyDescent="0.2">
      <c r="O147" s="121"/>
    </row>
    <row r="148" spans="3:18" ht="17" thickTop="1" x14ac:dyDescent="0.2">
      <c r="C148" s="32" t="s">
        <v>119</v>
      </c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5"/>
    </row>
    <row r="149" spans="3:18" ht="14" thickBot="1" x14ac:dyDescent="0.2">
      <c r="C149" s="18"/>
      <c r="D149" s="65" t="s">
        <v>25</v>
      </c>
      <c r="E149" s="65" t="s">
        <v>37</v>
      </c>
      <c r="F149" s="65" t="s">
        <v>38</v>
      </c>
      <c r="G149" s="37" t="s">
        <v>177</v>
      </c>
      <c r="H149" s="37" t="s">
        <v>178</v>
      </c>
      <c r="I149" s="65" t="s">
        <v>26</v>
      </c>
      <c r="J149" s="65"/>
      <c r="K149" s="65" t="s">
        <v>27</v>
      </c>
      <c r="L149" s="65" t="s">
        <v>28</v>
      </c>
      <c r="M149" s="65" t="s">
        <v>29</v>
      </c>
      <c r="N149" s="65" t="s">
        <v>30</v>
      </c>
      <c r="O149" s="65" t="s">
        <v>31</v>
      </c>
      <c r="P149" s="37" t="s">
        <v>174</v>
      </c>
      <c r="Q149" s="37" t="s">
        <v>175</v>
      </c>
      <c r="R149" s="38" t="s">
        <v>176</v>
      </c>
    </row>
    <row r="150" spans="3:18" ht="15" thickTop="1" thickBot="1" x14ac:dyDescent="0.2">
      <c r="C150" s="70"/>
      <c r="D150" s="71" t="s">
        <v>39</v>
      </c>
      <c r="E150" s="71" t="s">
        <v>39</v>
      </c>
      <c r="F150" s="71" t="s">
        <v>39</v>
      </c>
      <c r="G150" s="71" t="s">
        <v>39</v>
      </c>
      <c r="H150" s="71" t="s">
        <v>39</v>
      </c>
      <c r="I150" s="71" t="s">
        <v>39</v>
      </c>
      <c r="J150" s="71" t="s">
        <v>39</v>
      </c>
      <c r="K150" s="71" t="s">
        <v>32</v>
      </c>
      <c r="L150" s="71" t="s">
        <v>32</v>
      </c>
      <c r="M150" s="71" t="s">
        <v>32</v>
      </c>
      <c r="N150" s="71" t="s">
        <v>32</v>
      </c>
      <c r="O150" s="71" t="s">
        <v>32</v>
      </c>
      <c r="P150" s="65" t="s">
        <v>32</v>
      </c>
      <c r="Q150" s="65" t="s">
        <v>32</v>
      </c>
      <c r="R150" s="66" t="s">
        <v>32</v>
      </c>
    </row>
    <row r="151" spans="3:18" ht="17" thickTop="1" x14ac:dyDescent="0.2">
      <c r="C151" s="24" t="s">
        <v>0</v>
      </c>
      <c r="D151" s="42">
        <f>'Car+SUV'!D151+'Van+Ute'!D151</f>
        <v>202.03149404685701</v>
      </c>
      <c r="E151" s="43">
        <f>'Car+SUV'!E151+'Van+Ute'!E151</f>
        <v>222.03603830645162</v>
      </c>
      <c r="F151" s="43">
        <f>'Car+SUV'!F151+'Van+Ute'!F151</f>
        <v>217.03322337417532</v>
      </c>
      <c r="G151" s="43">
        <f>'Car+SUV'!G151+'Van+Ute'!G151</f>
        <v>231.03042287800423</v>
      </c>
      <c r="H151" s="43">
        <f>'Car+SUV'!H151+'Van+Ute'!H151</f>
        <v>226.02628527251642</v>
      </c>
      <c r="I151" s="43">
        <f>'Car+SUV'!I151+'Van+Ute'!I151</f>
        <v>247.46746208072847</v>
      </c>
      <c r="J151" s="43">
        <f>'Car+SUV'!J151+'Van+Ute'!J151</f>
        <v>256.86227989773499</v>
      </c>
      <c r="K151" s="43">
        <f>'Car+SUV'!K151+'Van+Ute'!K151</f>
        <v>294.50469687915154</v>
      </c>
      <c r="L151" s="43">
        <f>'Car+SUV'!L151+'Van+Ute'!L151</f>
        <v>2841.4354294239124</v>
      </c>
      <c r="M151" s="43">
        <f>'Car+SUV'!M151+'Van+Ute'!M151</f>
        <v>5502.5019452749766</v>
      </c>
      <c r="N151" s="43">
        <f>'Car+SUV'!N151+'Van+Ute'!N151</f>
        <v>8202.8046042143742</v>
      </c>
      <c r="O151" s="43">
        <f>'Car+SUV'!O151+'Van+Ute'!O151</f>
        <v>10923.77431743564</v>
      </c>
      <c r="P151" s="53">
        <f>'Car+SUV'!P151+'Van+Ute'!P151</f>
        <v>13649.179277415742</v>
      </c>
      <c r="Q151" s="53">
        <f>'Car+SUV'!Q151+'Van+Ute'!Q151</f>
        <v>16356.973656606609</v>
      </c>
      <c r="R151" s="54">
        <f>'Car+SUV'!R151+'Van+Ute'!R151</f>
        <v>19041.546799938267</v>
      </c>
    </row>
    <row r="152" spans="3:18" ht="16" x14ac:dyDescent="0.2">
      <c r="C152" s="24" t="s">
        <v>1</v>
      </c>
      <c r="D152" s="42">
        <f>'Car+SUV'!D152+'Van+Ute'!D152</f>
        <v>4253.9189604404046</v>
      </c>
      <c r="E152" s="43">
        <f>'Car+SUV'!E152+'Van+Ute'!E152</f>
        <v>4364.9314516129034</v>
      </c>
      <c r="F152" s="43">
        <f>'Car+SUV'!F152+'Van+Ute'!F152</f>
        <v>4844.9719604147031</v>
      </c>
      <c r="G152" s="43">
        <f>'Car+SUV'!G152+'Van+Ute'!G152</f>
        <v>5910.0481695568396</v>
      </c>
      <c r="H152" s="43">
        <f>'Car+SUV'!H152+'Van+Ute'!H152</f>
        <v>6119.0324700425199</v>
      </c>
      <c r="I152" s="43">
        <f>'Car+SUV'!I152+'Van+Ute'!I152</f>
        <v>10053.453933591556</v>
      </c>
      <c r="J152" s="43">
        <f>'Car+SUV'!J152+'Van+Ute'!J152</f>
        <v>10989.372489922269</v>
      </c>
      <c r="K152" s="43">
        <f>'Car+SUV'!K152+'Van+Ute'!K152</f>
        <v>13069.666588638947</v>
      </c>
      <c r="L152" s="43">
        <f>'Car+SUV'!L152+'Van+Ute'!L152</f>
        <v>34152.753689880767</v>
      </c>
      <c r="M152" s="43">
        <f>'Car+SUV'!M152+'Van+Ute'!M152</f>
        <v>57368.31096361926</v>
      </c>
      <c r="N152" s="43">
        <f>'Car+SUV'!N152+'Van+Ute'!N152</f>
        <v>82341.014712684933</v>
      </c>
      <c r="O152" s="43">
        <f>'Car+SUV'!O152+'Van+Ute'!O152</f>
        <v>109180.41828684611</v>
      </c>
      <c r="P152" s="56">
        <f>'Car+SUV'!P152+'Van+Ute'!P152</f>
        <v>137525.99317845376</v>
      </c>
      <c r="Q152" s="56">
        <f>'Car+SUV'!Q152+'Van+Ute'!Q152</f>
        <v>167568.41987973035</v>
      </c>
      <c r="R152" s="57">
        <f>'Car+SUV'!R152+'Van+Ute'!R152</f>
        <v>199296.90389160829</v>
      </c>
    </row>
    <row r="153" spans="3:18" ht="16" x14ac:dyDescent="0.2">
      <c r="C153" s="24" t="s">
        <v>2</v>
      </c>
      <c r="D153" s="42">
        <f>'Car+SUV'!D153+'Van+Ute'!D153</f>
        <v>553.0875688132121</v>
      </c>
      <c r="E153" s="43">
        <f>'Car+SUV'!E153+'Van+Ute'!E153</f>
        <v>527.08291330645159</v>
      </c>
      <c r="F153" s="43">
        <f>'Car+SUV'!F153+'Van+Ute'!F153</f>
        <v>541.07775683317618</v>
      </c>
      <c r="G153" s="43">
        <f>'Car+SUV'!G153+'Van+Ute'!G153</f>
        <v>579.07301490721011</v>
      </c>
      <c r="H153" s="43">
        <f>'Car+SUV'!H153+'Van+Ute'!H153</f>
        <v>690.08272129880174</v>
      </c>
      <c r="I153" s="43">
        <f>'Car+SUV'!I153+'Van+Ute'!I153</f>
        <v>912.98582006538311</v>
      </c>
      <c r="J153" s="43">
        <f>'Car+SUV'!J153+'Van+Ute'!J153</f>
        <v>1003.1096326168318</v>
      </c>
      <c r="K153" s="43">
        <f>'Car+SUV'!K153+'Van+Ute'!K153</f>
        <v>1160.2707800381459</v>
      </c>
      <c r="L153" s="43">
        <f>'Car+SUV'!L153+'Van+Ute'!L153</f>
        <v>9303.3768436297923</v>
      </c>
      <c r="M153" s="43">
        <f>'Car+SUV'!M153+'Van+Ute'!M153</f>
        <v>18050.496188634181</v>
      </c>
      <c r="N153" s="43">
        <f>'Car+SUV'!N153+'Van+Ute'!N153</f>
        <v>27195.205396317418</v>
      </c>
      <c r="O153" s="43">
        <f>'Car+SUV'!O153+'Van+Ute'!O153</f>
        <v>36723.323056809058</v>
      </c>
      <c r="P153" s="56">
        <f>'Car+SUV'!P153+'Van+Ute'!P153</f>
        <v>46565.002074775963</v>
      </c>
      <c r="Q153" s="56">
        <f>'Car+SUV'!Q153+'Van+Ute'!Q153</f>
        <v>56657.778243006745</v>
      </c>
      <c r="R153" s="57">
        <f>'Car+SUV'!R153+'Van+Ute'!R153</f>
        <v>66986.004264035713</v>
      </c>
    </row>
    <row r="154" spans="3:18" ht="16" x14ac:dyDescent="0.2">
      <c r="C154" s="24" t="s">
        <v>3</v>
      </c>
      <c r="D154" s="42">
        <f>'Car+SUV'!D154+'Van+Ute'!D154</f>
        <v>519.08091153501471</v>
      </c>
      <c r="E154" s="43">
        <f>'Car+SUV'!E154+'Van+Ute'!E154</f>
        <v>506.07258064516128</v>
      </c>
      <c r="F154" s="43">
        <f>'Car+SUV'!F154+'Van+Ute'!F154</f>
        <v>513.06998114985868</v>
      </c>
      <c r="G154" s="43">
        <f>'Car+SUV'!G154+'Van+Ute'!G154</f>
        <v>528.06348240543548</v>
      </c>
      <c r="H154" s="43">
        <f>'Car+SUV'!H154+'Van+Ute'!H154</f>
        <v>603.06706609972935</v>
      </c>
      <c r="I154" s="43">
        <f>'Car+SUV'!I154+'Van+Ute'!I154</f>
        <v>827.1939514315668</v>
      </c>
      <c r="J154" s="43">
        <f>'Car+SUV'!J154+'Van+Ute'!J154</f>
        <v>883.03751462444052</v>
      </c>
      <c r="K154" s="43">
        <f>'Car+SUV'!K154+'Van+Ute'!K154</f>
        <v>1018.226366447862</v>
      </c>
      <c r="L154" s="43">
        <f>'Car+SUV'!L154+'Van+Ute'!L154</f>
        <v>6731.3390271325488</v>
      </c>
      <c r="M154" s="43">
        <f>'Car+SUV'!M154+'Van+Ute'!M154</f>
        <v>12789.366523742574</v>
      </c>
      <c r="N154" s="43">
        <f>'Car+SUV'!N154+'Van+Ute'!N154</f>
        <v>19037.714794254134</v>
      </c>
      <c r="O154" s="43">
        <f>'Car+SUV'!O154+'Van+Ute'!O154</f>
        <v>25468.417612224093</v>
      </c>
      <c r="P154" s="56">
        <f>'Car+SUV'!P154+'Van+Ute'!P154</f>
        <v>32021.506139903693</v>
      </c>
      <c r="Q154" s="56">
        <f>'Car+SUV'!Q154+'Van+Ute'!Q154</f>
        <v>38658.980229307868</v>
      </c>
      <c r="R154" s="57">
        <f>'Car+SUV'!R154+'Van+Ute'!R154</f>
        <v>45368.566461646071</v>
      </c>
    </row>
    <row r="155" spans="3:18" ht="16" x14ac:dyDescent="0.2">
      <c r="C155" s="24" t="s">
        <v>4</v>
      </c>
      <c r="D155" s="42">
        <f>'Car+SUV'!D155+'Van+Ute'!D155</f>
        <v>58.010498015619</v>
      </c>
      <c r="E155" s="43">
        <f>'Car+SUV'!E155+'Van+Ute'!E155</f>
        <v>60.011088709677416</v>
      </c>
      <c r="F155" s="43">
        <f>'Car+SUV'!F155+'Van+Ute'!F155</f>
        <v>63.008953817153632</v>
      </c>
      <c r="G155" s="43">
        <f>'Car+SUV'!G155+'Van+Ute'!G155</f>
        <v>60.007301490721019</v>
      </c>
      <c r="H155" s="43">
        <f>'Car+SUV'!H155+'Van+Ute'!H155</f>
        <v>64.007151140316964</v>
      </c>
      <c r="I155" s="43">
        <f>'Car+SUV'!I155+'Van+Ute'!I155</f>
        <v>66.364874701836058</v>
      </c>
      <c r="J155" s="43">
        <f>'Car+SUV'!J155+'Van+Ute'!J155</f>
        <v>63.249710182214493</v>
      </c>
      <c r="K155" s="43">
        <f>'Car+SUV'!K155+'Van+Ute'!K155</f>
        <v>71.500887063414794</v>
      </c>
      <c r="L155" s="43">
        <f>'Car+SUV'!L155+'Van+Ute'!L155</f>
        <v>729.20839931001944</v>
      </c>
      <c r="M155" s="43">
        <f>'Car+SUV'!M155+'Van+Ute'!M155</f>
        <v>1397.4202541866978</v>
      </c>
      <c r="N155" s="43">
        <f>'Car+SUV'!N155+'Van+Ute'!N155</f>
        <v>2054.460771778698</v>
      </c>
      <c r="O155" s="43">
        <f>'Car+SUV'!O155+'Van+Ute'!O155</f>
        <v>2699.6806923320887</v>
      </c>
      <c r="P155" s="56">
        <f>'Car+SUV'!P155+'Van+Ute'!P155</f>
        <v>3327.766505884661</v>
      </c>
      <c r="Q155" s="56">
        <f>'Car+SUV'!Q155+'Van+Ute'!Q155</f>
        <v>3933.6691142710461</v>
      </c>
      <c r="R155" s="57">
        <f>'Car+SUV'!R155+'Van+Ute'!R155</f>
        <v>4516.6726067553518</v>
      </c>
    </row>
    <row r="156" spans="3:18" ht="16" x14ac:dyDescent="0.2">
      <c r="C156" s="24" t="s">
        <v>5</v>
      </c>
      <c r="D156" s="42">
        <f>'Car+SUV'!D156+'Van+Ute'!D156</f>
        <v>245.04429650492895</v>
      </c>
      <c r="E156" s="43">
        <f>'Car+SUV'!E156+'Van+Ute'!E156</f>
        <v>253.04485887096774</v>
      </c>
      <c r="F156" s="43">
        <f>'Car+SUV'!F156+'Van+Ute'!F156</f>
        <v>262.04311969839773</v>
      </c>
      <c r="G156" s="43">
        <f>'Car+SUV'!G156+'Van+Ute'!G156</f>
        <v>297.0417807524592</v>
      </c>
      <c r="H156" s="43">
        <f>'Car+SUV'!H156+'Van+Ute'!H156</f>
        <v>346.04889833784307</v>
      </c>
      <c r="I156" s="43">
        <f>'Car+SUV'!I156+'Van+Ute'!I156</f>
        <v>379.87226379387624</v>
      </c>
      <c r="J156" s="43">
        <f>'Car+SUV'!J156+'Van+Ute'!J156</f>
        <v>370.46662120763028</v>
      </c>
      <c r="K156" s="43">
        <f>'Car+SUV'!K156+'Van+Ute'!K156</f>
        <v>418.81580876184728</v>
      </c>
      <c r="L156" s="43">
        <f>'Car+SUV'!L156+'Van+Ute'!L156</f>
        <v>2691.8653684840151</v>
      </c>
      <c r="M156" s="43">
        <f>'Car+SUV'!M156+'Van+Ute'!M156</f>
        <v>5005.468614042542</v>
      </c>
      <c r="N156" s="43">
        <f>'Car+SUV'!N156+'Van+Ute'!N156</f>
        <v>7298.4593180812462</v>
      </c>
      <c r="O156" s="43">
        <f>'Car+SUV'!O156+'Van+Ute'!O156</f>
        <v>9560.6525800384625</v>
      </c>
      <c r="P156" s="56">
        <f>'Car+SUV'!P156+'Van+Ute'!P156</f>
        <v>11771.928193422696</v>
      </c>
      <c r="Q156" s="56">
        <f>'Car+SUV'!Q156+'Van+Ute'!Q156</f>
        <v>13919.189302123437</v>
      </c>
      <c r="R156" s="57">
        <f>'Car+SUV'!R156+'Van+Ute'!R156</f>
        <v>15999.782943969574</v>
      </c>
    </row>
    <row r="157" spans="3:18" ht="16" x14ac:dyDescent="0.2">
      <c r="C157" s="24" t="s">
        <v>6</v>
      </c>
      <c r="D157" s="42">
        <f>'Car+SUV'!D157+'Van+Ute'!D157</f>
        <v>115.02125208039944</v>
      </c>
      <c r="E157" s="43">
        <f>'Car+SUV'!E157+'Van+Ute'!E157</f>
        <v>125.02242943548387</v>
      </c>
      <c r="F157" s="43">
        <f>'Car+SUV'!F157+'Van+Ute'!F157</f>
        <v>122.02026390197926</v>
      </c>
      <c r="G157" s="43">
        <f>'Car+SUV'!G157+'Van+Ute'!G157</f>
        <v>117.01663117330898</v>
      </c>
      <c r="H157" s="43">
        <f>'Car+SUV'!H157+'Van+Ute'!H157</f>
        <v>130.01778121376111</v>
      </c>
      <c r="I157" s="43">
        <f>'Car+SUV'!I157+'Van+Ute'!I157</f>
        <v>149.45671049357389</v>
      </c>
      <c r="J157" s="43">
        <f>'Car+SUV'!J157+'Van+Ute'!J157</f>
        <v>155.79717358385449</v>
      </c>
      <c r="K157" s="43">
        <f>'Car+SUV'!K157+'Van+Ute'!K157</f>
        <v>177.25649693741815</v>
      </c>
      <c r="L157" s="43">
        <f>'Car+SUV'!L157+'Van+Ute'!L157</f>
        <v>1734.372779450925</v>
      </c>
      <c r="M157" s="43">
        <f>'Car+SUV'!M157+'Van+Ute'!M157</f>
        <v>3354.3308536935538</v>
      </c>
      <c r="N157" s="43">
        <f>'Car+SUV'!N157+'Van+Ute'!N157</f>
        <v>5001.1124119402721</v>
      </c>
      <c r="O157" s="43">
        <f>'Car+SUV'!O157+'Van+Ute'!O157</f>
        <v>6673.1103173766742</v>
      </c>
      <c r="P157" s="56">
        <f>'Car+SUV'!P157+'Van+Ute'!P157</f>
        <v>8353.9003859970981</v>
      </c>
      <c r="Q157" s="56">
        <f>'Car+SUV'!Q157+'Van+Ute'!Q157</f>
        <v>10029.912633115526</v>
      </c>
      <c r="R157" s="57">
        <f>'Car+SUV'!R157+'Van+Ute'!R157</f>
        <v>11697.636476603904</v>
      </c>
    </row>
    <row r="158" spans="3:18" ht="16" x14ac:dyDescent="0.2">
      <c r="C158" s="24" t="s">
        <v>7</v>
      </c>
      <c r="D158" s="42">
        <f>'Car+SUV'!D158+'Van+Ute'!D158</f>
        <v>258.03994366918448</v>
      </c>
      <c r="E158" s="43">
        <f>'Car+SUV'!E158+'Van+Ute'!E158</f>
        <v>257.03780241935488</v>
      </c>
      <c r="F158" s="43">
        <f>'Car+SUV'!F158+'Van+Ute'!F158</f>
        <v>246.03510838831292</v>
      </c>
      <c r="G158" s="43">
        <f>'Car+SUV'!G158+'Van+Ute'!G158</f>
        <v>256.03224825068446</v>
      </c>
      <c r="H158" s="43">
        <f>'Car+SUV'!H158+'Van+Ute'!H158</f>
        <v>369.03247004252029</v>
      </c>
      <c r="I158" s="43">
        <f>'Car+SUV'!I158+'Van+Ute'!I158</f>
        <v>348.55133459908211</v>
      </c>
      <c r="J158" s="43">
        <f>'Car+SUV'!J158+'Van+Ute'!J158</f>
        <v>356.93187274785299</v>
      </c>
      <c r="K158" s="43">
        <f>'Car+SUV'!K158+'Van+Ute'!K158</f>
        <v>402.27462258874129</v>
      </c>
      <c r="L158" s="43">
        <f>'Car+SUV'!L158+'Van+Ute'!L158</f>
        <v>3754.6308938233778</v>
      </c>
      <c r="M158" s="43">
        <f>'Car+SUV'!M158+'Van+Ute'!M158</f>
        <v>7157.4496314000316</v>
      </c>
      <c r="N158" s="43">
        <f>'Car+SUV'!N158+'Van+Ute'!N158</f>
        <v>10520.997995110254</v>
      </c>
      <c r="O158" s="43">
        <f>'Car+SUV'!O158+'Van+Ute'!O158</f>
        <v>13829.245797704109</v>
      </c>
      <c r="P158" s="56">
        <f>'Car+SUV'!P158+'Van+Ute'!P158</f>
        <v>17057.531686623966</v>
      </c>
      <c r="Q158" s="56">
        <f>'Car+SUV'!Q158+'Van+Ute'!Q158</f>
        <v>20180.174247318704</v>
      </c>
      <c r="R158" s="57">
        <f>'Car+SUV'!R158+'Van+Ute'!R158</f>
        <v>23193.188898156994</v>
      </c>
    </row>
    <row r="159" spans="3:18" ht="16" x14ac:dyDescent="0.2">
      <c r="C159" s="24" t="s">
        <v>8</v>
      </c>
      <c r="D159" s="42">
        <f>'Car+SUV'!D159+'Van+Ute'!D159</f>
        <v>1450.3344002048393</v>
      </c>
      <c r="E159" s="43">
        <f>'Car+SUV'!E159+'Van+Ute'!E159</f>
        <v>1469.3344254032259</v>
      </c>
      <c r="F159" s="43">
        <f>'Car+SUV'!F159+'Van+Ute'!F159</f>
        <v>1516.3228086710651</v>
      </c>
      <c r="G159" s="43">
        <f>'Car+SUV'!G159+'Van+Ute'!G159</f>
        <v>1722.3194402190445</v>
      </c>
      <c r="H159" s="43">
        <f>'Car+SUV'!H159+'Van+Ute'!H159</f>
        <v>1704.3005411673753</v>
      </c>
      <c r="I159" s="43">
        <f>'Car+SUV'!I159+'Van+Ute'!I159</f>
        <v>2872.9138760528858</v>
      </c>
      <c r="J159" s="43">
        <f>'Car+SUV'!J159+'Van+Ute'!J159</f>
        <v>3169.1443500994064</v>
      </c>
      <c r="K159" s="43">
        <f>'Car+SUV'!K159+'Van+Ute'!K159</f>
        <v>3617.1064049751408</v>
      </c>
      <c r="L159" s="43">
        <f>'Car+SUV'!L159+'Van+Ute'!L159</f>
        <v>9425.8557072334752</v>
      </c>
      <c r="M159" s="43">
        <f>'Car+SUV'!M159+'Van+Ute'!M159</f>
        <v>15423.603837767594</v>
      </c>
      <c r="N159" s="43">
        <f>'Car+SUV'!N159+'Van+Ute'!N159</f>
        <v>21508.710785689356</v>
      </c>
      <c r="O159" s="43">
        <f>'Car+SUV'!O159+'Van+Ute'!O159</f>
        <v>27682.156531836346</v>
      </c>
      <c r="P159" s="56">
        <f>'Car+SUV'!P159+'Van+Ute'!P159</f>
        <v>33814.589396493582</v>
      </c>
      <c r="Q159" s="56">
        <f>'Car+SUV'!Q159+'Van+Ute'!Q159</f>
        <v>39940.422986426092</v>
      </c>
      <c r="R159" s="57">
        <f>'Car+SUV'!R159+'Van+Ute'!R159</f>
        <v>46051.251132193589</v>
      </c>
    </row>
    <row r="160" spans="3:18" ht="16" x14ac:dyDescent="0.2">
      <c r="C160" s="24" t="s">
        <v>9</v>
      </c>
      <c r="D160" s="42">
        <f>'Car+SUV'!D160+'Van+Ute'!D160</f>
        <v>260.0425041607989</v>
      </c>
      <c r="E160" s="43">
        <f>'Car+SUV'!E160+'Van+Ute'!E160</f>
        <v>243.03679435483872</v>
      </c>
      <c r="F160" s="43">
        <f>'Car+SUV'!F160+'Van+Ute'!F160</f>
        <v>255.03534401508011</v>
      </c>
      <c r="G160" s="43">
        <f>'Car+SUV'!G160+'Van+Ute'!G160</f>
        <v>266.03123415475102</v>
      </c>
      <c r="H160" s="43">
        <f>'Car+SUV'!H160+'Van+Ute'!H160</f>
        <v>307.03536915345956</v>
      </c>
      <c r="I160" s="43">
        <f>'Car+SUV'!I160+'Van+Ute'!I160</f>
        <v>366.47116072780358</v>
      </c>
      <c r="J160" s="43">
        <f>'Car+SUV'!J160+'Van+Ute'!J160</f>
        <v>391.83980494568016</v>
      </c>
      <c r="K160" s="43">
        <f>'Car+SUV'!K160+'Van+Ute'!K160</f>
        <v>445.57214165794721</v>
      </c>
      <c r="L160" s="43">
        <f>'Car+SUV'!L160+'Van+Ute'!L160</f>
        <v>3390.9987170336112</v>
      </c>
      <c r="M160" s="43">
        <f>'Car+SUV'!M160+'Van+Ute'!M160</f>
        <v>6435.2102082802649</v>
      </c>
      <c r="N160" s="43">
        <f>'Car+SUV'!N160+'Van+Ute'!N160</f>
        <v>9492.2618271221418</v>
      </c>
      <c r="O160" s="43">
        <f>'Car+SUV'!O160+'Van+Ute'!O160</f>
        <v>12529.507887558295</v>
      </c>
      <c r="P160" s="56">
        <f>'Car+SUV'!P160+'Van+Ute'!P160</f>
        <v>15533.267291648215</v>
      </c>
      <c r="Q160" s="56">
        <f>'Car+SUV'!Q160+'Van+Ute'!Q160</f>
        <v>18482.300331883318</v>
      </c>
      <c r="R160" s="57">
        <f>'Car+SUV'!R160+'Van+Ute'!R160</f>
        <v>21371.862594479073</v>
      </c>
    </row>
    <row r="161" spans="3:18" ht="16" x14ac:dyDescent="0.2">
      <c r="C161" s="24" t="s">
        <v>10</v>
      </c>
      <c r="D161" s="42">
        <f>'Car+SUV'!D161+'Van+Ute'!D161</f>
        <v>80.007425425681731</v>
      </c>
      <c r="E161" s="43">
        <f>'Car+SUV'!E161+'Van+Ute'!E161</f>
        <v>82.006804435483872</v>
      </c>
      <c r="F161" s="43">
        <f>'Car+SUV'!F161+'Van+Ute'!F161</f>
        <v>82.006833176248819</v>
      </c>
      <c r="G161" s="43">
        <f>'Car+SUV'!G161+'Van+Ute'!G161</f>
        <v>89.006490213974246</v>
      </c>
      <c r="H161" s="43">
        <f>'Car+SUV'!H161+'Van+Ute'!H161</f>
        <v>93.006764592191729</v>
      </c>
      <c r="I161" s="43">
        <f>'Car+SUV'!I161+'Van+Ute'!I161</f>
        <v>100.32427106689971</v>
      </c>
      <c r="J161" s="43">
        <f>'Car+SUV'!J161+'Van+Ute'!J161</f>
        <v>103.53059198609736</v>
      </c>
      <c r="K161" s="43">
        <f>'Car+SUV'!K161+'Van+Ute'!K161</f>
        <v>115.58624048456939</v>
      </c>
      <c r="L161" s="43">
        <f>'Car+SUV'!L161+'Van+Ute'!L161</f>
        <v>652.73569903189025</v>
      </c>
      <c r="M161" s="43">
        <f>'Car+SUV'!M161+'Van+Ute'!M161</f>
        <v>1178.0736239936507</v>
      </c>
      <c r="N161" s="43">
        <f>'Car+SUV'!N161+'Van+Ute'!N161</f>
        <v>1677.8562371824482</v>
      </c>
      <c r="O161" s="43">
        <f>'Car+SUV'!O161+'Van+Ute'!O161</f>
        <v>2153.2289313039878</v>
      </c>
      <c r="P161" s="56">
        <f>'Car+SUV'!P161+'Van+Ute'!P161</f>
        <v>2599.1659624404742</v>
      </c>
      <c r="Q161" s="56">
        <f>'Car+SUV'!Q161+'Van+Ute'!Q161</f>
        <v>3014.5951750373283</v>
      </c>
      <c r="R161" s="57">
        <f>'Car+SUV'!R161+'Van+Ute'!R161</f>
        <v>3400.3861488476823</v>
      </c>
    </row>
    <row r="162" spans="3:18" ht="16" x14ac:dyDescent="0.2">
      <c r="C162" s="24" t="s">
        <v>11</v>
      </c>
      <c r="D162" s="42">
        <f>'Car+SUV'!D162+'Van+Ute'!D162</f>
        <v>1285.2337728843936</v>
      </c>
      <c r="E162" s="43">
        <f>'Car+SUV'!E162+'Van+Ute'!E162</f>
        <v>1269.2363911290322</v>
      </c>
      <c r="F162" s="43">
        <f>'Car+SUV'!F162+'Van+Ute'!F162</f>
        <v>1334.2335061262961</v>
      </c>
      <c r="G162" s="43">
        <f>'Car+SUV'!G162+'Van+Ute'!G162</f>
        <v>1367.2048473785619</v>
      </c>
      <c r="H162" s="43">
        <f>'Car+SUV'!H162+'Van+Ute'!H162</f>
        <v>1496.2124081948202</v>
      </c>
      <c r="I162" s="43">
        <f>'Car+SUV'!I162+'Van+Ute'!I162</f>
        <v>2609.8586168282241</v>
      </c>
      <c r="J162" s="43">
        <f>'Car+SUV'!J162+'Van+Ute'!J162</f>
        <v>2963.6496437031415</v>
      </c>
      <c r="K162" s="43">
        <f>'Car+SUV'!K162+'Van+Ute'!K162</f>
        <v>3449.3749051201189</v>
      </c>
      <c r="L162" s="43">
        <f>'Car+SUV'!L162+'Van+Ute'!L162</f>
        <v>14991.696113489828</v>
      </c>
      <c r="M162" s="43">
        <f>'Car+SUV'!M162+'Van+Ute'!M162</f>
        <v>27435.576081643299</v>
      </c>
      <c r="N162" s="43">
        <f>'Car+SUV'!N162+'Van+Ute'!N162</f>
        <v>40545.07322890489</v>
      </c>
      <c r="O162" s="43">
        <f>'Car+SUV'!O162+'Van+Ute'!O162</f>
        <v>54310.974518251089</v>
      </c>
      <c r="P162" s="56">
        <f>'Car+SUV'!P162+'Van+Ute'!P162</f>
        <v>68588.434368944843</v>
      </c>
      <c r="Q162" s="56">
        <f>'Car+SUV'!Q162+'Van+Ute'!Q162</f>
        <v>83351.288288050026</v>
      </c>
      <c r="R162" s="57">
        <f>'Car+SUV'!R162+'Van+Ute'!R162</f>
        <v>98585.245640292429</v>
      </c>
    </row>
    <row r="163" spans="3:18" ht="16" x14ac:dyDescent="0.2">
      <c r="C163" s="24" t="s">
        <v>12</v>
      </c>
      <c r="D163" s="42">
        <f>'Car+SUV'!D163+'Van+Ute'!D163</f>
        <v>772.12239149916786</v>
      </c>
      <c r="E163" s="43">
        <f>'Car+SUV'!E163+'Van+Ute'!E163</f>
        <v>795.12247983870975</v>
      </c>
      <c r="F163" s="43">
        <f>'Car+SUV'!F163+'Van+Ute'!F163</f>
        <v>819.11828463713482</v>
      </c>
      <c r="G163" s="43">
        <f>'Car+SUV'!G163+'Van+Ute'!G163</f>
        <v>849.10445188114795</v>
      </c>
      <c r="H163" s="43">
        <f>'Car+SUV'!H163+'Van+Ute'!H163</f>
        <v>935.11074603788165</v>
      </c>
      <c r="I163" s="43">
        <f>'Car+SUV'!I163+'Van+Ute'!I163</f>
        <v>1126.6489519029219</v>
      </c>
      <c r="J163" s="43">
        <f>'Car+SUV'!J163+'Van+Ute'!J163</f>
        <v>1260.2679811891321</v>
      </c>
      <c r="K163" s="43">
        <f>'Car+SUV'!K163+'Van+Ute'!K163</f>
        <v>1449.6291827637692</v>
      </c>
      <c r="L163" s="43">
        <f>'Car+SUV'!L163+'Van+Ute'!L163</f>
        <v>4735.6957368110152</v>
      </c>
      <c r="M163" s="43">
        <f>'Car+SUV'!M163+'Van+Ute'!M163</f>
        <v>8165.6617556395313</v>
      </c>
      <c r="N163" s="43">
        <f>'Car+SUV'!N163+'Van+Ute'!N163</f>
        <v>11677.925770613736</v>
      </c>
      <c r="O163" s="43">
        <f>'Car+SUV'!O163+'Van+Ute'!O163</f>
        <v>15271.883461656978</v>
      </c>
      <c r="P163" s="56">
        <f>'Car+SUV'!P163+'Van+Ute'!P163</f>
        <v>18886.544164738607</v>
      </c>
      <c r="Q163" s="56">
        <f>'Car+SUV'!Q163+'Van+Ute'!Q163</f>
        <v>22527.751238067802</v>
      </c>
      <c r="R163" s="57">
        <f>'Car+SUV'!R163+'Van+Ute'!R163</f>
        <v>26190.497651537487</v>
      </c>
    </row>
    <row r="164" spans="3:18" ht="17" thickBot="1" x14ac:dyDescent="0.25">
      <c r="C164" s="25" t="s">
        <v>13</v>
      </c>
      <c r="D164" s="45">
        <f>'Car+SUV'!D164+'Van+Ute'!D164</f>
        <v>194.02458071949815</v>
      </c>
      <c r="E164" s="46">
        <f>'Car+SUV'!E164+'Van+Ute'!E164</f>
        <v>190.02394153225805</v>
      </c>
      <c r="F164" s="46">
        <f>'Car+SUV'!F164+'Van+Ute'!F164</f>
        <v>188.02285579641847</v>
      </c>
      <c r="G164" s="46">
        <f>'Car+SUV'!G164+'Van+Ute'!G164</f>
        <v>198.02048473785618</v>
      </c>
      <c r="H164" s="46">
        <f>'Car+SUV'!H164+'Van+Ute'!H164</f>
        <v>194.01932740626205</v>
      </c>
      <c r="I164" s="46">
        <f>'Car+SUV'!I164+'Van+Ute'!I164</f>
        <v>212.89288545999949</v>
      </c>
      <c r="J164" s="46">
        <f>'Car+SUV'!J164+'Van+Ute'!J164</f>
        <v>225.65257620823314</v>
      </c>
      <c r="K164" s="46">
        <f>'Car+SUV'!K164+'Van+Ute'!K164</f>
        <v>253.17717458212297</v>
      </c>
      <c r="L164" s="46">
        <f>'Car+SUV'!L164+'Van+Ute'!L164</f>
        <v>1911.2821166154934</v>
      </c>
      <c r="M164" s="46">
        <f>'Car+SUV'!M164+'Van+Ute'!M164</f>
        <v>3575.1372255050846</v>
      </c>
      <c r="N164" s="46">
        <f>'Car+SUV'!N164+'Van+Ute'!N164</f>
        <v>5201.5582417805945</v>
      </c>
      <c r="O164" s="46">
        <f>'Car+SUV'!O164+'Van+Ute'!O164</f>
        <v>6786.3133574249086</v>
      </c>
      <c r="P164" s="59">
        <f>'Car+SUV'!P164+'Van+Ute'!P164</f>
        <v>8315.261972510616</v>
      </c>
      <c r="Q164" s="59">
        <f>'Car+SUV'!Q164+'Van+Ute'!Q164</f>
        <v>9778.492642229694</v>
      </c>
      <c r="R164" s="60">
        <f>'Car+SUV'!R164+'Van+Ute'!R164</f>
        <v>11175.217695133088</v>
      </c>
    </row>
    <row r="165" spans="3:18" ht="19" thickTop="1" thickBot="1" x14ac:dyDescent="0.25">
      <c r="C165" s="20" t="s">
        <v>24</v>
      </c>
      <c r="D165" s="48">
        <f t="shared" ref="D165:O165" si="110">SUM(D151:D164)</f>
        <v>10246</v>
      </c>
      <c r="E165" s="48">
        <f t="shared" si="110"/>
        <v>10364.000000000002</v>
      </c>
      <c r="F165" s="48">
        <f t="shared" si="110"/>
        <v>11004</v>
      </c>
      <c r="G165" s="48">
        <f t="shared" ref="G165:H165" si="111">SUM(G151:G164)</f>
        <v>12469.999999999998</v>
      </c>
      <c r="H165" s="48">
        <f t="shared" si="111"/>
        <v>13277</v>
      </c>
      <c r="I165" s="48">
        <f t="shared" si="110"/>
        <v>20274.456112796335</v>
      </c>
      <c r="J165" s="48">
        <f t="shared" ref="J165" si="112">SUM(J151:J164)</f>
        <v>22192.912242914525</v>
      </c>
      <c r="K165" s="48">
        <f t="shared" si="110"/>
        <v>25942.962296939197</v>
      </c>
      <c r="L165" s="48">
        <f t="shared" si="110"/>
        <v>97047.246521350666</v>
      </c>
      <c r="M165" s="48">
        <f t="shared" si="110"/>
        <v>172838.60770742322</v>
      </c>
      <c r="N165" s="48">
        <f t="shared" si="110"/>
        <v>251755.15609567447</v>
      </c>
      <c r="O165" s="48">
        <f t="shared" si="110"/>
        <v>333792.68734879786</v>
      </c>
      <c r="P165" s="62">
        <f t="shared" ref="P165:R165" si="113">SUM(P151:P164)</f>
        <v>418010.07059925393</v>
      </c>
      <c r="Q165" s="62">
        <f t="shared" si="113"/>
        <v>504399.94796717458</v>
      </c>
      <c r="R165" s="63">
        <f t="shared" si="113"/>
        <v>592874.76320519752</v>
      </c>
    </row>
    <row r="166" spans="3:18" ht="14" thickTop="1" x14ac:dyDescent="0.15">
      <c r="N166" s="56"/>
      <c r="O166" s="56"/>
      <c r="P166" s="56"/>
    </row>
  </sheetData>
  <pageMargins left="0.70866141732283472" right="0.70866141732283472" top="0.74803149606299213" bottom="0.74803149606299213" header="0.31496062992125984" footer="0.31496062992125984"/>
  <pageSetup paperSize="9" scale="1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C3:AB167"/>
  <sheetViews>
    <sheetView topLeftCell="A134" zoomScale="90" zoomScaleNormal="90" workbookViewId="0">
      <selection activeCell="J151" sqref="J151"/>
    </sheetView>
  </sheetViews>
  <sheetFormatPr baseColWidth="10" defaultColWidth="8.83203125" defaultRowHeight="13" x14ac:dyDescent="0.15"/>
  <cols>
    <col min="3" max="3" width="27.6640625" customWidth="1"/>
    <col min="4" max="26" width="17.6640625" customWidth="1"/>
  </cols>
  <sheetData>
    <row r="3" spans="3:27" ht="14" thickBot="1" x14ac:dyDescent="0.2"/>
    <row r="4" spans="3:27" ht="17" thickTop="1" x14ac:dyDescent="0.2">
      <c r="C4" s="32" t="s">
        <v>160</v>
      </c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34"/>
      <c r="Q4" s="34"/>
      <c r="R4" s="35"/>
      <c r="S4" s="121"/>
      <c r="T4" s="32" t="s">
        <v>104</v>
      </c>
      <c r="U4" s="33"/>
      <c r="V4" s="33"/>
      <c r="W4" s="33"/>
      <c r="X4" s="34"/>
      <c r="Y4" s="34"/>
      <c r="Z4" s="35"/>
    </row>
    <row r="5" spans="3:27" ht="14" thickBot="1" x14ac:dyDescent="0.2">
      <c r="C5" s="36"/>
      <c r="D5" s="37" t="s">
        <v>25</v>
      </c>
      <c r="E5" s="37" t="s">
        <v>37</v>
      </c>
      <c r="F5" s="37" t="s">
        <v>38</v>
      </c>
      <c r="G5" s="37" t="s">
        <v>177</v>
      </c>
      <c r="H5" s="37" t="s">
        <v>178</v>
      </c>
      <c r="I5" s="37" t="s">
        <v>26</v>
      </c>
      <c r="J5" s="37" t="s">
        <v>183</v>
      </c>
      <c r="K5" s="37" t="s">
        <v>27</v>
      </c>
      <c r="L5" s="37" t="s">
        <v>28</v>
      </c>
      <c r="M5" s="37" t="s">
        <v>29</v>
      </c>
      <c r="N5" s="37" t="s">
        <v>30</v>
      </c>
      <c r="O5" s="37" t="s">
        <v>31</v>
      </c>
      <c r="P5" s="37" t="s">
        <v>174</v>
      </c>
      <c r="Q5" s="37" t="s">
        <v>175</v>
      </c>
      <c r="R5" s="38" t="s">
        <v>176</v>
      </c>
      <c r="S5" s="65"/>
      <c r="T5" s="36"/>
      <c r="U5" s="37" t="s">
        <v>25</v>
      </c>
      <c r="V5" s="37" t="s">
        <v>37</v>
      </c>
      <c r="W5" s="37" t="s">
        <v>38</v>
      </c>
      <c r="X5" s="37" t="s">
        <v>177</v>
      </c>
      <c r="Y5" s="37" t="s">
        <v>178</v>
      </c>
      <c r="Z5" s="38" t="s">
        <v>26</v>
      </c>
    </row>
    <row r="6" spans="3:27" ht="15" thickTop="1" thickBot="1" x14ac:dyDescent="0.2">
      <c r="C6" s="70"/>
      <c r="D6" s="65" t="s">
        <v>39</v>
      </c>
      <c r="E6" s="65" t="s">
        <v>39</v>
      </c>
      <c r="F6" s="65" t="s">
        <v>39</v>
      </c>
      <c r="G6" s="65" t="s">
        <v>39</v>
      </c>
      <c r="H6" s="65" t="s">
        <v>39</v>
      </c>
      <c r="I6" s="65" t="s">
        <v>39</v>
      </c>
      <c r="J6" s="65" t="s">
        <v>39</v>
      </c>
      <c r="K6" s="65" t="s">
        <v>32</v>
      </c>
      <c r="L6" s="65" t="s">
        <v>32</v>
      </c>
      <c r="M6" s="65" t="s">
        <v>32</v>
      </c>
      <c r="N6" s="65" t="s">
        <v>32</v>
      </c>
      <c r="O6" s="65" t="s">
        <v>32</v>
      </c>
      <c r="P6" s="65" t="s">
        <v>32</v>
      </c>
      <c r="Q6" s="65" t="s">
        <v>32</v>
      </c>
      <c r="R6" s="66" t="s">
        <v>32</v>
      </c>
      <c r="S6" s="65"/>
      <c r="T6" s="70"/>
      <c r="U6" s="65" t="s">
        <v>39</v>
      </c>
      <c r="V6" s="65" t="s">
        <v>39</v>
      </c>
      <c r="W6" s="65" t="s">
        <v>39</v>
      </c>
      <c r="X6" s="65" t="s">
        <v>39</v>
      </c>
      <c r="Y6" s="71" t="s">
        <v>39</v>
      </c>
      <c r="Z6" s="72" t="s">
        <v>39</v>
      </c>
    </row>
    <row r="7" spans="3:27" ht="17" thickTop="1" x14ac:dyDescent="0.2">
      <c r="C7" s="24" t="s">
        <v>0</v>
      </c>
      <c r="D7" s="52">
        <f>'Scaled 2012-13 Data'!$C6</f>
        <v>1154.0786871360624</v>
      </c>
      <c r="E7" s="53">
        <f>'Scaled 2013-14 Data'!$C6</f>
        <v>1207.1633383182407</v>
      </c>
      <c r="F7" s="53">
        <f>'Scaled 2014-15 Data'!$C6</f>
        <v>1234.8097626669858</v>
      </c>
      <c r="G7" s="53">
        <f>'Scaled 2015-16 Data'!$C6</f>
        <v>1288.7107796555235</v>
      </c>
      <c r="H7" s="53">
        <f>'Scaled 2016-17 Data'!$C6</f>
        <v>1310.4594569082421</v>
      </c>
      <c r="I7" s="129">
        <f>'Scaled 2017-18 Data'!$C6</f>
        <v>1415.881751742656</v>
      </c>
      <c r="J7" s="129">
        <f>'Scaled 2018-19 Data'!$C6</f>
        <v>1430.4729544608874</v>
      </c>
      <c r="K7" s="129">
        <f>K49+K90+K131</f>
        <v>1512.4494113169574</v>
      </c>
      <c r="L7" s="129">
        <f t="shared" ref="K7:R20" si="0">L49+L90+L131</f>
        <v>1573.6692555484808</v>
      </c>
      <c r="M7" s="129">
        <f t="shared" si="0"/>
        <v>1620.7878028866648</v>
      </c>
      <c r="N7" s="129">
        <f t="shared" si="0"/>
        <v>1652.199513987352</v>
      </c>
      <c r="O7" s="129">
        <f t="shared" si="0"/>
        <v>1677.7387129743149</v>
      </c>
      <c r="P7" s="129">
        <f t="shared" si="0"/>
        <v>1700.0100066962825</v>
      </c>
      <c r="Q7" s="129">
        <f t="shared" si="0"/>
        <v>1716.6583262121289</v>
      </c>
      <c r="R7" s="197">
        <f t="shared" si="0"/>
        <v>1728.3358491921381</v>
      </c>
      <c r="S7" s="56"/>
      <c r="T7" s="24" t="s">
        <v>0</v>
      </c>
      <c r="U7" s="52">
        <f>D49+'Vehicle Share Diversion Support'!D66+D131</f>
        <v>1154.0786871360624</v>
      </c>
      <c r="V7" s="53">
        <f>E49+'Vehicle Share Diversion Support'!E66+E131</f>
        <v>1207.1633383182409</v>
      </c>
      <c r="W7" s="53">
        <f>F49+'Vehicle Share Diversion Support'!F66+F131</f>
        <v>1234.8097626669855</v>
      </c>
      <c r="X7" s="53">
        <f>G49+'Vehicle Share Diversion Support'!G66+G131</f>
        <v>1288.7107796555238</v>
      </c>
      <c r="Y7" s="53">
        <f>H49+'Vehicle Share Diversion Support'!H66+H131</f>
        <v>1310.4594569082421</v>
      </c>
      <c r="Z7" s="54">
        <f>I49+'Vehicle Share Diversion Support'!I66+I131</f>
        <v>1415.881751742656</v>
      </c>
      <c r="AA7" s="56"/>
    </row>
    <row r="8" spans="3:27" ht="16" x14ac:dyDescent="0.2">
      <c r="C8" s="24" t="s">
        <v>1</v>
      </c>
      <c r="D8" s="55">
        <f>'Scaled 2012-13 Data'!$C7</f>
        <v>10087.405292093019</v>
      </c>
      <c r="E8" s="56">
        <f>'Scaled 2013-14 Data'!$C7</f>
        <v>10231.883329892014</v>
      </c>
      <c r="F8" s="56">
        <f>'Scaled 2014-15 Data'!$C7</f>
        <v>10382.313625753499</v>
      </c>
      <c r="G8" s="56">
        <f>'Scaled 2015-16 Data'!$C7</f>
        <v>10567.714879712083</v>
      </c>
      <c r="H8" s="56">
        <f>'Scaled 2016-17 Data'!$C7</f>
        <v>10918.950544000898</v>
      </c>
      <c r="I8" s="167">
        <f>'Scaled 2017-18 Data'!$C7</f>
        <v>10705.529179042114</v>
      </c>
      <c r="J8" s="167">
        <f>'Scaled 2018-19 Data'!$C7</f>
        <v>11084.771207960923</v>
      </c>
      <c r="K8" s="167">
        <f t="shared" si="0"/>
        <v>12160.928539734381</v>
      </c>
      <c r="L8" s="167">
        <f t="shared" si="0"/>
        <v>13188.596448466627</v>
      </c>
      <c r="M8" s="167">
        <f t="shared" si="0"/>
        <v>14179.097215980259</v>
      </c>
      <c r="N8" s="167">
        <f t="shared" si="0"/>
        <v>15072.159880634925</v>
      </c>
      <c r="O8" s="167">
        <f t="shared" si="0"/>
        <v>15967.828531758732</v>
      </c>
      <c r="P8" s="167">
        <f t="shared" si="0"/>
        <v>16882.258276075358</v>
      </c>
      <c r="Q8" s="167">
        <f t="shared" si="0"/>
        <v>17783.418434092615</v>
      </c>
      <c r="R8" s="198">
        <f t="shared" si="0"/>
        <v>18663.524159767505</v>
      </c>
      <c r="S8" s="56"/>
      <c r="T8" s="24" t="s">
        <v>1</v>
      </c>
      <c r="U8" s="55">
        <f>D50+'Vehicle Share Diversion Support'!D67+D132</f>
        <v>10087.405292093019</v>
      </c>
      <c r="V8" s="56">
        <f>E50+'Vehicle Share Diversion Support'!E67+E132</f>
        <v>10231.883329892014</v>
      </c>
      <c r="W8" s="56">
        <f>F50+'Vehicle Share Diversion Support'!F67+F132</f>
        <v>10382.313625753499</v>
      </c>
      <c r="X8" s="56">
        <f>G50+'Vehicle Share Diversion Support'!G67+G132</f>
        <v>10567.714879712083</v>
      </c>
      <c r="Y8" s="56">
        <f>H50+'Vehicle Share Diversion Support'!H67+H132</f>
        <v>10918.950544000896</v>
      </c>
      <c r="Z8" s="57">
        <f>I50+'Vehicle Share Diversion Support'!I67+I132</f>
        <v>10705.529179042114</v>
      </c>
      <c r="AA8" s="56"/>
    </row>
    <row r="9" spans="3:27" ht="16" x14ac:dyDescent="0.2">
      <c r="C9" s="24" t="s">
        <v>2</v>
      </c>
      <c r="D9" s="55">
        <f>'Scaled 2012-13 Data'!$C8</f>
        <v>3861.0172577983817</v>
      </c>
      <c r="E9" s="56">
        <f>'Scaled 2013-14 Data'!$C8</f>
        <v>3773.8836495942396</v>
      </c>
      <c r="F9" s="56">
        <f>'Scaled 2014-15 Data'!$C8</f>
        <v>3915.9824601516216</v>
      </c>
      <c r="G9" s="56">
        <f>'Scaled 2015-16 Data'!$C8</f>
        <v>4127.7311806454254</v>
      </c>
      <c r="H9" s="56">
        <f>'Scaled 2016-17 Data'!$C8</f>
        <v>4325.8637029715546</v>
      </c>
      <c r="I9" s="167">
        <f>'Scaled 2017-18 Data'!$C8</f>
        <v>4584.941514222849</v>
      </c>
      <c r="J9" s="167">
        <f>'Scaled 2018-19 Data'!$C8</f>
        <v>4600.7095243902631</v>
      </c>
      <c r="K9" s="167">
        <f t="shared" si="0"/>
        <v>4930.650267216377</v>
      </c>
      <c r="L9" s="167">
        <f t="shared" si="0"/>
        <v>5215.9995588791571</v>
      </c>
      <c r="M9" s="167">
        <f t="shared" si="0"/>
        <v>5464.8500822223587</v>
      </c>
      <c r="N9" s="167">
        <f t="shared" si="0"/>
        <v>5670.273806916005</v>
      </c>
      <c r="O9" s="167">
        <f t="shared" si="0"/>
        <v>5867.9802713496319</v>
      </c>
      <c r="P9" s="167">
        <f t="shared" si="0"/>
        <v>6059.6431744225674</v>
      </c>
      <c r="Q9" s="167">
        <f t="shared" si="0"/>
        <v>6235.3974908321416</v>
      </c>
      <c r="R9" s="198">
        <f t="shared" si="0"/>
        <v>6395.8283017621734</v>
      </c>
      <c r="S9" s="56"/>
      <c r="T9" s="24" t="s">
        <v>2</v>
      </c>
      <c r="U9" s="55">
        <f>D51+'Vehicle Share Diversion Support'!D68+D133</f>
        <v>3861.0172577983822</v>
      </c>
      <c r="V9" s="56">
        <f>E51+'Vehicle Share Diversion Support'!E68+E133</f>
        <v>3773.8836495942401</v>
      </c>
      <c r="W9" s="56">
        <f>F51+'Vehicle Share Diversion Support'!F68+F133</f>
        <v>3915.9824601516216</v>
      </c>
      <c r="X9" s="56">
        <f>G51+'Vehicle Share Diversion Support'!G68+G133</f>
        <v>4127.7311806454254</v>
      </c>
      <c r="Y9" s="56">
        <f>H51+'Vehicle Share Diversion Support'!H68+H133</f>
        <v>4325.8637029715546</v>
      </c>
      <c r="Z9" s="57">
        <f>I51+'Vehicle Share Diversion Support'!I68+I133</f>
        <v>4584.941514222849</v>
      </c>
      <c r="AA9" s="56"/>
    </row>
    <row r="10" spans="3:27" ht="16" x14ac:dyDescent="0.2">
      <c r="C10" s="24" t="s">
        <v>3</v>
      </c>
      <c r="D10" s="55">
        <f>'Scaled 2012-13 Data'!$C9</f>
        <v>1894.871315839719</v>
      </c>
      <c r="E10" s="56">
        <f>'Scaled 2013-14 Data'!$C9</f>
        <v>1958.6516845193339</v>
      </c>
      <c r="F10" s="56">
        <f>'Scaled 2014-15 Data'!$C9</f>
        <v>1958.2973608280238</v>
      </c>
      <c r="G10" s="56">
        <f>'Scaled 2015-16 Data'!$C9</f>
        <v>2027.1505458435281</v>
      </c>
      <c r="H10" s="56">
        <f>'Scaled 2016-17 Data'!$C9</f>
        <v>2282.4128309615326</v>
      </c>
      <c r="I10" s="167">
        <f>'Scaled 2017-18 Data'!$C9</f>
        <v>2216.3390150176547</v>
      </c>
      <c r="J10" s="167">
        <f>'Scaled 2018-19 Data'!$C9</f>
        <v>2204.6514896435788</v>
      </c>
      <c r="K10" s="167">
        <f t="shared" si="0"/>
        <v>2361.1094222977699</v>
      </c>
      <c r="L10" s="167">
        <f t="shared" si="0"/>
        <v>2479.237735258655</v>
      </c>
      <c r="M10" s="167">
        <f t="shared" si="0"/>
        <v>2579.3618164093218</v>
      </c>
      <c r="N10" s="167">
        <f t="shared" si="0"/>
        <v>2656.6445400005423</v>
      </c>
      <c r="O10" s="167">
        <f t="shared" si="0"/>
        <v>2729.0974849839013</v>
      </c>
      <c r="P10" s="167">
        <f t="shared" si="0"/>
        <v>2797.485296820139</v>
      </c>
      <c r="Q10" s="167">
        <f t="shared" si="0"/>
        <v>2857.5544867090844</v>
      </c>
      <c r="R10" s="198">
        <f t="shared" si="0"/>
        <v>2909.8342404358809</v>
      </c>
      <c r="S10" s="56"/>
      <c r="T10" s="24" t="s">
        <v>3</v>
      </c>
      <c r="U10" s="55">
        <f>D52+'Vehicle Share Diversion Support'!D69+D134</f>
        <v>1894.8713158397188</v>
      </c>
      <c r="V10" s="56">
        <f>E52+'Vehicle Share Diversion Support'!E69+E134</f>
        <v>1958.6516845193335</v>
      </c>
      <c r="W10" s="56">
        <f>F52+'Vehicle Share Diversion Support'!F69+F134</f>
        <v>1958.2973608280236</v>
      </c>
      <c r="X10" s="56">
        <f>G52+'Vehicle Share Diversion Support'!G69+G134</f>
        <v>2027.1505458435283</v>
      </c>
      <c r="Y10" s="56">
        <f>H52+'Vehicle Share Diversion Support'!H69+H134</f>
        <v>2282.4128309615326</v>
      </c>
      <c r="Z10" s="57">
        <f>I52+'Vehicle Share Diversion Support'!I69+I134</f>
        <v>2216.3390150176547</v>
      </c>
      <c r="AA10" s="56"/>
    </row>
    <row r="11" spans="3:27" ht="16" x14ac:dyDescent="0.2">
      <c r="C11" s="24" t="s">
        <v>4</v>
      </c>
      <c r="D11" s="55">
        <f>'Scaled 2012-13 Data'!$C10</f>
        <v>241.26432915694534</v>
      </c>
      <c r="E11" s="56">
        <f>'Scaled 2013-14 Data'!$C10</f>
        <v>240.61556831118608</v>
      </c>
      <c r="F11" s="56">
        <f>'Scaled 2014-15 Data'!$C10</f>
        <v>250.49922510618026</v>
      </c>
      <c r="G11" s="56">
        <f>'Scaled 2015-16 Data'!$C10</f>
        <v>258.17168142557739</v>
      </c>
      <c r="H11" s="56">
        <f>'Scaled 2016-17 Data'!$C10</f>
        <v>251.16506051511524</v>
      </c>
      <c r="I11" s="167">
        <f>'Scaled 2017-18 Data'!$C10</f>
        <v>259.53247509981031</v>
      </c>
      <c r="J11" s="167">
        <f>'Scaled 2018-19 Data'!$C10</f>
        <v>254.63762597658584</v>
      </c>
      <c r="K11" s="167">
        <f t="shared" si="0"/>
        <v>254.93859698603205</v>
      </c>
      <c r="L11" s="167">
        <f t="shared" si="0"/>
        <v>261.51220101407665</v>
      </c>
      <c r="M11" s="167">
        <f t="shared" si="0"/>
        <v>266.03933695598829</v>
      </c>
      <c r="N11" s="167">
        <f t="shared" si="0"/>
        <v>267.61748890033408</v>
      </c>
      <c r="O11" s="167">
        <f t="shared" si="0"/>
        <v>268.496596384719</v>
      </c>
      <c r="P11" s="167">
        <f t="shared" si="0"/>
        <v>268.79530979976835</v>
      </c>
      <c r="Q11" s="167">
        <f t="shared" si="0"/>
        <v>268.1630481702544</v>
      </c>
      <c r="R11" s="198">
        <f t="shared" si="0"/>
        <v>266.73500539211187</v>
      </c>
      <c r="S11" s="56"/>
      <c r="T11" s="24" t="s">
        <v>4</v>
      </c>
      <c r="U11" s="55">
        <f>D53+'Vehicle Share Diversion Support'!D70+D135</f>
        <v>241.26432915694531</v>
      </c>
      <c r="V11" s="56">
        <f>E53+'Vehicle Share Diversion Support'!E70+E135</f>
        <v>240.61556831118605</v>
      </c>
      <c r="W11" s="56">
        <f>F53+'Vehicle Share Diversion Support'!F70+F135</f>
        <v>250.49922510618026</v>
      </c>
      <c r="X11" s="56">
        <f>G53+'Vehicle Share Diversion Support'!G70+G135</f>
        <v>258.17168142557739</v>
      </c>
      <c r="Y11" s="56">
        <f>H53+'Vehicle Share Diversion Support'!H70+H135</f>
        <v>251.16506051511524</v>
      </c>
      <c r="Z11" s="57">
        <f>I53+'Vehicle Share Diversion Support'!I70+I135</f>
        <v>259.53247509981031</v>
      </c>
      <c r="AA11" s="56"/>
    </row>
    <row r="12" spans="3:27" ht="16" x14ac:dyDescent="0.2">
      <c r="C12" s="24" t="s">
        <v>5</v>
      </c>
      <c r="D12" s="55">
        <f>'Scaled 2012-13 Data'!$C11</f>
        <v>1032.0209647336642</v>
      </c>
      <c r="E12" s="56">
        <f>'Scaled 2013-14 Data'!$C11</f>
        <v>1026.1759100481281</v>
      </c>
      <c r="F12" s="56">
        <f>'Scaled 2014-15 Data'!$C11</f>
        <v>1072.1987805887825</v>
      </c>
      <c r="G12" s="56">
        <f>'Scaled 2015-16 Data'!$C11</f>
        <v>1122.8069078706169</v>
      </c>
      <c r="H12" s="56">
        <f>'Scaled 2016-17 Data'!$C11</f>
        <v>1161.2288929729091</v>
      </c>
      <c r="I12" s="167">
        <f>'Scaled 2017-18 Data'!$C11</f>
        <v>1171.7263927987001</v>
      </c>
      <c r="J12" s="167">
        <f>'Scaled 2018-19 Data'!$C11</f>
        <v>1191.1751064329801</v>
      </c>
      <c r="K12" s="167">
        <f t="shared" si="0"/>
        <v>1237.7382896168508</v>
      </c>
      <c r="L12" s="167">
        <f t="shared" si="0"/>
        <v>1272.535690356985</v>
      </c>
      <c r="M12" s="167">
        <f t="shared" si="0"/>
        <v>1295.4223809856812</v>
      </c>
      <c r="N12" s="167">
        <f t="shared" si="0"/>
        <v>1306.0501119791952</v>
      </c>
      <c r="O12" s="167">
        <f t="shared" si="0"/>
        <v>1312.680525867509</v>
      </c>
      <c r="P12" s="167">
        <f t="shared" si="0"/>
        <v>1316.5527392107579</v>
      </c>
      <c r="Q12" s="167">
        <f t="shared" si="0"/>
        <v>1315.8917277042442</v>
      </c>
      <c r="R12" s="198">
        <f t="shared" si="0"/>
        <v>1311.2264112102589</v>
      </c>
      <c r="S12" s="56"/>
      <c r="T12" s="24" t="s">
        <v>5</v>
      </c>
      <c r="U12" s="55">
        <f>D54+'Vehicle Share Diversion Support'!D71+D136</f>
        <v>1032.0209647336642</v>
      </c>
      <c r="V12" s="56">
        <f>E54+'Vehicle Share Diversion Support'!E71+E136</f>
        <v>1026.1759100481281</v>
      </c>
      <c r="W12" s="56">
        <f>F54+'Vehicle Share Diversion Support'!F71+F136</f>
        <v>1072.1987805887825</v>
      </c>
      <c r="X12" s="56">
        <f>G54+'Vehicle Share Diversion Support'!G71+G136</f>
        <v>1122.8069078706169</v>
      </c>
      <c r="Y12" s="56">
        <f>H54+'Vehicle Share Diversion Support'!H71+H136</f>
        <v>1161.2288929729091</v>
      </c>
      <c r="Z12" s="57">
        <f>I54+'Vehicle Share Diversion Support'!I71+I136</f>
        <v>1171.7263927987001</v>
      </c>
      <c r="AA12" s="56"/>
    </row>
    <row r="13" spans="3:27" ht="16" x14ac:dyDescent="0.2">
      <c r="C13" s="24" t="s">
        <v>6</v>
      </c>
      <c r="D13" s="55">
        <f>'Scaled 2012-13 Data'!$C12</f>
        <v>722.68344640793782</v>
      </c>
      <c r="E13" s="56">
        <f>'Scaled 2013-14 Data'!$C12</f>
        <v>740.99610911448769</v>
      </c>
      <c r="F13" s="56">
        <f>'Scaled 2014-15 Data'!$C12</f>
        <v>765.10585109360647</v>
      </c>
      <c r="G13" s="56">
        <f>'Scaled 2015-16 Data'!$C12</f>
        <v>793.64735901412735</v>
      </c>
      <c r="H13" s="56">
        <f>'Scaled 2016-17 Data'!$C12</f>
        <v>816.64413779227027</v>
      </c>
      <c r="I13" s="167">
        <f>'Scaled 2017-18 Data'!$C12</f>
        <v>840.10935012898153</v>
      </c>
      <c r="J13" s="167">
        <f>'Scaled 2018-19 Data'!$C12</f>
        <v>797.69078300839408</v>
      </c>
      <c r="K13" s="167">
        <f t="shared" si="0"/>
        <v>830.84602785363734</v>
      </c>
      <c r="L13" s="167">
        <f t="shared" si="0"/>
        <v>863.24227207335764</v>
      </c>
      <c r="M13" s="167">
        <f t="shared" si="0"/>
        <v>889.63536466981702</v>
      </c>
      <c r="N13" s="167">
        <f t="shared" si="0"/>
        <v>909.29768625396741</v>
      </c>
      <c r="O13" s="167">
        <f t="shared" si="0"/>
        <v>927.61944055180425</v>
      </c>
      <c r="P13" s="167">
        <f t="shared" si="0"/>
        <v>944.20509802930133</v>
      </c>
      <c r="Q13" s="167">
        <f t="shared" si="0"/>
        <v>957.75544688539367</v>
      </c>
      <c r="R13" s="198">
        <f t="shared" si="0"/>
        <v>968.62206101944139</v>
      </c>
      <c r="S13" s="56"/>
      <c r="T13" s="24" t="s">
        <v>6</v>
      </c>
      <c r="U13" s="55">
        <f>D55+'Vehicle Share Diversion Support'!D72+D137</f>
        <v>722.68344640793771</v>
      </c>
      <c r="V13" s="56">
        <f>E55+'Vehicle Share Diversion Support'!E72+E137</f>
        <v>740.99610911448769</v>
      </c>
      <c r="W13" s="56">
        <f>F55+'Vehicle Share Diversion Support'!F72+F137</f>
        <v>765.10585109360659</v>
      </c>
      <c r="X13" s="56">
        <f>G55+'Vehicle Share Diversion Support'!G72+G137</f>
        <v>793.64735901412723</v>
      </c>
      <c r="Y13" s="56">
        <f>H55+'Vehicle Share Diversion Support'!H72+H137</f>
        <v>816.64413779227039</v>
      </c>
      <c r="Z13" s="57">
        <f>I55+'Vehicle Share Diversion Support'!I72+I137</f>
        <v>840.10935012898153</v>
      </c>
      <c r="AA13" s="56"/>
    </row>
    <row r="14" spans="3:27" ht="16" x14ac:dyDescent="0.2">
      <c r="C14" s="24" t="s">
        <v>7</v>
      </c>
      <c r="D14" s="55">
        <f>'Scaled 2012-13 Data'!$C13</f>
        <v>1673.2667281691656</v>
      </c>
      <c r="E14" s="56">
        <f>'Scaled 2013-14 Data'!$C13</f>
        <v>1689.9497835748762</v>
      </c>
      <c r="F14" s="56">
        <f>'Scaled 2014-15 Data'!$C13</f>
        <v>1717.5454206810266</v>
      </c>
      <c r="G14" s="56">
        <f>'Scaled 2015-16 Data'!$C13</f>
        <v>1795.3310209191334</v>
      </c>
      <c r="H14" s="56">
        <f>'Scaled 2016-17 Data'!$C13</f>
        <v>1839.4830985948263</v>
      </c>
      <c r="I14" s="167">
        <f>'Scaled 2017-18 Data'!$C13</f>
        <v>1820.2214773361388</v>
      </c>
      <c r="J14" s="167">
        <f>'Scaled 2018-19 Data'!$C13</f>
        <v>1827.4994855124762</v>
      </c>
      <c r="K14" s="167">
        <f t="shared" si="0"/>
        <v>1894.26970734564</v>
      </c>
      <c r="L14" s="167">
        <f t="shared" si="0"/>
        <v>1940.2512869929378</v>
      </c>
      <c r="M14" s="167">
        <f t="shared" si="0"/>
        <v>1970.5423216437239</v>
      </c>
      <c r="N14" s="167">
        <f t="shared" si="0"/>
        <v>1982.8087271350937</v>
      </c>
      <c r="O14" s="167">
        <f t="shared" si="0"/>
        <v>1989.1922668472503</v>
      </c>
      <c r="P14" s="167">
        <f t="shared" si="0"/>
        <v>1991.3725875102391</v>
      </c>
      <c r="Q14" s="167">
        <f t="shared" si="0"/>
        <v>1986.6742816998071</v>
      </c>
      <c r="R14" s="198">
        <f t="shared" si="0"/>
        <v>1976.031693855346</v>
      </c>
      <c r="S14" s="56"/>
      <c r="T14" s="24" t="s">
        <v>7</v>
      </c>
      <c r="U14" s="55">
        <f>D56+'Vehicle Share Diversion Support'!D73+D138</f>
        <v>1673.2667281691656</v>
      </c>
      <c r="V14" s="56">
        <f>E56+'Vehicle Share Diversion Support'!E73+E138</f>
        <v>1689.9497835748762</v>
      </c>
      <c r="W14" s="56">
        <f>F56+'Vehicle Share Diversion Support'!F73+F138</f>
        <v>1717.5454206810268</v>
      </c>
      <c r="X14" s="56">
        <f>G56+'Vehicle Share Diversion Support'!G73+G138</f>
        <v>1795.3310209191332</v>
      </c>
      <c r="Y14" s="56">
        <f>H56+'Vehicle Share Diversion Support'!H73+H138</f>
        <v>1839.4830985948261</v>
      </c>
      <c r="Z14" s="57">
        <f>I56+'Vehicle Share Diversion Support'!I73+I138</f>
        <v>1820.2214773361388</v>
      </c>
      <c r="AA14" s="56"/>
    </row>
    <row r="15" spans="3:27" ht="16" x14ac:dyDescent="0.2">
      <c r="C15" s="24" t="s">
        <v>8</v>
      </c>
      <c r="D15" s="55">
        <f>'Scaled 2012-13 Data'!$C14</f>
        <v>2761.1490858956281</v>
      </c>
      <c r="E15" s="56">
        <f>'Scaled 2013-14 Data'!$C14</f>
        <v>2808.4980691970704</v>
      </c>
      <c r="F15" s="56">
        <f>'Scaled 2014-15 Data'!$C14</f>
        <v>3006.3253878802329</v>
      </c>
      <c r="G15" s="56">
        <f>'Scaled 2015-16 Data'!$C14</f>
        <v>2933.8412085633213</v>
      </c>
      <c r="H15" s="56">
        <f>'Scaled 2016-17 Data'!$C14</f>
        <v>2915.2258368759049</v>
      </c>
      <c r="I15" s="167">
        <f>'Scaled 2017-18 Data'!$C14</f>
        <v>3038.6841624933204</v>
      </c>
      <c r="J15" s="167">
        <f>'Scaled 2018-19 Data'!$C14</f>
        <v>3019.5088220809889</v>
      </c>
      <c r="K15" s="167">
        <f t="shared" si="0"/>
        <v>3185.0900101773714</v>
      </c>
      <c r="L15" s="167">
        <f t="shared" si="0"/>
        <v>3316.7287355742665</v>
      </c>
      <c r="M15" s="167">
        <f t="shared" si="0"/>
        <v>3427.779740717493</v>
      </c>
      <c r="N15" s="167">
        <f t="shared" si="0"/>
        <v>3511.4562070191778</v>
      </c>
      <c r="O15" s="167">
        <f t="shared" si="0"/>
        <v>3586.7961900778255</v>
      </c>
      <c r="P15" s="167">
        <f t="shared" si="0"/>
        <v>3654.5283515662968</v>
      </c>
      <c r="Q15" s="167">
        <f t="shared" si="0"/>
        <v>3711.0039363181154</v>
      </c>
      <c r="R15" s="198">
        <f t="shared" si="0"/>
        <v>3757.2762048239747</v>
      </c>
      <c r="S15" s="56"/>
      <c r="T15" s="24" t="s">
        <v>8</v>
      </c>
      <c r="U15" s="55">
        <f>D57+'Vehicle Share Diversion Support'!D74+D139</f>
        <v>2761.1490858956281</v>
      </c>
      <c r="V15" s="56">
        <f>E57+'Vehicle Share Diversion Support'!E74+E139</f>
        <v>2808.4980691970704</v>
      </c>
      <c r="W15" s="56">
        <f>F57+'Vehicle Share Diversion Support'!F74+F139</f>
        <v>3006.3253878802329</v>
      </c>
      <c r="X15" s="56">
        <f>G57+'Vehicle Share Diversion Support'!G74+G139</f>
        <v>2933.8412085633213</v>
      </c>
      <c r="Y15" s="56">
        <f>H57+'Vehicle Share Diversion Support'!H74+H139</f>
        <v>2915.2258368759044</v>
      </c>
      <c r="Z15" s="57">
        <f>I57+'Vehicle Share Diversion Support'!I74+I139</f>
        <v>3038.6841624933209</v>
      </c>
      <c r="AA15" s="56"/>
    </row>
    <row r="16" spans="3:27" ht="16" x14ac:dyDescent="0.2">
      <c r="C16" s="24" t="s">
        <v>9</v>
      </c>
      <c r="D16" s="55">
        <f>'Scaled 2012-13 Data'!$C15</f>
        <v>889.60446472660283</v>
      </c>
      <c r="E16" s="56">
        <f>'Scaled 2013-14 Data'!$C15</f>
        <v>901.79729777243256</v>
      </c>
      <c r="F16" s="56">
        <f>'Scaled 2014-15 Data'!$C15</f>
        <v>858.04498228312059</v>
      </c>
      <c r="G16" s="56">
        <f>'Scaled 2015-16 Data'!$C15</f>
        <v>1010.4984897971797</v>
      </c>
      <c r="H16" s="56">
        <f>'Scaled 2016-17 Data'!$C15</f>
        <v>1050.7576353443119</v>
      </c>
      <c r="I16" s="167">
        <f>'Scaled 2017-18 Data'!$C15</f>
        <v>1111.0920647038374</v>
      </c>
      <c r="J16" s="167">
        <f>'Scaled 2018-19 Data'!$C15</f>
        <v>1083.0977329412337</v>
      </c>
      <c r="K16" s="167">
        <f t="shared" si="0"/>
        <v>1164.5163291342717</v>
      </c>
      <c r="L16" s="167">
        <f t="shared" si="0"/>
        <v>1211.8061166448651</v>
      </c>
      <c r="M16" s="167">
        <f t="shared" si="0"/>
        <v>1247.6969285088385</v>
      </c>
      <c r="N16" s="167">
        <f t="shared" si="0"/>
        <v>1271.5436855236981</v>
      </c>
      <c r="O16" s="167">
        <f t="shared" si="0"/>
        <v>1290.0289139120916</v>
      </c>
      <c r="P16" s="167">
        <f t="shared" si="0"/>
        <v>1306.1769283631857</v>
      </c>
      <c r="Q16" s="167">
        <f t="shared" si="0"/>
        <v>1317.743521224259</v>
      </c>
      <c r="R16" s="198">
        <f t="shared" si="0"/>
        <v>1324.8993801736078</v>
      </c>
      <c r="S16" s="56"/>
      <c r="T16" s="24" t="s">
        <v>9</v>
      </c>
      <c r="U16" s="55">
        <f>D58+'Vehicle Share Diversion Support'!D75+D140</f>
        <v>889.60446472660283</v>
      </c>
      <c r="V16" s="56">
        <f>E58+'Vehicle Share Diversion Support'!E75+E140</f>
        <v>901.79729777243244</v>
      </c>
      <c r="W16" s="56">
        <f>F58+'Vehicle Share Diversion Support'!F75+F140</f>
        <v>858.04498228312059</v>
      </c>
      <c r="X16" s="56">
        <f>G58+'Vehicle Share Diversion Support'!G75+G140</f>
        <v>1010.4984897971797</v>
      </c>
      <c r="Y16" s="56">
        <f>H58+'Vehicle Share Diversion Support'!H75+H140</f>
        <v>1050.7576353443119</v>
      </c>
      <c r="Z16" s="57">
        <f>I58+'Vehicle Share Diversion Support'!I75+I140</f>
        <v>1111.0920647038374</v>
      </c>
      <c r="AA16" s="56"/>
    </row>
    <row r="17" spans="3:27" ht="16" x14ac:dyDescent="0.2">
      <c r="C17" s="24" t="s">
        <v>10</v>
      </c>
      <c r="D17" s="55">
        <f>'Scaled 2012-13 Data'!$C16</f>
        <v>316.8010079485299</v>
      </c>
      <c r="E17" s="56">
        <f>'Scaled 2013-14 Data'!$C16</f>
        <v>315.5475661153227</v>
      </c>
      <c r="F17" s="56">
        <f>'Scaled 2014-15 Data'!$C16</f>
        <v>335.31409851827163</v>
      </c>
      <c r="G17" s="56">
        <f>'Scaled 2015-16 Data'!$C16</f>
        <v>356.54683401886132</v>
      </c>
      <c r="H17" s="56">
        <f>'Scaled 2016-17 Data'!$C16</f>
        <v>366.43774871601812</v>
      </c>
      <c r="I17" s="167">
        <f>'Scaled 2017-18 Data'!$C16</f>
        <v>402.54789309292505</v>
      </c>
      <c r="J17" s="167">
        <f>'Scaled 2018-19 Data'!$C16</f>
        <v>393.75667317794154</v>
      </c>
      <c r="K17" s="167">
        <f t="shared" si="0"/>
        <v>403.05464110646136</v>
      </c>
      <c r="L17" s="167">
        <f t="shared" si="0"/>
        <v>407.22374720774252</v>
      </c>
      <c r="M17" s="167">
        <f t="shared" si="0"/>
        <v>407.54608225883379</v>
      </c>
      <c r="N17" s="167">
        <f t="shared" si="0"/>
        <v>403.91207842838344</v>
      </c>
      <c r="O17" s="167">
        <f t="shared" si="0"/>
        <v>399.50618009343043</v>
      </c>
      <c r="P17" s="167">
        <f t="shared" si="0"/>
        <v>394.32918530460466</v>
      </c>
      <c r="Q17" s="167">
        <f t="shared" si="0"/>
        <v>387.83702644057007</v>
      </c>
      <c r="R17" s="198">
        <f t="shared" si="0"/>
        <v>380.22469137487099</v>
      </c>
      <c r="S17" s="56"/>
      <c r="T17" s="24" t="s">
        <v>10</v>
      </c>
      <c r="U17" s="55">
        <f>D59+'Vehicle Share Diversion Support'!D76+D141</f>
        <v>316.80100794852984</v>
      </c>
      <c r="V17" s="56">
        <f>E59+'Vehicle Share Diversion Support'!E76+E141</f>
        <v>315.54756611532264</v>
      </c>
      <c r="W17" s="56">
        <f>F59+'Vehicle Share Diversion Support'!F76+F141</f>
        <v>335.31409851827158</v>
      </c>
      <c r="X17" s="56">
        <f>G59+'Vehicle Share Diversion Support'!G76+G141</f>
        <v>356.54683401886132</v>
      </c>
      <c r="Y17" s="56">
        <f>H59+'Vehicle Share Diversion Support'!H76+H141</f>
        <v>366.43774871601812</v>
      </c>
      <c r="Z17" s="57">
        <f>I59+'Vehicle Share Diversion Support'!I76+I141</f>
        <v>402.54789309292511</v>
      </c>
      <c r="AA17" s="56"/>
    </row>
    <row r="18" spans="3:27" ht="16" x14ac:dyDescent="0.2">
      <c r="C18" s="24" t="s">
        <v>11</v>
      </c>
      <c r="D18" s="55">
        <f>'Scaled 2012-13 Data'!$C17</f>
        <v>3934.2711971024746</v>
      </c>
      <c r="E18" s="56">
        <f>'Scaled 2013-14 Data'!$C17</f>
        <v>4098.875929506934</v>
      </c>
      <c r="F18" s="56">
        <f>'Scaled 2014-15 Data'!$C17</f>
        <v>4267.8352747887011</v>
      </c>
      <c r="G18" s="56">
        <f>'Scaled 2015-16 Data'!$C17</f>
        <v>4520.1290565498166</v>
      </c>
      <c r="H18" s="56">
        <f>'Scaled 2016-17 Data'!$C17</f>
        <v>4571.0726138429181</v>
      </c>
      <c r="I18" s="167">
        <f>'Scaled 2017-18 Data'!$C17</f>
        <v>4816.3317136836249</v>
      </c>
      <c r="J18" s="167">
        <f>'Scaled 2018-19 Data'!$C17</f>
        <v>4834.3527091145634</v>
      </c>
      <c r="K18" s="167">
        <f t="shared" si="0"/>
        <v>5257.012349287249</v>
      </c>
      <c r="L18" s="167">
        <f t="shared" si="0"/>
        <v>5608.9574468200926</v>
      </c>
      <c r="M18" s="167">
        <f t="shared" si="0"/>
        <v>5923.449428218858</v>
      </c>
      <c r="N18" s="167">
        <f t="shared" si="0"/>
        <v>6199.2160077573444</v>
      </c>
      <c r="O18" s="167">
        <f t="shared" si="0"/>
        <v>6471.5257784695823</v>
      </c>
      <c r="P18" s="167">
        <f t="shared" si="0"/>
        <v>6741.1592263688326</v>
      </c>
      <c r="Q18" s="167">
        <f t="shared" si="0"/>
        <v>6995.9184476398023</v>
      </c>
      <c r="R18" s="198">
        <f t="shared" si="0"/>
        <v>7234.285401969968</v>
      </c>
      <c r="S18" s="56"/>
      <c r="T18" s="24" t="s">
        <v>11</v>
      </c>
      <c r="U18" s="55">
        <f>D60+'Vehicle Share Diversion Support'!D77+D142</f>
        <v>3934.2711971024751</v>
      </c>
      <c r="V18" s="56">
        <f>E60+'Vehicle Share Diversion Support'!E77+E142</f>
        <v>4098.8759295069349</v>
      </c>
      <c r="W18" s="56">
        <f>F60+'Vehicle Share Diversion Support'!F77+F142</f>
        <v>4267.8352747887011</v>
      </c>
      <c r="X18" s="56">
        <f>G60+'Vehicle Share Diversion Support'!G77+G142</f>
        <v>4520.1290565498166</v>
      </c>
      <c r="Y18" s="56">
        <f>H60+'Vehicle Share Diversion Support'!H77+H142</f>
        <v>4571.0726138429181</v>
      </c>
      <c r="Z18" s="57">
        <f>I60+'Vehicle Share Diversion Support'!I77+I142</f>
        <v>4816.3317136836249</v>
      </c>
      <c r="AA18" s="56"/>
    </row>
    <row r="19" spans="3:27" ht="16" x14ac:dyDescent="0.2">
      <c r="C19" s="24" t="s">
        <v>12</v>
      </c>
      <c r="D19" s="55">
        <f>'Scaled 2012-13 Data'!$C18</f>
        <v>1566.8697167848779</v>
      </c>
      <c r="E19" s="56">
        <f>'Scaled 2013-14 Data'!$C18</f>
        <v>1618.0488514333024</v>
      </c>
      <c r="F19" s="56">
        <f>'Scaled 2014-15 Data'!$C18</f>
        <v>1662.3212104101217</v>
      </c>
      <c r="G19" s="56">
        <f>'Scaled 2015-16 Data'!$C18</f>
        <v>1730.9344738287209</v>
      </c>
      <c r="H19" s="56">
        <f>'Scaled 2016-17 Data'!$C18</f>
        <v>1815.9593180970548</v>
      </c>
      <c r="I19" s="167">
        <f>'Scaled 2017-18 Data'!$C18</f>
        <v>1968.2334015677295</v>
      </c>
      <c r="J19" s="167">
        <f>'Scaled 2018-19 Data'!$C18</f>
        <v>1993.6094567216578</v>
      </c>
      <c r="K19" s="167">
        <f t="shared" si="0"/>
        <v>2137.5343855821034</v>
      </c>
      <c r="L19" s="167">
        <f t="shared" si="0"/>
        <v>2244.085049693856</v>
      </c>
      <c r="M19" s="167">
        <f t="shared" si="0"/>
        <v>2332.294718638721</v>
      </c>
      <c r="N19" s="167">
        <f t="shared" si="0"/>
        <v>2403.7359288971184</v>
      </c>
      <c r="O19" s="167">
        <f t="shared" si="0"/>
        <v>2472.0340611472197</v>
      </c>
      <c r="P19" s="167">
        <f t="shared" si="0"/>
        <v>2536.819362463275</v>
      </c>
      <c r="Q19" s="167">
        <f t="shared" si="0"/>
        <v>2593.7323993565433</v>
      </c>
      <c r="R19" s="198">
        <f t="shared" si="0"/>
        <v>2642.4305743719269</v>
      </c>
      <c r="S19" s="56"/>
      <c r="T19" s="24" t="s">
        <v>12</v>
      </c>
      <c r="U19" s="55">
        <f>D61+'Vehicle Share Diversion Support'!D78+D143</f>
        <v>1566.8697167848777</v>
      </c>
      <c r="V19" s="56">
        <f>E61+'Vehicle Share Diversion Support'!E78+E143</f>
        <v>1618.0488514333022</v>
      </c>
      <c r="W19" s="56">
        <f>F61+'Vehicle Share Diversion Support'!F78+F143</f>
        <v>1662.3212104101215</v>
      </c>
      <c r="X19" s="56">
        <f>G61+'Vehicle Share Diversion Support'!G78+G143</f>
        <v>1730.9344738287209</v>
      </c>
      <c r="Y19" s="56">
        <f>H61+'Vehicle Share Diversion Support'!H78+H143</f>
        <v>1815.9593180970548</v>
      </c>
      <c r="Z19" s="57">
        <f>I61+'Vehicle Share Diversion Support'!I78+I143</f>
        <v>1968.23340156773</v>
      </c>
      <c r="AA19" s="56"/>
    </row>
    <row r="20" spans="3:27" ht="17" thickBot="1" x14ac:dyDescent="0.25">
      <c r="C20" s="25" t="s">
        <v>13</v>
      </c>
      <c r="D20" s="58">
        <f>'Scaled 2012-13 Data'!$C19</f>
        <v>741.20365373043114</v>
      </c>
      <c r="E20" s="59">
        <f>'Scaled 2013-14 Data'!$C19</f>
        <v>753.77982188506166</v>
      </c>
      <c r="F20" s="59">
        <f>'Scaled 2014-15 Data'!$C19</f>
        <v>721.93474035273982</v>
      </c>
      <c r="G20" s="59">
        <f>'Scaled 2015-16 Data'!$C19</f>
        <v>809.11213135513538</v>
      </c>
      <c r="H20" s="59">
        <f>'Scaled 2016-17 Data'!$C19</f>
        <v>824.69733495133607</v>
      </c>
      <c r="I20" s="171">
        <f>'Scaled 2017-18 Data'!$C19</f>
        <v>840.13329492964942</v>
      </c>
      <c r="J20" s="171">
        <f>'Scaled 2018-19 Data'!$C19</f>
        <v>907.23497246041393</v>
      </c>
      <c r="K20" s="171">
        <f t="shared" si="0"/>
        <v>934.09900307747478</v>
      </c>
      <c r="L20" s="171">
        <f t="shared" si="0"/>
        <v>948.58301226711887</v>
      </c>
      <c r="M20" s="171">
        <f t="shared" si="0"/>
        <v>956.00375762561612</v>
      </c>
      <c r="N20" s="171">
        <f t="shared" si="0"/>
        <v>954.68621215670703</v>
      </c>
      <c r="O20" s="171">
        <f t="shared" si="0"/>
        <v>950.98511796321031</v>
      </c>
      <c r="P20" s="171">
        <f t="shared" si="0"/>
        <v>945.36484592706711</v>
      </c>
      <c r="Q20" s="171">
        <f t="shared" si="0"/>
        <v>936.54191781746079</v>
      </c>
      <c r="R20" s="199">
        <f t="shared" si="0"/>
        <v>924.96586883619739</v>
      </c>
      <c r="S20" s="56"/>
      <c r="T20" s="25" t="s">
        <v>13</v>
      </c>
      <c r="U20" s="58">
        <f>D62+'Vehicle Share Diversion Support'!D79+D144</f>
        <v>741.20365373043091</v>
      </c>
      <c r="V20" s="59">
        <f>E62+'Vehicle Share Diversion Support'!E79+E144</f>
        <v>753.77982188506166</v>
      </c>
      <c r="W20" s="59">
        <f>F62+'Vehicle Share Diversion Support'!F79+F144</f>
        <v>721.93474035273982</v>
      </c>
      <c r="X20" s="59">
        <f>G62+'Vehicle Share Diversion Support'!G79+G144</f>
        <v>809.11213135513538</v>
      </c>
      <c r="Y20" s="59">
        <f>H62+'Vehicle Share Diversion Support'!H79+H144</f>
        <v>824.69733495133607</v>
      </c>
      <c r="Z20" s="60">
        <f>I62+'Vehicle Share Diversion Support'!I79+I144</f>
        <v>840.13329492964954</v>
      </c>
      <c r="AA20" s="56"/>
    </row>
    <row r="21" spans="3:27" ht="36" thickTop="1" thickBot="1" x14ac:dyDescent="0.25">
      <c r="C21" s="31" t="s">
        <v>24</v>
      </c>
      <c r="D21" s="61">
        <f>SUM(D7:D20)</f>
        <v>30876.507147523433</v>
      </c>
      <c r="E21" s="62">
        <f t="shared" ref="E21:O21" si="1">SUM(E7:E20)</f>
        <v>31365.866909282631</v>
      </c>
      <c r="F21" s="62">
        <f t="shared" si="1"/>
        <v>32148.528181102916</v>
      </c>
      <c r="G21" s="62">
        <f t="shared" si="1"/>
        <v>33342.326549199053</v>
      </c>
      <c r="H21" s="62">
        <f t="shared" si="1"/>
        <v>34450.358212544888</v>
      </c>
      <c r="I21" s="62">
        <f t="shared" si="1"/>
        <v>35191.303685859981</v>
      </c>
      <c r="J21" s="62">
        <f t="shared" ref="J21" si="2">SUM(J7:J20)</f>
        <v>35623.168543882886</v>
      </c>
      <c r="K21" s="62">
        <f t="shared" si="1"/>
        <v>38264.236980732581</v>
      </c>
      <c r="L21" s="62">
        <f t="shared" si="1"/>
        <v>40532.428556798222</v>
      </c>
      <c r="M21" s="62">
        <f t="shared" si="1"/>
        <v>42560.50697772218</v>
      </c>
      <c r="N21" s="62">
        <f t="shared" si="1"/>
        <v>44261.60187558984</v>
      </c>
      <c r="O21" s="62">
        <f t="shared" si="1"/>
        <v>45911.510072381221</v>
      </c>
      <c r="P21" s="62">
        <f t="shared" ref="P21:R21" si="3">SUM(P7:P20)</f>
        <v>47538.700388557685</v>
      </c>
      <c r="Q21" s="62">
        <f t="shared" si="3"/>
        <v>49064.290491102409</v>
      </c>
      <c r="R21" s="63">
        <f t="shared" si="3"/>
        <v>50484.219844185398</v>
      </c>
      <c r="S21" s="56"/>
      <c r="T21" s="31" t="s">
        <v>24</v>
      </c>
      <c r="U21" s="61">
        <f>SUM(U7:U20)</f>
        <v>30876.507147523433</v>
      </c>
      <c r="V21" s="62">
        <f>SUM(V7:V20)</f>
        <v>31365.866909282631</v>
      </c>
      <c r="W21" s="62">
        <f>SUM(W7:W20)</f>
        <v>32148.528181102916</v>
      </c>
      <c r="X21" s="62">
        <f t="shared" ref="X21:Y21" si="4">SUM(X7:X20)</f>
        <v>33342.326549199053</v>
      </c>
      <c r="Y21" s="62">
        <f t="shared" si="4"/>
        <v>34450.358212544881</v>
      </c>
      <c r="Z21" s="63">
        <f t="shared" ref="Z21" si="5">SUM(Z7:Z20)</f>
        <v>35191.303685859988</v>
      </c>
      <c r="AA21" s="56"/>
    </row>
    <row r="22" spans="3:27" ht="19" thickTop="1" thickBot="1" x14ac:dyDescent="0.25">
      <c r="C22" s="31" t="s">
        <v>96</v>
      </c>
      <c r="D22" s="61">
        <f>'Scaled 2012-13 Data'!$C21</f>
        <v>30876.507147523433</v>
      </c>
      <c r="E22" s="62">
        <f>'Scaled 2013-14 Data'!$C21</f>
        <v>31365.866909282631</v>
      </c>
      <c r="F22" s="62">
        <f>'Scaled 2014-15 Data'!$C21</f>
        <v>32148.528181102916</v>
      </c>
      <c r="G22" s="62">
        <f>'Scaled 2015-16 Data'!$C21</f>
        <v>33342.326549199053</v>
      </c>
      <c r="H22" s="62">
        <f>'Scaled 2016-17 Data'!$C21</f>
        <v>34450.358212544888</v>
      </c>
      <c r="I22" s="62">
        <f>'Scaled 2017-18 Data'!$C21</f>
        <v>35191.303685859981</v>
      </c>
      <c r="J22" s="62">
        <f>'Scaled 2018-19 Data'!$C21</f>
        <v>35623.168543882886</v>
      </c>
      <c r="K22" s="62"/>
      <c r="L22" s="62"/>
      <c r="M22" s="62"/>
      <c r="N22" s="62"/>
      <c r="O22" s="62"/>
      <c r="P22" s="62"/>
      <c r="Q22" s="62"/>
      <c r="R22" s="63"/>
      <c r="S22" s="56"/>
      <c r="T22" s="130"/>
      <c r="U22" s="129"/>
      <c r="V22" s="129"/>
      <c r="W22" s="129"/>
    </row>
    <row r="23" spans="3:27" ht="14" thickTop="1" x14ac:dyDescent="0.15"/>
    <row r="24" spans="3:27" ht="14" thickBot="1" x14ac:dyDescent="0.2"/>
    <row r="25" spans="3:27" ht="17" thickTop="1" x14ac:dyDescent="0.2">
      <c r="C25" s="32" t="s">
        <v>161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S25" s="121"/>
    </row>
    <row r="26" spans="3:27" ht="14" thickBot="1" x14ac:dyDescent="0.2">
      <c r="C26" s="18"/>
      <c r="D26" s="65" t="s">
        <v>25</v>
      </c>
      <c r="E26" s="65" t="s">
        <v>37</v>
      </c>
      <c r="F26" s="65" t="s">
        <v>38</v>
      </c>
      <c r="G26" s="37" t="s">
        <v>177</v>
      </c>
      <c r="H26" s="37" t="s">
        <v>178</v>
      </c>
      <c r="I26" s="65" t="s">
        <v>26</v>
      </c>
      <c r="J26" s="65"/>
      <c r="K26" s="65" t="s">
        <v>27</v>
      </c>
      <c r="L26" s="65" t="s">
        <v>28</v>
      </c>
      <c r="M26" s="65" t="s">
        <v>29</v>
      </c>
      <c r="N26" s="65" t="s">
        <v>30</v>
      </c>
      <c r="O26" s="65" t="s">
        <v>31</v>
      </c>
      <c r="P26" s="37" t="s">
        <v>174</v>
      </c>
      <c r="Q26" s="37" t="s">
        <v>175</v>
      </c>
      <c r="R26" s="38" t="s">
        <v>176</v>
      </c>
      <c r="S26" s="65"/>
    </row>
    <row r="27" spans="3:27" ht="15" thickTop="1" thickBot="1" x14ac:dyDescent="0.2">
      <c r="C27" s="70"/>
      <c r="D27" s="71" t="s">
        <v>39</v>
      </c>
      <c r="E27" s="71" t="s">
        <v>39</v>
      </c>
      <c r="F27" s="71" t="s">
        <v>39</v>
      </c>
      <c r="G27" s="71" t="s">
        <v>39</v>
      </c>
      <c r="H27" s="71" t="s">
        <v>39</v>
      </c>
      <c r="I27" s="71" t="s">
        <v>39</v>
      </c>
      <c r="J27" s="71" t="s">
        <v>39</v>
      </c>
      <c r="K27" s="71" t="s">
        <v>32</v>
      </c>
      <c r="L27" s="71" t="s">
        <v>32</v>
      </c>
      <c r="M27" s="71" t="s">
        <v>32</v>
      </c>
      <c r="N27" s="71" t="s">
        <v>32</v>
      </c>
      <c r="O27" s="71" t="s">
        <v>32</v>
      </c>
      <c r="P27" s="65" t="s">
        <v>32</v>
      </c>
      <c r="Q27" s="65" t="s">
        <v>32</v>
      </c>
      <c r="R27" s="66" t="s">
        <v>32</v>
      </c>
      <c r="S27" s="65"/>
    </row>
    <row r="28" spans="3:27" ht="17" thickTop="1" x14ac:dyDescent="0.2">
      <c r="C28" s="24" t="s">
        <v>0</v>
      </c>
      <c r="D28" s="42">
        <f t="shared" ref="D28:R41" si="6">D69+D110+D151</f>
        <v>91713.464893012046</v>
      </c>
      <c r="E28" s="43">
        <f t="shared" si="6"/>
        <v>93324.775598985783</v>
      </c>
      <c r="F28" s="43">
        <f t="shared" si="6"/>
        <v>94196.630460054497</v>
      </c>
      <c r="G28" s="43">
        <f t="shared" ref="G28:H28" si="7">G69+G110+G151</f>
        <v>97582.98914850055</v>
      </c>
      <c r="H28" s="43">
        <f t="shared" si="7"/>
        <v>101765.09689922327</v>
      </c>
      <c r="I28" s="43">
        <f t="shared" si="6"/>
        <v>102206.65586418906</v>
      </c>
      <c r="J28" s="43">
        <f t="shared" ref="J28" si="8">J69+J110+J151</f>
        <v>105206.47997845605</v>
      </c>
      <c r="K28" s="43">
        <f t="shared" si="6"/>
        <v>110799.38841243065</v>
      </c>
      <c r="L28" s="43">
        <f t="shared" si="6"/>
        <v>113210.14717836017</v>
      </c>
      <c r="M28" s="43">
        <f t="shared" si="6"/>
        <v>114419.25503029516</v>
      </c>
      <c r="N28" s="43">
        <f t="shared" si="6"/>
        <v>114129.29302964319</v>
      </c>
      <c r="O28" s="43">
        <f t="shared" si="6"/>
        <v>113662.077273241</v>
      </c>
      <c r="P28" s="40">
        <f t="shared" si="6"/>
        <v>111182.8131706853</v>
      </c>
      <c r="Q28" s="40">
        <f t="shared" si="6"/>
        <v>108315.20562706757</v>
      </c>
      <c r="R28" s="41">
        <f t="shared" si="6"/>
        <v>105144.27715065924</v>
      </c>
      <c r="S28" s="43"/>
    </row>
    <row r="29" spans="3:27" ht="16" x14ac:dyDescent="0.2">
      <c r="C29" s="24" t="s">
        <v>1</v>
      </c>
      <c r="D29" s="42">
        <f t="shared" ref="D29:O29" si="9">D70+D111+D152</f>
        <v>904428.99926747009</v>
      </c>
      <c r="E29" s="43">
        <f t="shared" si="9"/>
        <v>934998.19783658464</v>
      </c>
      <c r="F29" s="43">
        <f t="shared" si="9"/>
        <v>986330.2795077567</v>
      </c>
      <c r="G29" s="43">
        <f t="shared" ref="G29:H29" si="10">G70+G111+G152</f>
        <v>1028312.0528901184</v>
      </c>
      <c r="H29" s="43">
        <f t="shared" si="10"/>
        <v>1071086.7020497273</v>
      </c>
      <c r="I29" s="43">
        <f t="shared" si="9"/>
        <v>1099389.8462932068</v>
      </c>
      <c r="J29" s="43">
        <f t="shared" ref="J29" si="11">J70+J111+J152</f>
        <v>1118800.6469146463</v>
      </c>
      <c r="K29" s="43">
        <f t="shared" si="9"/>
        <v>1233030.3246322102</v>
      </c>
      <c r="L29" s="43">
        <f t="shared" si="9"/>
        <v>1320293.2991691255</v>
      </c>
      <c r="M29" s="43">
        <f t="shared" si="9"/>
        <v>1389959.4640037816</v>
      </c>
      <c r="N29" s="43">
        <f t="shared" si="9"/>
        <v>1445208.5618568086</v>
      </c>
      <c r="O29" s="43">
        <f t="shared" si="9"/>
        <v>1497129.3872076173</v>
      </c>
      <c r="P29" s="43">
        <f t="shared" si="6"/>
        <v>1528311.7693521851</v>
      </c>
      <c r="Q29" s="43">
        <f t="shared" si="6"/>
        <v>1553896.6804223997</v>
      </c>
      <c r="R29" s="44">
        <f t="shared" si="6"/>
        <v>1573808.3448214168</v>
      </c>
      <c r="S29" s="43"/>
    </row>
    <row r="30" spans="3:27" ht="16" x14ac:dyDescent="0.2">
      <c r="C30" s="24" t="s">
        <v>2</v>
      </c>
      <c r="D30" s="42">
        <f t="shared" ref="D30:O30" si="12">D71+D112+D153</f>
        <v>253708.3905775474</v>
      </c>
      <c r="E30" s="43">
        <f t="shared" si="12"/>
        <v>262025.10431327124</v>
      </c>
      <c r="F30" s="43">
        <f t="shared" si="12"/>
        <v>269520.68950446276</v>
      </c>
      <c r="G30" s="43">
        <f t="shared" ref="G30:H30" si="13">G71+G112+G153</f>
        <v>280088.57157439587</v>
      </c>
      <c r="H30" s="43">
        <f t="shared" si="13"/>
        <v>289546.25818112877</v>
      </c>
      <c r="I30" s="43">
        <f t="shared" si="12"/>
        <v>298277.9854340984</v>
      </c>
      <c r="J30" s="43">
        <f t="shared" ref="J30" si="14">J71+J112+J153</f>
        <v>305864.38534855103</v>
      </c>
      <c r="K30" s="43">
        <f t="shared" si="12"/>
        <v>326959.42766396992</v>
      </c>
      <c r="L30" s="43">
        <f t="shared" si="12"/>
        <v>341686.67476965877</v>
      </c>
      <c r="M30" s="43">
        <f t="shared" si="12"/>
        <v>352642.47379989986</v>
      </c>
      <c r="N30" s="43">
        <f t="shared" si="12"/>
        <v>359508.7501611794</v>
      </c>
      <c r="O30" s="43">
        <f t="shared" si="12"/>
        <v>365889.1251404651</v>
      </c>
      <c r="P30" s="43">
        <f t="shared" si="6"/>
        <v>366308.63264395646</v>
      </c>
      <c r="Q30" s="43">
        <f t="shared" si="6"/>
        <v>365345.31908603496</v>
      </c>
      <c r="R30" s="44">
        <f t="shared" si="6"/>
        <v>363164.20700417447</v>
      </c>
      <c r="S30" s="43"/>
    </row>
    <row r="31" spans="3:27" ht="16" x14ac:dyDescent="0.2">
      <c r="C31" s="24" t="s">
        <v>3</v>
      </c>
      <c r="D31" s="42">
        <f t="shared" ref="D31:O31" si="15">D72+D113+D154</f>
        <v>190716.64542557212</v>
      </c>
      <c r="E31" s="43">
        <f t="shared" si="15"/>
        <v>194770.81563154369</v>
      </c>
      <c r="F31" s="43">
        <f t="shared" si="15"/>
        <v>198973.04140943356</v>
      </c>
      <c r="G31" s="43">
        <f t="shared" ref="G31:H31" si="16">G72+G113+G154</f>
        <v>207260.68245067552</v>
      </c>
      <c r="H31" s="43">
        <f t="shared" si="16"/>
        <v>215852.6760991</v>
      </c>
      <c r="I31" s="43">
        <f t="shared" si="15"/>
        <v>223045.35795828336</v>
      </c>
      <c r="J31" s="43">
        <f t="shared" ref="J31" si="17">J72+J113+J154</f>
        <v>229878.37104344749</v>
      </c>
      <c r="K31" s="43">
        <f t="shared" si="15"/>
        <v>244168.53747827478</v>
      </c>
      <c r="L31" s="43">
        <f t="shared" si="15"/>
        <v>252212.12211712037</v>
      </c>
      <c r="M31" s="43">
        <f t="shared" si="15"/>
        <v>257775.74098709106</v>
      </c>
      <c r="N31" s="43">
        <f t="shared" si="15"/>
        <v>260357.94207899898</v>
      </c>
      <c r="O31" s="43">
        <f t="shared" si="15"/>
        <v>262761.50380245835</v>
      </c>
      <c r="P31" s="43">
        <f t="shared" si="6"/>
        <v>260609.01417632113</v>
      </c>
      <c r="Q31" s="43">
        <f t="shared" si="6"/>
        <v>257473.33952566591</v>
      </c>
      <c r="R31" s="44">
        <f t="shared" si="6"/>
        <v>253500.72174220625</v>
      </c>
      <c r="S31" s="43"/>
    </row>
    <row r="32" spans="3:27" ht="16" x14ac:dyDescent="0.2">
      <c r="C32" s="24" t="s">
        <v>4</v>
      </c>
      <c r="D32" s="42">
        <f t="shared" ref="D32:O32" si="18">D73+D114+D155</f>
        <v>23126.668107763591</v>
      </c>
      <c r="E32" s="43">
        <f t="shared" si="18"/>
        <v>23217.431891646927</v>
      </c>
      <c r="F32" s="43">
        <f t="shared" si="18"/>
        <v>23405.72539442877</v>
      </c>
      <c r="G32" s="43">
        <f t="shared" ref="G32:H32" si="19">G73+G114+G155</f>
        <v>23624.265187643876</v>
      </c>
      <c r="H32" s="43">
        <f t="shared" si="19"/>
        <v>24065.902415665314</v>
      </c>
      <c r="I32" s="43">
        <f t="shared" si="18"/>
        <v>28047.842537761546</v>
      </c>
      <c r="J32" s="43">
        <f t="shared" ref="J32" si="20">J73+J114+J155</f>
        <v>27723.488420871221</v>
      </c>
      <c r="K32" s="43">
        <f t="shared" si="18"/>
        <v>28657.67964665368</v>
      </c>
      <c r="L32" s="43">
        <f t="shared" si="18"/>
        <v>29106.326879066517</v>
      </c>
      <c r="M32" s="43">
        <f t="shared" si="18"/>
        <v>29067.795547781865</v>
      </c>
      <c r="N32" s="43">
        <f t="shared" si="18"/>
        <v>28696.389345997453</v>
      </c>
      <c r="O32" s="43">
        <f t="shared" si="18"/>
        <v>28289.241738904973</v>
      </c>
      <c r="P32" s="43">
        <f t="shared" si="6"/>
        <v>27188.92298427696</v>
      </c>
      <c r="Q32" s="43">
        <f t="shared" si="6"/>
        <v>26019.878547199965</v>
      </c>
      <c r="R32" s="44">
        <f t="shared" si="6"/>
        <v>24807.066460167956</v>
      </c>
      <c r="S32" s="43"/>
    </row>
    <row r="33" spans="3:25" ht="16" x14ac:dyDescent="0.2">
      <c r="C33" s="24" t="s">
        <v>5</v>
      </c>
      <c r="D33" s="42">
        <f t="shared" ref="D33:O33" si="21">D74+D115+D156</f>
        <v>93758.713320707408</v>
      </c>
      <c r="E33" s="43">
        <f t="shared" si="21"/>
        <v>95008.64386366964</v>
      </c>
      <c r="F33" s="43">
        <f t="shared" si="21"/>
        <v>96473.817627271928</v>
      </c>
      <c r="G33" s="43">
        <f t="shared" ref="G33:H33" si="22">G74+G115+G156</f>
        <v>99724.412551312154</v>
      </c>
      <c r="H33" s="43">
        <f t="shared" si="22"/>
        <v>103573.47825243467</v>
      </c>
      <c r="I33" s="43">
        <f t="shared" si="21"/>
        <v>106554.49044090102</v>
      </c>
      <c r="J33" s="43">
        <f t="shared" ref="J33" si="23">J74+J115+J156</f>
        <v>108975.21868043537</v>
      </c>
      <c r="K33" s="43">
        <f t="shared" si="21"/>
        <v>113180.78639389138</v>
      </c>
      <c r="L33" s="43">
        <f t="shared" si="21"/>
        <v>114098.45430741431</v>
      </c>
      <c r="M33" s="43">
        <f t="shared" si="21"/>
        <v>113766.12789977665</v>
      </c>
      <c r="N33" s="43">
        <f t="shared" si="21"/>
        <v>112123.4725839476</v>
      </c>
      <c r="O33" s="43">
        <f t="shared" si="21"/>
        <v>110496.34412618187</v>
      </c>
      <c r="P33" s="43">
        <f t="shared" si="6"/>
        <v>106904.62753177391</v>
      </c>
      <c r="Q33" s="43">
        <f t="shared" si="6"/>
        <v>103010.49830083446</v>
      </c>
      <c r="R33" s="44">
        <f t="shared" si="6"/>
        <v>98895.614469571141</v>
      </c>
      <c r="S33" s="43"/>
    </row>
    <row r="34" spans="3:25" ht="16" x14ac:dyDescent="0.2">
      <c r="C34" s="24" t="s">
        <v>6</v>
      </c>
      <c r="D34" s="42">
        <f t="shared" ref="D34:O34" si="24">D75+D116+D157</f>
        <v>69451.525688855065</v>
      </c>
      <c r="E34" s="43">
        <f t="shared" si="24"/>
        <v>71248.74605249372</v>
      </c>
      <c r="F34" s="43">
        <f t="shared" si="24"/>
        <v>72111.388099147982</v>
      </c>
      <c r="G34" s="43">
        <f t="shared" ref="G34:H34" si="25">G75+G116+G157</f>
        <v>73341.929510876929</v>
      </c>
      <c r="H34" s="43">
        <f t="shared" si="25"/>
        <v>74622.465096603424</v>
      </c>
      <c r="I34" s="43">
        <f t="shared" si="24"/>
        <v>78906.824564681185</v>
      </c>
      <c r="J34" s="43">
        <f t="shared" ref="J34" si="26">J75+J116+J157</f>
        <v>80319.784820278757</v>
      </c>
      <c r="K34" s="43">
        <f t="shared" si="24"/>
        <v>83667.642724742414</v>
      </c>
      <c r="L34" s="43">
        <f t="shared" si="24"/>
        <v>84679.518500631326</v>
      </c>
      <c r="M34" s="43">
        <f t="shared" si="24"/>
        <v>84626.667616197097</v>
      </c>
      <c r="N34" s="43">
        <f t="shared" si="24"/>
        <v>84162.337426992439</v>
      </c>
      <c r="O34" s="43">
        <f t="shared" si="24"/>
        <v>83586.838363170362</v>
      </c>
      <c r="P34" s="43">
        <f t="shared" si="6"/>
        <v>81544.201535950167</v>
      </c>
      <c r="Q34" s="43">
        <f t="shared" si="6"/>
        <v>79204.786263360409</v>
      </c>
      <c r="R34" s="44">
        <f t="shared" si="6"/>
        <v>76631.401106156118</v>
      </c>
      <c r="S34" s="43"/>
    </row>
    <row r="35" spans="3:25" ht="16" x14ac:dyDescent="0.2">
      <c r="C35" s="24" t="s">
        <v>7</v>
      </c>
      <c r="D35" s="42">
        <f t="shared" ref="D35:O35" si="27">D76+D117+D158</f>
        <v>139274.67627156415</v>
      </c>
      <c r="E35" s="43">
        <f t="shared" si="27"/>
        <v>141034.7020355569</v>
      </c>
      <c r="F35" s="43">
        <f t="shared" si="27"/>
        <v>144001.33297474484</v>
      </c>
      <c r="G35" s="43">
        <f t="shared" ref="G35:H35" si="28">G76+G117+G158</f>
        <v>147754.97087728701</v>
      </c>
      <c r="H35" s="43">
        <f t="shared" si="28"/>
        <v>151839.60183523435</v>
      </c>
      <c r="I35" s="43">
        <f t="shared" si="27"/>
        <v>155520.67155160938</v>
      </c>
      <c r="J35" s="43">
        <f t="shared" ref="J35" si="29">J76+J117+J158</f>
        <v>159525.84004560573</v>
      </c>
      <c r="K35" s="43">
        <f t="shared" si="27"/>
        <v>164851.40581306329</v>
      </c>
      <c r="L35" s="43">
        <f t="shared" si="27"/>
        <v>165425.31352051298</v>
      </c>
      <c r="M35" s="43">
        <f t="shared" si="27"/>
        <v>164766.24830582939</v>
      </c>
      <c r="N35" s="43">
        <f t="shared" si="27"/>
        <v>162110.54369775773</v>
      </c>
      <c r="O35" s="43">
        <f t="shared" si="27"/>
        <v>159447.49738849082</v>
      </c>
      <c r="P35" s="43">
        <f t="shared" si="6"/>
        <v>153830.43214442232</v>
      </c>
      <c r="Q35" s="43">
        <f t="shared" si="6"/>
        <v>147799.66219964364</v>
      </c>
      <c r="R35" s="44">
        <f t="shared" si="6"/>
        <v>141486.20740120288</v>
      </c>
      <c r="S35" s="43"/>
    </row>
    <row r="36" spans="3:25" ht="16" x14ac:dyDescent="0.2">
      <c r="C36" s="24" t="s">
        <v>8</v>
      </c>
      <c r="D36" s="42">
        <f t="shared" ref="D36:O36" si="30">D77+D118+D159</f>
        <v>269941.21123099572</v>
      </c>
      <c r="E36" s="43">
        <f t="shared" si="30"/>
        <v>274377.7074276206</v>
      </c>
      <c r="F36" s="43">
        <f t="shared" si="30"/>
        <v>280350.76942295092</v>
      </c>
      <c r="G36" s="43">
        <f t="shared" ref="G36:H36" si="31">G77+G118+G159</f>
        <v>288125.52365635848</v>
      </c>
      <c r="H36" s="43">
        <f t="shared" si="31"/>
        <v>296978.62028349703</v>
      </c>
      <c r="I36" s="43">
        <f t="shared" si="30"/>
        <v>305214.6413965227</v>
      </c>
      <c r="J36" s="43">
        <f t="shared" ref="J36" si="32">J77+J118+J159</f>
        <v>313035.7096941229</v>
      </c>
      <c r="K36" s="43">
        <f t="shared" si="30"/>
        <v>327726.75963475922</v>
      </c>
      <c r="L36" s="43">
        <f t="shared" si="30"/>
        <v>334203.76386443502</v>
      </c>
      <c r="M36" s="43">
        <f t="shared" si="30"/>
        <v>336054.17599562131</v>
      </c>
      <c r="N36" s="43">
        <f t="shared" si="30"/>
        <v>335882.87936051731</v>
      </c>
      <c r="O36" s="43">
        <f t="shared" si="30"/>
        <v>335295.29272076301</v>
      </c>
      <c r="P36" s="43">
        <f t="shared" si="6"/>
        <v>329135.86986590584</v>
      </c>
      <c r="Q36" s="43">
        <f t="shared" si="6"/>
        <v>321808.6829647983</v>
      </c>
      <c r="R36" s="44">
        <f t="shared" si="6"/>
        <v>313520.73781144136</v>
      </c>
      <c r="S36" s="43"/>
    </row>
    <row r="37" spans="3:25" ht="16" x14ac:dyDescent="0.2">
      <c r="C37" s="24" t="s">
        <v>9</v>
      </c>
      <c r="D37" s="42">
        <f t="shared" ref="D37:O37" si="33">D78+D119+D160</f>
        <v>98291.042849623642</v>
      </c>
      <c r="E37" s="43">
        <f t="shared" si="33"/>
        <v>100904.43973250425</v>
      </c>
      <c r="F37" s="43">
        <f t="shared" si="33"/>
        <v>104343.71158157702</v>
      </c>
      <c r="G37" s="43">
        <f t="shared" ref="G37:H37" si="34">G78+G119+G160</f>
        <v>111405.17112887486</v>
      </c>
      <c r="H37" s="43">
        <f t="shared" si="34"/>
        <v>118346.59763067833</v>
      </c>
      <c r="I37" s="43">
        <f t="shared" si="33"/>
        <v>122105.84680285621</v>
      </c>
      <c r="J37" s="43">
        <f t="shared" ref="J37" si="35">J78+J119+J160</f>
        <v>126013.61472184883</v>
      </c>
      <c r="K37" s="43">
        <f t="shared" si="33"/>
        <v>132020.11563338657</v>
      </c>
      <c r="L37" s="43">
        <f t="shared" si="33"/>
        <v>135199.84154934812</v>
      </c>
      <c r="M37" s="43">
        <f t="shared" si="33"/>
        <v>136179.72082744638</v>
      </c>
      <c r="N37" s="43">
        <f t="shared" si="33"/>
        <v>135168.38788254527</v>
      </c>
      <c r="O37" s="43">
        <f t="shared" si="33"/>
        <v>134055.37480125349</v>
      </c>
      <c r="P37" s="43">
        <f t="shared" si="6"/>
        <v>131290.0583285717</v>
      </c>
      <c r="Q37" s="43">
        <f t="shared" si="6"/>
        <v>128099.5172735636</v>
      </c>
      <c r="R37" s="44">
        <f t="shared" si="6"/>
        <v>124555.79725878575</v>
      </c>
      <c r="S37" s="43"/>
    </row>
    <row r="38" spans="3:25" ht="16" x14ac:dyDescent="0.2">
      <c r="C38" s="24" t="s">
        <v>10</v>
      </c>
      <c r="D38" s="42">
        <f t="shared" ref="D38:O38" si="36">D79+D120+D161</f>
        <v>20211.486758786436</v>
      </c>
      <c r="E38" s="43">
        <f t="shared" si="36"/>
        <v>20308.839683256312</v>
      </c>
      <c r="F38" s="43">
        <f t="shared" si="36"/>
        <v>20099.976351351324</v>
      </c>
      <c r="G38" s="43">
        <f t="shared" ref="G38:H38" si="37">G79+G120+G161</f>
        <v>20038.230111005221</v>
      </c>
      <c r="H38" s="43">
        <f t="shared" si="37"/>
        <v>20011.282625412703</v>
      </c>
      <c r="I38" s="43">
        <f t="shared" si="36"/>
        <v>20587.931435478917</v>
      </c>
      <c r="J38" s="43">
        <f t="shared" ref="J38" si="38">J79+J120+J161</f>
        <v>21113.00615738596</v>
      </c>
      <c r="K38" s="43">
        <f t="shared" si="36"/>
        <v>21375.342992481055</v>
      </c>
      <c r="L38" s="43">
        <f t="shared" si="36"/>
        <v>21244.378185366775</v>
      </c>
      <c r="M38" s="43">
        <f t="shared" si="36"/>
        <v>20523.935817883139</v>
      </c>
      <c r="N38" s="43">
        <f t="shared" si="36"/>
        <v>19871.901545080782</v>
      </c>
      <c r="O38" s="43">
        <f t="shared" si="36"/>
        <v>19253.938258236514</v>
      </c>
      <c r="P38" s="43">
        <f t="shared" si="6"/>
        <v>18342.603792427311</v>
      </c>
      <c r="Q38" s="43">
        <f t="shared" si="6"/>
        <v>17407.331445180222</v>
      </c>
      <c r="R38" s="44">
        <f t="shared" si="6"/>
        <v>16464.045958807841</v>
      </c>
      <c r="S38" s="43"/>
    </row>
    <row r="39" spans="3:25" ht="16" x14ac:dyDescent="0.2">
      <c r="C39" s="24" t="s">
        <v>11</v>
      </c>
      <c r="D39" s="42">
        <f t="shared" ref="D39:O39" si="39">D80+D121+D162</f>
        <v>417220.54449135647</v>
      </c>
      <c r="E39" s="43">
        <f t="shared" si="39"/>
        <v>427716.07596900687</v>
      </c>
      <c r="F39" s="43">
        <f t="shared" si="39"/>
        <v>442383.78577375499</v>
      </c>
      <c r="G39" s="43">
        <f t="shared" ref="G39:H39" si="40">G80+G121+G162</f>
        <v>456210.64611427183</v>
      </c>
      <c r="H39" s="43">
        <f t="shared" si="40"/>
        <v>469285.89001709939</v>
      </c>
      <c r="I39" s="43">
        <f t="shared" si="39"/>
        <v>482481.62643419538</v>
      </c>
      <c r="J39" s="43">
        <f t="shared" ref="J39" si="41">J80+J121+J162</f>
        <v>493983.84390772949</v>
      </c>
      <c r="K39" s="43">
        <f t="shared" si="39"/>
        <v>530799.99920343456</v>
      </c>
      <c r="L39" s="43">
        <f t="shared" si="39"/>
        <v>555920.56676711049</v>
      </c>
      <c r="M39" s="43">
        <f t="shared" si="39"/>
        <v>574342.50650671951</v>
      </c>
      <c r="N39" s="43">
        <f t="shared" si="39"/>
        <v>586995.49391360977</v>
      </c>
      <c r="O39" s="43">
        <f t="shared" si="39"/>
        <v>598851.3997212206</v>
      </c>
      <c r="P39" s="43">
        <f t="shared" si="6"/>
        <v>602411.9706110867</v>
      </c>
      <c r="Q39" s="43">
        <f t="shared" si="6"/>
        <v>603710.70057304017</v>
      </c>
      <c r="R39" s="44">
        <f t="shared" si="6"/>
        <v>602915.22631597368</v>
      </c>
      <c r="S39" s="43"/>
    </row>
    <row r="40" spans="3:25" ht="16" x14ac:dyDescent="0.2">
      <c r="C40" s="24" t="s">
        <v>12</v>
      </c>
      <c r="D40" s="42">
        <f t="shared" ref="D40:O40" si="42">D81+D122+D163</f>
        <v>124054.62653750034</v>
      </c>
      <c r="E40" s="43">
        <f t="shared" si="42"/>
        <v>127353.7189360058</v>
      </c>
      <c r="F40" s="43">
        <f t="shared" si="42"/>
        <v>130398.94878520636</v>
      </c>
      <c r="G40" s="43">
        <f t="shared" ref="G40:H40" si="43">G81+G122+G163</f>
        <v>135535.7282436839</v>
      </c>
      <c r="H40" s="43">
        <f t="shared" si="43"/>
        <v>147018.86838559131</v>
      </c>
      <c r="I40" s="43">
        <f t="shared" si="42"/>
        <v>148583.35081012006</v>
      </c>
      <c r="J40" s="43">
        <f t="shared" ref="J40" si="44">J81+J122+J163</f>
        <v>152815.36435975332</v>
      </c>
      <c r="K40" s="43">
        <f t="shared" si="42"/>
        <v>161527.91501618092</v>
      </c>
      <c r="L40" s="43">
        <f t="shared" si="42"/>
        <v>166246.99491308993</v>
      </c>
      <c r="M40" s="43">
        <f t="shared" si="42"/>
        <v>168788.88479069967</v>
      </c>
      <c r="N40" s="43">
        <f t="shared" si="42"/>
        <v>169642.48220436415</v>
      </c>
      <c r="O40" s="43">
        <f t="shared" si="42"/>
        <v>170247.38996095574</v>
      </c>
      <c r="P40" s="43">
        <f t="shared" si="6"/>
        <v>168372.15873755692</v>
      </c>
      <c r="Q40" s="43">
        <f t="shared" si="6"/>
        <v>165880.20946541164</v>
      </c>
      <c r="R40" s="44">
        <f t="shared" si="6"/>
        <v>162846.45491638081</v>
      </c>
      <c r="S40" s="43"/>
    </row>
    <row r="41" spans="3:25" ht="17" thickBot="1" x14ac:dyDescent="0.25">
      <c r="C41" s="25" t="s">
        <v>13</v>
      </c>
      <c r="D41" s="45">
        <f t="shared" ref="D41:O41" si="45">D82+D123+D164</f>
        <v>66159.004579245346</v>
      </c>
      <c r="E41" s="46">
        <f t="shared" si="45"/>
        <v>66955.801027853624</v>
      </c>
      <c r="F41" s="46">
        <f t="shared" si="45"/>
        <v>67921.903107858132</v>
      </c>
      <c r="G41" s="46">
        <f t="shared" ref="G41:H41" si="46">G82+G123+G164</f>
        <v>69656.826554995292</v>
      </c>
      <c r="H41" s="46">
        <f t="shared" si="46"/>
        <v>71140.560228604518</v>
      </c>
      <c r="I41" s="46">
        <f t="shared" si="45"/>
        <v>72211.663855171661</v>
      </c>
      <c r="J41" s="46">
        <f t="shared" ref="J41" si="47">J82+J123+J164</f>
        <v>74095.534416415045</v>
      </c>
      <c r="K41" s="46">
        <f t="shared" si="45"/>
        <v>76113.485356905439</v>
      </c>
      <c r="L41" s="46">
        <f t="shared" si="45"/>
        <v>76117.891819910335</v>
      </c>
      <c r="M41" s="46">
        <f t="shared" si="45"/>
        <v>75380.012490331676</v>
      </c>
      <c r="N41" s="46">
        <f t="shared" si="45"/>
        <v>73796.598057794923</v>
      </c>
      <c r="O41" s="46">
        <f t="shared" si="45"/>
        <v>72099.822357893951</v>
      </c>
      <c r="P41" s="46">
        <f t="shared" si="6"/>
        <v>69236.85691720566</v>
      </c>
      <c r="Q41" s="46">
        <f t="shared" si="6"/>
        <v>66216.293195402512</v>
      </c>
      <c r="R41" s="47">
        <f t="shared" si="6"/>
        <v>63099.05233721406</v>
      </c>
      <c r="S41" s="43"/>
    </row>
    <row r="42" spans="3:25" ht="19" thickTop="1" thickBot="1" x14ac:dyDescent="0.25">
      <c r="C42" s="20" t="s">
        <v>24</v>
      </c>
      <c r="D42" s="48">
        <f t="shared" ref="D42:R42" si="48">SUM(D28:D41)</f>
        <v>2762057</v>
      </c>
      <c r="E42" s="48">
        <f t="shared" si="48"/>
        <v>2833244.9999999995</v>
      </c>
      <c r="F42" s="48">
        <f t="shared" si="48"/>
        <v>2930512.0000000005</v>
      </c>
      <c r="G42" s="48">
        <f t="shared" si="48"/>
        <v>3038662</v>
      </c>
      <c r="H42" s="48">
        <f t="shared" si="48"/>
        <v>3155133.9999999995</v>
      </c>
      <c r="I42" s="48">
        <f t="shared" si="48"/>
        <v>3243134.7353790756</v>
      </c>
      <c r="J42" s="48">
        <f t="shared" ref="J42" si="49">SUM(J28:J41)</f>
        <v>3317351.2885095472</v>
      </c>
      <c r="K42" s="48">
        <f t="shared" si="48"/>
        <v>3554878.8106023842</v>
      </c>
      <c r="L42" s="48">
        <f t="shared" si="48"/>
        <v>3709645.2935411506</v>
      </c>
      <c r="M42" s="48">
        <f t="shared" si="48"/>
        <v>3818293.0096193543</v>
      </c>
      <c r="N42" s="48">
        <f t="shared" si="48"/>
        <v>3887655.0331452377</v>
      </c>
      <c r="O42" s="48">
        <f t="shared" si="48"/>
        <v>3951065.2328608534</v>
      </c>
      <c r="P42" s="48">
        <f t="shared" si="48"/>
        <v>3954669.9317923249</v>
      </c>
      <c r="Q42" s="48">
        <f t="shared" si="48"/>
        <v>3944188.1048896029</v>
      </c>
      <c r="R42" s="49">
        <f t="shared" si="48"/>
        <v>3920839.1547541586</v>
      </c>
      <c r="S42" s="43"/>
      <c r="U42" t="s">
        <v>64</v>
      </c>
      <c r="Y42" t="s">
        <v>64</v>
      </c>
    </row>
    <row r="43" spans="3:25" ht="14" thickTop="1" x14ac:dyDescent="0.15"/>
    <row r="45" spans="3:25" ht="14" thickBot="1" x14ac:dyDescent="0.2"/>
    <row r="46" spans="3:25" ht="17" thickTop="1" x14ac:dyDescent="0.2">
      <c r="C46" s="32" t="s">
        <v>58</v>
      </c>
      <c r="D46" s="33"/>
      <c r="E46" s="33"/>
      <c r="F46" s="33"/>
      <c r="G46" s="33"/>
      <c r="H46" s="33"/>
      <c r="I46" s="33"/>
      <c r="J46" s="33"/>
      <c r="K46" s="34"/>
      <c r="L46" s="34"/>
      <c r="M46" s="34"/>
      <c r="N46" s="34"/>
      <c r="O46" s="34"/>
      <c r="P46" s="34"/>
      <c r="Q46" s="34"/>
      <c r="R46" s="35"/>
      <c r="S46" s="121"/>
    </row>
    <row r="47" spans="3:25" ht="14" thickBot="1" x14ac:dyDescent="0.2">
      <c r="C47" s="36"/>
      <c r="D47" s="37" t="s">
        <v>25</v>
      </c>
      <c r="E47" s="37" t="s">
        <v>37</v>
      </c>
      <c r="F47" s="37" t="s">
        <v>38</v>
      </c>
      <c r="G47" s="37" t="s">
        <v>177</v>
      </c>
      <c r="H47" s="37" t="s">
        <v>178</v>
      </c>
      <c r="I47" s="37" t="s">
        <v>26</v>
      </c>
      <c r="J47" s="37"/>
      <c r="K47" s="37" t="s">
        <v>27</v>
      </c>
      <c r="L47" s="37" t="s">
        <v>28</v>
      </c>
      <c r="M47" s="37" t="s">
        <v>29</v>
      </c>
      <c r="N47" s="37" t="s">
        <v>30</v>
      </c>
      <c r="O47" s="37" t="s">
        <v>31</v>
      </c>
      <c r="P47" s="37" t="s">
        <v>174</v>
      </c>
      <c r="Q47" s="37" t="s">
        <v>175</v>
      </c>
      <c r="R47" s="38" t="s">
        <v>176</v>
      </c>
      <c r="S47" s="65"/>
    </row>
    <row r="48" spans="3:25" ht="15" thickTop="1" thickBot="1" x14ac:dyDescent="0.2">
      <c r="C48" s="70"/>
      <c r="D48" s="65" t="s">
        <v>39</v>
      </c>
      <c r="E48" s="65" t="s">
        <v>39</v>
      </c>
      <c r="F48" s="65" t="s">
        <v>39</v>
      </c>
      <c r="G48" s="65" t="s">
        <v>39</v>
      </c>
      <c r="H48" s="65" t="s">
        <v>39</v>
      </c>
      <c r="I48" s="65" t="s">
        <v>39</v>
      </c>
      <c r="J48" s="65" t="s">
        <v>39</v>
      </c>
      <c r="K48" s="65" t="s">
        <v>32</v>
      </c>
      <c r="L48" s="65" t="s">
        <v>32</v>
      </c>
      <c r="M48" s="65" t="s">
        <v>32</v>
      </c>
      <c r="N48" s="65" t="s">
        <v>32</v>
      </c>
      <c r="O48" s="65" t="s">
        <v>32</v>
      </c>
      <c r="P48" s="65" t="s">
        <v>32</v>
      </c>
      <c r="Q48" s="65" t="s">
        <v>32</v>
      </c>
      <c r="R48" s="66" t="s">
        <v>32</v>
      </c>
      <c r="S48" s="65"/>
    </row>
    <row r="49" spans="3:19" ht="17" thickTop="1" x14ac:dyDescent="0.2">
      <c r="C49" s="24" t="s">
        <v>0</v>
      </c>
      <c r="D49" s="52">
        <f>D7*('[1]12_13 fleet'!$D302/'Original 2012-13 Data'!$C6)/1000000</f>
        <v>1008.4116946143531</v>
      </c>
      <c r="E49" s="53">
        <f>E7*('[2]13_14 fleet'!$D304/'Original 2013-14 Data'!$C6)/1000000</f>
        <v>1055.2873416177549</v>
      </c>
      <c r="F49" s="53">
        <f>F7*('[3]14_15 fleet'!$D304/'Original 2014-15 Data'!$C6)/1000000</f>
        <v>1087.3917419355175</v>
      </c>
      <c r="G49" s="53">
        <f>G7*('[4]15_16 fleet'!$D304/'Original 2015-16 Data'!$C6)/1000000</f>
        <v>1147.1728337050829</v>
      </c>
      <c r="H49" s="53">
        <f>H7*('[5]16_17 fleet_v2'!$D304/'Original 2016-17 Data'!$C6)/1000000</f>
        <v>1157.1124032553817</v>
      </c>
      <c r="I49" s="129">
        <f>I7*('[6]17_18 fleet_v3'!$D354/'Original 2017-18 Data'!$C6)/1000000</f>
        <v>1250.8847112831284</v>
      </c>
      <c r="J49" s="129">
        <f>J7*('[7]18_19 fleet_v3'!$D354/'Original 2017-18 Data'!$C6)/1000000</f>
        <v>1280.2608989430792</v>
      </c>
      <c r="K49" s="129">
        <f>$J49*('Light Vehicle Supporting Data'!K47/'Light Vehicle Supporting Data'!$J47)*IF(NOT('Household Vehicle Occupancy'!$C$2),'Household Vehicle Occupancy'!K10/'Household Vehicle Occupancy'!K31,1)</f>
        <v>1336.1976621555211</v>
      </c>
      <c r="L49" s="129">
        <f>$J49*('Light Vehicle Supporting Data'!L47/'Light Vehicle Supporting Data'!$J47)*IF(NOT('Household Vehicle Occupancy'!$C$2),'Household Vehicle Occupancy'!L10/'Household Vehicle Occupancy'!L31,1)</f>
        <v>1308.3037326632125</v>
      </c>
      <c r="M49" s="129">
        <f>$J49*('Light Vehicle Supporting Data'!M47/'Light Vehicle Supporting Data'!$J47)*IF(NOT('Household Vehicle Occupancy'!$C$2),'Household Vehicle Occupancy'!M10/'Household Vehicle Occupancy'!M31,1)</f>
        <v>1268.6648125502945</v>
      </c>
      <c r="N49" s="129">
        <f>$J49*('Light Vehicle Supporting Data'!N47/'Light Vehicle Supporting Data'!$J47)*IF(NOT('Household Vehicle Occupancy'!$C$2),'Household Vehicle Occupancy'!N10/'Household Vehicle Occupancy'!N31,1)</f>
        <v>1213.5486771002315</v>
      </c>
      <c r="O49" s="129">
        <f>$J49*('Light Vehicle Supporting Data'!O47/'Light Vehicle Supporting Data'!$J47)*IF(NOT('Household Vehicle Occupancy'!$C$2),'Household Vehicle Occupancy'!O10/'Household Vehicle Occupancy'!O31,1)</f>
        <v>1151.2873612664225</v>
      </c>
      <c r="P49" s="155">
        <f>$J49*('Light Vehicle Supporting Data'!P47/'Light Vehicle Supporting Data'!$J47)*IF(NOT('Household Vehicle Occupancy'!$C$2),'Household Vehicle Occupancy'!P10/'Household Vehicle Occupancy'!P31,1)</f>
        <v>1085.2650730153473</v>
      </c>
      <c r="Q49" s="155">
        <f>$J49*('Light Vehicle Supporting Data'!Q47/'Light Vehicle Supporting Data'!$J47)*IF(NOT('Household Vehicle Occupancy'!$C$2),'Household Vehicle Occupancy'!Q10/'Household Vehicle Occupancy'!Q31,1)</f>
        <v>1015.2481455704052</v>
      </c>
      <c r="R49" s="204">
        <f>$J49*('Light Vehicle Supporting Data'!R47/'Light Vehicle Supporting Data'!$J47)*IF(NOT('Household Vehicle Occupancy'!$C$2),'Household Vehicle Occupancy'!R10/'Household Vehicle Occupancy'!R31,1)</f>
        <v>942.87916066442619</v>
      </c>
      <c r="S49" s="56"/>
    </row>
    <row r="50" spans="3:19" ht="16" x14ac:dyDescent="0.2">
      <c r="C50" s="24" t="s">
        <v>1</v>
      </c>
      <c r="D50" s="55">
        <f>D8*('[1]12_13 fleet'!$D303/'Original 2012-13 Data'!$C7)/1000000</f>
        <v>8182.5357658943531</v>
      </c>
      <c r="E50" s="56">
        <f>E8*('[2]13_14 fleet'!$D305/'Original 2013-14 Data'!$C7)/1000000</f>
        <v>8297.7380229428709</v>
      </c>
      <c r="F50" s="56">
        <f>F8*('[3]14_15 fleet'!$D305/'Original 2014-15 Data'!$C7)/1000000</f>
        <v>8499.7772286367381</v>
      </c>
      <c r="G50" s="56">
        <f>G8*('[4]15_16 fleet'!$D305/'Original 2015-16 Data'!$C7)/1000000</f>
        <v>8712.375188832948</v>
      </c>
      <c r="H50" s="56">
        <f>H8*('[5]16_17 fleet_v2'!$D305/'Original 2016-17 Data'!$C7)/1000000</f>
        <v>8775.9984688258319</v>
      </c>
      <c r="I50" s="167">
        <f>I8*('[6]17_18 fleet_v3'!$D355/'Original 2017-18 Data'!$C7)/1000000</f>
        <v>8504.3459638485019</v>
      </c>
      <c r="J50" s="167">
        <f>J8*('[7]18_19 fleet_v3'!$D355/'Original 2017-18 Data'!$C7)/1000000</f>
        <v>8863.3580222733344</v>
      </c>
      <c r="K50" s="167">
        <f>$J50*('Light Vehicle Supporting Data'!K48/'Light Vehicle Supporting Data'!$J48)*IF(NOT('Household Vehicle Occupancy'!$C$2),'Household Vehicle Occupancy'!K11/'Household Vehicle Occupancy'!K32,1)</f>
        <v>9533.5897143709844</v>
      </c>
      <c r="L50" s="167">
        <f>$J50*('Light Vehicle Supporting Data'!L48/'Light Vehicle Supporting Data'!$J48)*IF(NOT('Household Vehicle Occupancy'!$C$2),'Household Vehicle Occupancy'!L11/'Household Vehicle Occupancy'!L32,1)</f>
        <v>9614.8126782362651</v>
      </c>
      <c r="M50" s="167">
        <f>$J50*('Light Vehicle Supporting Data'!M48/'Light Vehicle Supporting Data'!$J48)*IF(NOT('Household Vehicle Occupancy'!$C$2),'Household Vehicle Occupancy'!M11/'Household Vehicle Occupancy'!M32,1)</f>
        <v>9655.3100640057382</v>
      </c>
      <c r="N50" s="167">
        <f>$J50*('Light Vehicle Supporting Data'!N48/'Light Vehicle Supporting Data'!$J48)*IF(NOT('Household Vehicle Occupancy'!$C$2),'Household Vehicle Occupancy'!N11/'Household Vehicle Occupancy'!N32,1)</f>
        <v>9553.0920568677157</v>
      </c>
      <c r="O50" s="167">
        <f>$J50*('Light Vehicle Supporting Data'!O48/'Light Vehicle Supporting Data'!$J48)*IF(NOT('Household Vehicle Occupancy'!$C$2),'Household Vehicle Occupancy'!O11/'Household Vehicle Occupancy'!O32,1)</f>
        <v>9372.4585083206093</v>
      </c>
      <c r="P50" s="205">
        <f>$J50*('Light Vehicle Supporting Data'!P48/'Light Vehicle Supporting Data'!$J48)*IF(NOT('Household Vehicle Occupancy'!$C$2),'Household Vehicle Occupancy'!P11/'Household Vehicle Occupancy'!P32,1)</f>
        <v>9141.7365256568864</v>
      </c>
      <c r="Q50" s="205">
        <f>$J50*('Light Vehicle Supporting Data'!Q48/'Light Vehicle Supporting Data'!$J48)*IF(NOT('Household Vehicle Occupancy'!$C$2),'Household Vehicle Occupancy'!Q11/'Household Vehicle Occupancy'!Q32,1)</f>
        <v>8847.4647437673029</v>
      </c>
      <c r="R50" s="206">
        <f>$J50*('Light Vehicle Supporting Data'!R48/'Light Vehicle Supporting Data'!$J48)*IF(NOT('Household Vehicle Occupancy'!$C$2),'Household Vehicle Occupancy'!R11/'Household Vehicle Occupancy'!R32,1)</f>
        <v>8497.7652069074556</v>
      </c>
      <c r="S50" s="56"/>
    </row>
    <row r="51" spans="3:19" ht="16" x14ac:dyDescent="0.2">
      <c r="C51" s="24" t="s">
        <v>2</v>
      </c>
      <c r="D51" s="55">
        <f>D9*('[1]12_13 fleet'!$D304/'Original 2012-13 Data'!$C8)/1000000</f>
        <v>3287.9138995583603</v>
      </c>
      <c r="E51" s="56">
        <f>E9*('[2]13_14 fleet'!$D306/'Original 2013-14 Data'!$C8)/1000000</f>
        <v>3214.2218286383309</v>
      </c>
      <c r="F51" s="56">
        <f>F9*('[3]14_15 fleet'!$D306/'Original 2014-15 Data'!$C8)/1000000</f>
        <v>3349.1069974230099</v>
      </c>
      <c r="G51" s="56">
        <f>G9*('[4]15_16 fleet'!$D306/'Original 2015-16 Data'!$C8)/1000000</f>
        <v>3570.1730751360442</v>
      </c>
      <c r="H51" s="56">
        <f>H9*('[5]16_17 fleet_v2'!$D306/'Original 2016-17 Data'!$C8)/1000000</f>
        <v>3716.8994228739512</v>
      </c>
      <c r="I51" s="167">
        <f>I9*('[6]17_18 fleet_v3'!$D356/'Original 2017-18 Data'!$C8)/1000000</f>
        <v>3942.4663212653345</v>
      </c>
      <c r="J51" s="167">
        <f>J9*('[7]18_19 fleet_v3'!$D356/'Original 2017-18 Data'!$C8)/1000000</f>
        <v>4002.4604053890685</v>
      </c>
      <c r="K51" s="167">
        <f>$J51*('Light Vehicle Supporting Data'!K49/'Light Vehicle Supporting Data'!$J49)*IF(NOT('Household Vehicle Occupancy'!$C$2),'Household Vehicle Occupancy'!K12/'Household Vehicle Occupancy'!K33,1)</f>
        <v>4226.1092016207504</v>
      </c>
      <c r="L51" s="167">
        <f>$J51*('Light Vehicle Supporting Data'!L49/'Light Vehicle Supporting Data'!$J49)*IF(NOT('Household Vehicle Occupancy'!$C$2),'Household Vehicle Occupancy'!L12/'Household Vehicle Occupancy'!L33,1)</f>
        <v>4193.5515810706202</v>
      </c>
      <c r="M51" s="167">
        <f>$J51*('Light Vehicle Supporting Data'!M49/'Light Vehicle Supporting Data'!$J49)*IF(NOT('Household Vehicle Occupancy'!$C$2),'Household Vehicle Occupancy'!M12/'Household Vehicle Occupancy'!M33,1)</f>
        <v>4126.5649495213893</v>
      </c>
      <c r="N51" s="167">
        <f>$J51*('Light Vehicle Supporting Data'!N49/'Light Vehicle Supporting Data'!$J49)*IF(NOT('Household Vehicle Occupancy'!$C$2),'Household Vehicle Occupancy'!N12/'Household Vehicle Occupancy'!N33,1)</f>
        <v>4007.9461610191352</v>
      </c>
      <c r="O51" s="167">
        <f>$J51*('Light Vehicle Supporting Data'!O49/'Light Vehicle Supporting Data'!$J49)*IF(NOT('Household Vehicle Occupancy'!$C$2),'Household Vehicle Occupancy'!O12/'Household Vehicle Occupancy'!O33,1)</f>
        <v>3864.9001443185816</v>
      </c>
      <c r="P51" s="205">
        <f>$J51*('Light Vehicle Supporting Data'!P49/'Light Vehicle Supporting Data'!$J49)*IF(NOT('Household Vehicle Occupancy'!$C$2),'Household Vehicle Occupancy'!P12/'Household Vehicle Occupancy'!P33,1)</f>
        <v>3703.2261108119728</v>
      </c>
      <c r="Q51" s="205">
        <f>$J51*('Light Vehicle Supporting Data'!Q49/'Light Vehicle Supporting Data'!$J49)*IF(NOT('Household Vehicle Occupancy'!$C$2),'Household Vehicle Occupancy'!Q12/'Household Vehicle Occupancy'!Q33,1)</f>
        <v>3521.3279290611945</v>
      </c>
      <c r="R51" s="206">
        <f>$J51*('Light Vehicle Supporting Data'!R49/'Light Vehicle Supporting Data'!$J49)*IF(NOT('Household Vehicle Occupancy'!$C$2),'Household Vehicle Occupancy'!R12/'Household Vehicle Occupancy'!R33,1)</f>
        <v>3324.1465832951317</v>
      </c>
      <c r="S51" s="56"/>
    </row>
    <row r="52" spans="3:19" ht="16" x14ac:dyDescent="0.2">
      <c r="C52" s="24" t="s">
        <v>3</v>
      </c>
      <c r="D52" s="55">
        <f>D10*('[1]12_13 fleet'!$D305/'Original 2012-13 Data'!$C9)/1000000</f>
        <v>1612.5990218843824</v>
      </c>
      <c r="E52" s="56">
        <f>E10*('[2]13_14 fleet'!$D307/'Original 2013-14 Data'!$C9)/1000000</f>
        <v>1672.1194465593776</v>
      </c>
      <c r="F52" s="56">
        <f>F10*('[3]14_15 fleet'!$D307/'Original 2014-15 Data'!$C9)/1000000</f>
        <v>1685.2132213142795</v>
      </c>
      <c r="G52" s="56">
        <f>G10*('[4]15_16 fleet'!$D307/'Original 2015-16 Data'!$C9)/1000000</f>
        <v>1766.3552706051128</v>
      </c>
      <c r="H52" s="56">
        <f>H10*('[5]16_17 fleet_v2'!$D307/'Original 2016-17 Data'!$C9)/1000000</f>
        <v>1970.4290306303312</v>
      </c>
      <c r="I52" s="167">
        <f>I10*('[6]17_18 fleet_v3'!$D357/'Original 2017-18 Data'!$C9)/1000000</f>
        <v>1907.9392869791511</v>
      </c>
      <c r="J52" s="167">
        <f>J10*('[7]18_19 fleet_v3'!$D357/'Original 2017-18 Data'!$C9)/1000000</f>
        <v>1938.6401034098817</v>
      </c>
      <c r="K52" s="167">
        <f>$J52*('Light Vehicle Supporting Data'!K50/'Light Vehicle Supporting Data'!$J50)*IF(NOT('Household Vehicle Occupancy'!$C$2),'Household Vehicle Occupancy'!K13/'Household Vehicle Occupancy'!K34,1)</f>
        <v>2035.9466672038409</v>
      </c>
      <c r="L52" s="167">
        <f>$J52*('Light Vehicle Supporting Data'!L50/'Light Vehicle Supporting Data'!$J50)*IF(NOT('Household Vehicle Occupancy'!$C$2),'Household Vehicle Occupancy'!L13/'Household Vehicle Occupancy'!L34,1)</f>
        <v>2006.7932839279383</v>
      </c>
      <c r="M52" s="167">
        <f>$J52*('Light Vehicle Supporting Data'!M50/'Light Vehicle Supporting Data'!$J50)*IF(NOT('Household Vehicle Occupancy'!$C$2),'Household Vehicle Occupancy'!M13/'Household Vehicle Occupancy'!M34,1)</f>
        <v>1962.0636603004118</v>
      </c>
      <c r="N52" s="167">
        <f>$J52*('Light Vehicle Supporting Data'!N50/'Light Vehicle Supporting Data'!$J50)*IF(NOT('Household Vehicle Occupancy'!$C$2),'Household Vehicle Occupancy'!N13/'Household Vehicle Occupancy'!N34,1)</f>
        <v>1892.7328823285602</v>
      </c>
      <c r="O52" s="167">
        <f>$J52*('Light Vehicle Supporting Data'!O50/'Light Vehicle Supporting Data'!$J50)*IF(NOT('Household Vehicle Occupancy'!$C$2),'Household Vehicle Occupancy'!O13/'Household Vehicle Occupancy'!O34,1)</f>
        <v>1812.8513329433094</v>
      </c>
      <c r="P52" s="205">
        <f>$J52*('Light Vehicle Supporting Data'!P50/'Light Vehicle Supporting Data'!$J50)*IF(NOT('Household Vehicle Occupancy'!$C$2),'Household Vehicle Occupancy'!P13/'Household Vehicle Occupancy'!P34,1)</f>
        <v>1725.2840476942386</v>
      </c>
      <c r="Q52" s="205">
        <f>$J52*('Light Vehicle Supporting Data'!Q50/'Light Vehicle Supporting Data'!$J50)*IF(NOT('Household Vehicle Occupancy'!$C$2),'Household Vehicle Occupancy'!Q13/'Household Vehicle Occupancy'!Q34,1)</f>
        <v>1629.458531515804</v>
      </c>
      <c r="R52" s="206">
        <f>$J52*('Light Vehicle Supporting Data'!R50/'Light Vehicle Supporting Data'!$J50)*IF(NOT('Household Vehicle Occupancy'!$C$2),'Household Vehicle Occupancy'!R13/'Household Vehicle Occupancy'!R34,1)</f>
        <v>1527.8245066601523</v>
      </c>
      <c r="S52" s="56"/>
    </row>
    <row r="53" spans="3:19" ht="16" x14ac:dyDescent="0.2">
      <c r="C53" s="24" t="s">
        <v>4</v>
      </c>
      <c r="D53" s="55">
        <f>D11*('[1]12_13 fleet'!$D306/'Original 2012-13 Data'!$C10)/1000000</f>
        <v>212.91694462930985</v>
      </c>
      <c r="E53" s="56">
        <f>E11*('[2]13_14 fleet'!$D308/'Original 2013-14 Data'!$C10)/1000000</f>
        <v>212.46474518042089</v>
      </c>
      <c r="F53" s="56">
        <f>F11*('[3]14_15 fleet'!$D308/'Original 2014-15 Data'!$C10)/1000000</f>
        <v>221.74748647621428</v>
      </c>
      <c r="G53" s="56">
        <f>G11*('[4]15_16 fleet'!$D308/'Original 2015-16 Data'!$C10)/1000000</f>
        <v>230.65196681292349</v>
      </c>
      <c r="H53" s="56">
        <f>H11*('[5]16_17 fleet_v2'!$D308/'Original 2016-17 Data'!$C10)/1000000</f>
        <v>224.24673246990088</v>
      </c>
      <c r="I53" s="167">
        <f>I11*('[6]17_18 fleet_v3'!$D358/'Original 2017-18 Data'!$C10)/1000000</f>
        <v>231.32559937909247</v>
      </c>
      <c r="J53" s="167">
        <f>J11*('[7]18_19 fleet_v3'!$D358/'Original 2017-18 Data'!$C10)/1000000</f>
        <v>219.28086201522683</v>
      </c>
      <c r="K53" s="167">
        <f>$J53*('Light Vehicle Supporting Data'!K51/'Light Vehicle Supporting Data'!$J51)*IF(NOT('Household Vehicle Occupancy'!$C$2),'Household Vehicle Occupancy'!K14/'Household Vehicle Occupancy'!K35,1)</f>
        <v>224.95939655321737</v>
      </c>
      <c r="L53" s="167">
        <f>$J53*('Light Vehicle Supporting Data'!L51/'Light Vehicle Supporting Data'!$J51)*IF(NOT('Household Vehicle Occupancy'!$C$2),'Household Vehicle Occupancy'!L14/'Household Vehicle Occupancy'!L35,1)</f>
        <v>216.67352222185608</v>
      </c>
      <c r="M53" s="167">
        <f>$J53*('Light Vehicle Supporting Data'!M51/'Light Vehicle Supporting Data'!$J51)*IF(NOT('Household Vehicle Occupancy'!$C$2),'Household Vehicle Occupancy'!M14/'Household Vehicle Occupancy'!M35,1)</f>
        <v>207.08712201830534</v>
      </c>
      <c r="N53" s="167">
        <f>$J53*('Light Vehicle Supporting Data'!N51/'Light Vehicle Supporting Data'!$J51)*IF(NOT('Household Vehicle Occupancy'!$C$2),'Household Vehicle Occupancy'!N14/'Household Vehicle Occupancy'!N35,1)</f>
        <v>195.06196539658202</v>
      </c>
      <c r="O53" s="167">
        <f>$J53*('Light Vehicle Supporting Data'!O51/'Light Vehicle Supporting Data'!$J51)*IF(NOT('Household Vehicle Occupancy'!$C$2),'Household Vehicle Occupancy'!O14/'Household Vehicle Occupancy'!O35,1)</f>
        <v>182.45210133357182</v>
      </c>
      <c r="P53" s="205">
        <f>$J53*('Light Vehicle Supporting Data'!P51/'Light Vehicle Supporting Data'!$J51)*IF(NOT('Household Vehicle Occupancy'!$C$2),'Household Vehicle Occupancy'!P14/'Household Vehicle Occupancy'!P35,1)</f>
        <v>169.57065466695624</v>
      </c>
      <c r="Q53" s="205">
        <f>$J53*('Light Vehicle Supporting Data'!Q51/'Light Vehicle Supporting Data'!$J51)*IF(NOT('Household Vehicle Occupancy'!$C$2),'Household Vehicle Occupancy'!Q14/'Household Vehicle Occupancy'!Q35,1)</f>
        <v>156.40002326748314</v>
      </c>
      <c r="R53" s="206">
        <f>$J53*('Light Vehicle Supporting Data'!R51/'Light Vehicle Supporting Data'!$J51)*IF(NOT('Household Vehicle Occupancy'!$C$2),'Household Vehicle Occupancy'!R14/'Household Vehicle Occupancy'!R35,1)</f>
        <v>143.20902354019222</v>
      </c>
      <c r="S53" s="56"/>
    </row>
    <row r="54" spans="3:19" ht="16" x14ac:dyDescent="0.2">
      <c r="C54" s="24" t="s">
        <v>5</v>
      </c>
      <c r="D54" s="55">
        <f>D12*('[1]12_13 fleet'!$D307/'Original 2012-13 Data'!$C11)/1000000</f>
        <v>885.28970660598748</v>
      </c>
      <c r="E54" s="56">
        <f>E12*('[2]13_14 fleet'!$D309/'Original 2013-14 Data'!$C11)/1000000</f>
        <v>883.78581195139805</v>
      </c>
      <c r="F54" s="56">
        <f>F12*('[3]14_15 fleet'!$D309/'Original 2014-15 Data'!$C11)/1000000</f>
        <v>928.26933232163628</v>
      </c>
      <c r="G54" s="56">
        <f>G12*('[4]15_16 fleet'!$D309/'Original 2015-16 Data'!$C11)/1000000</f>
        <v>983.38152965361655</v>
      </c>
      <c r="H54" s="56">
        <f>H12*('[5]16_17 fleet_v2'!$D309/'Original 2016-17 Data'!$C11)/1000000</f>
        <v>1006.4130064852436</v>
      </c>
      <c r="I54" s="167">
        <f>I12*('[6]17_18 fleet_v3'!$D359/'Original 2017-18 Data'!$C11)/1000000</f>
        <v>1011.9490011284003</v>
      </c>
      <c r="J54" s="167">
        <f>J12*('[7]18_19 fleet_v3'!$D359/'Original 2017-18 Data'!$C11)/1000000</f>
        <v>1039.5460835031727</v>
      </c>
      <c r="K54" s="167">
        <f>$J54*('Light Vehicle Supporting Data'!K52/'Light Vehicle Supporting Data'!$J52)*IF(NOT('Household Vehicle Occupancy'!$C$2),'Household Vehicle Occupancy'!K15/'Household Vehicle Occupancy'!K36,1)</f>
        <v>1067.7583486908782</v>
      </c>
      <c r="L54" s="167">
        <f>$J54*('Light Vehicle Supporting Data'!L52/'Light Vehicle Supporting Data'!$J52)*IF(NOT('Household Vehicle Occupancy'!$C$2),'Household Vehicle Occupancy'!L15/'Household Vehicle Occupancy'!L36,1)</f>
        <v>1031.2632712166542</v>
      </c>
      <c r="M54" s="167">
        <f>$J54*('Light Vehicle Supporting Data'!M52/'Light Vehicle Supporting Data'!$J52)*IF(NOT('Household Vehicle Occupancy'!$C$2),'Household Vehicle Occupancy'!M15/'Household Vehicle Occupancy'!M36,1)</f>
        <v>987.25467868869544</v>
      </c>
      <c r="N54" s="167">
        <f>$J54*('Light Vehicle Supporting Data'!N52/'Light Vehicle Supporting Data'!$J52)*IF(NOT('Household Vehicle Occupancy'!$C$2),'Household Vehicle Occupancy'!N15/'Household Vehicle Occupancy'!N36,1)</f>
        <v>932.86764150549971</v>
      </c>
      <c r="O54" s="167">
        <f>$J54*('Light Vehicle Supporting Data'!O52/'Light Vehicle Supporting Data'!$J52)*IF(NOT('Household Vehicle Occupancy'!$C$2),'Household Vehicle Occupancy'!O15/'Household Vehicle Occupancy'!O36,1)</f>
        <v>874.73503849779252</v>
      </c>
      <c r="P54" s="205">
        <f>$J54*('Light Vehicle Supporting Data'!P52/'Light Vehicle Supporting Data'!$J52)*IF(NOT('Household Vehicle Occupancy'!$C$2),'Household Vehicle Occupancy'!P15/'Household Vehicle Occupancy'!P36,1)</f>
        <v>815.00180504459752</v>
      </c>
      <c r="Q54" s="205">
        <f>$J54*('Light Vehicle Supporting Data'!Q52/'Light Vehicle Supporting Data'!$J52)*IF(NOT('Household Vehicle Occupancy'!$C$2),'Household Vehicle Occupancy'!Q15/'Household Vehicle Occupancy'!Q36,1)</f>
        <v>753.57226735739073</v>
      </c>
      <c r="R54" s="206">
        <f>$J54*('Light Vehicle Supporting Data'!R52/'Light Vehicle Supporting Data'!$J52)*IF(NOT('Household Vehicle Occupancy'!$C$2),'Household Vehicle Occupancy'!R15/'Household Vehicle Occupancy'!R36,1)</f>
        <v>691.73332352178272</v>
      </c>
      <c r="S54" s="56"/>
    </row>
    <row r="55" spans="3:19" ht="16" x14ac:dyDescent="0.2">
      <c r="C55" s="24" t="s">
        <v>6</v>
      </c>
      <c r="D55" s="55">
        <f>D13*('[1]12_13 fleet'!$D308/'Original 2012-13 Data'!$C12)/1000000</f>
        <v>634.96411063443588</v>
      </c>
      <c r="E55" s="56">
        <f>E13*('[2]13_14 fleet'!$D310/'Original 2013-14 Data'!$C12)/1000000</f>
        <v>650.89305568150621</v>
      </c>
      <c r="F55" s="56">
        <f>F13*('[3]14_15 fleet'!$D310/'Original 2014-15 Data'!$C12)/1000000</f>
        <v>675.54008975533759</v>
      </c>
      <c r="G55" s="56">
        <f>G13*('[4]15_16 fleet'!$D310/'Original 2015-16 Data'!$C12)/1000000</f>
        <v>706.85285966947254</v>
      </c>
      <c r="H55" s="56">
        <f>H13*('[5]16_17 fleet_v2'!$D310/'Original 2016-17 Data'!$C12)/1000000</f>
        <v>724.41250229249135</v>
      </c>
      <c r="I55" s="167">
        <f>I13*('[6]17_18 fleet_v3'!$D360/'Original 2017-18 Data'!$C12)/1000000</f>
        <v>743.46739753170789</v>
      </c>
      <c r="J55" s="167">
        <f>J13*('[7]18_19 fleet_v3'!$D360/'Original 2017-18 Data'!$C12)/1000000</f>
        <v>712.19122655231888</v>
      </c>
      <c r="K55" s="167">
        <f>$J55*('Light Vehicle Supporting Data'!K53/'Light Vehicle Supporting Data'!$J53)*IF(NOT('Household Vehicle Occupancy'!$C$2),'Household Vehicle Occupancy'!K16/'Household Vehicle Occupancy'!K37,1)</f>
        <v>736.31896342892003</v>
      </c>
      <c r="L55" s="167">
        <f>$J55*('Light Vehicle Supporting Data'!L53/'Light Vehicle Supporting Data'!$J53)*IF(NOT('Household Vehicle Occupancy'!$C$2),'Household Vehicle Occupancy'!L16/'Household Vehicle Occupancy'!L37,1)</f>
        <v>717.847632133606</v>
      </c>
      <c r="M55" s="167">
        <f>$J55*('Light Vehicle Supporting Data'!M53/'Light Vehicle Supporting Data'!$J53)*IF(NOT('Household Vehicle Occupancy'!$C$2),'Household Vehicle Occupancy'!M16/'Household Vehicle Occupancy'!M37,1)</f>
        <v>694.49427304172866</v>
      </c>
      <c r="N55" s="167">
        <f>$J55*('Light Vehicle Supporting Data'!N53/'Light Vehicle Supporting Data'!$J53)*IF(NOT('Household Vehicle Occupancy'!$C$2),'Household Vehicle Occupancy'!N16/'Household Vehicle Occupancy'!N37,1)</f>
        <v>664.18850410953257</v>
      </c>
      <c r="O55" s="167">
        <f>$J55*('Light Vehicle Supporting Data'!O53/'Light Vehicle Supporting Data'!$J53)*IF(NOT('Household Vehicle Occupancy'!$C$2),'Household Vehicle Occupancy'!O16/'Household Vehicle Occupancy'!O37,1)</f>
        <v>631.26073319119894</v>
      </c>
      <c r="P55" s="205">
        <f>$J55*('Light Vehicle Supporting Data'!P53/'Light Vehicle Supporting Data'!$J53)*IF(NOT('Household Vehicle Occupancy'!$C$2),'Household Vehicle Occupancy'!P16/'Household Vehicle Occupancy'!P37,1)</f>
        <v>596.14478586999985</v>
      </c>
      <c r="Q55" s="205">
        <f>$J55*('Light Vehicle Supporting Data'!Q53/'Light Vehicle Supporting Data'!$J53)*IF(NOT('Household Vehicle Occupancy'!$C$2),'Household Vehicle Occupancy'!Q16/'Household Vehicle Occupancy'!Q37,1)</f>
        <v>558.70043995109745</v>
      </c>
      <c r="R55" s="206">
        <f>$J55*('Light Vehicle Supporting Data'!R53/'Light Vehicle Supporting Data'!$J53)*IF(NOT('Household Vehicle Occupancy'!$C$2),'Household Vehicle Occupancy'!R16/'Household Vehicle Occupancy'!R37,1)</f>
        <v>519.82089260919702</v>
      </c>
      <c r="S55" s="56"/>
    </row>
    <row r="56" spans="3:19" ht="16" x14ac:dyDescent="0.2">
      <c r="C56" s="24" t="s">
        <v>7</v>
      </c>
      <c r="D56" s="55">
        <f>D14*('[1]12_13 fleet'!$D309/'Original 2012-13 Data'!$C13)/1000000</f>
        <v>1449.3148498915396</v>
      </c>
      <c r="E56" s="56">
        <f>E14*('[2]13_14 fleet'!$D311/'Original 2013-14 Data'!$C13)/1000000</f>
        <v>1461.9552442355666</v>
      </c>
      <c r="F56" s="56">
        <f>F14*('[3]14_15 fleet'!$D311/'Original 2014-15 Data'!$C13)/1000000</f>
        <v>1495.5135156630872</v>
      </c>
      <c r="G56" s="56">
        <f>G14*('[4]15_16 fleet'!$D311/'Original 2015-16 Data'!$C13)/1000000</f>
        <v>1581.7635492480158</v>
      </c>
      <c r="H56" s="56">
        <f>H14*('[5]16_17 fleet_v2'!$D311/'Original 2016-17 Data'!$C13)/1000000</f>
        <v>1612.0486784282837</v>
      </c>
      <c r="I56" s="167">
        <f>I14*('[6]17_18 fleet_v3'!$D361/'Original 2017-18 Data'!$C13)/1000000</f>
        <v>1593.9451939796052</v>
      </c>
      <c r="J56" s="167">
        <f>J14*('[7]18_19 fleet_v3'!$D361/'Original 2017-18 Data'!$C13)/1000000</f>
        <v>1620.4623473065772</v>
      </c>
      <c r="K56" s="167">
        <f>$J56*('Light Vehicle Supporting Data'!K54/'Light Vehicle Supporting Data'!$J54)*IF(NOT('Household Vehicle Occupancy'!$C$2),'Household Vehicle Occupancy'!K17/'Household Vehicle Occupancy'!K38,1)</f>
        <v>1660.4681092432509</v>
      </c>
      <c r="L56" s="167">
        <f>$J56*('Light Vehicle Supporting Data'!L54/'Light Vehicle Supporting Data'!$J54)*IF(NOT('Household Vehicle Occupancy'!$C$2),'Household Vehicle Occupancy'!L17/'Household Vehicle Occupancy'!L38,1)</f>
        <v>1598.8508017034126</v>
      </c>
      <c r="M56" s="167">
        <f>$J56*('Light Vehicle Supporting Data'!M54/'Light Vehicle Supporting Data'!$J54)*IF(NOT('Household Vehicle Occupancy'!$C$2),'Household Vehicle Occupancy'!M17/'Household Vehicle Occupancy'!M38,1)</f>
        <v>1527.5903316288402</v>
      </c>
      <c r="N56" s="167">
        <f>$J56*('Light Vehicle Supporting Data'!N54/'Light Vehicle Supporting Data'!$J54)*IF(NOT('Household Vehicle Occupancy'!$C$2),'Household Vehicle Occupancy'!N17/'Household Vehicle Occupancy'!N38,1)</f>
        <v>1441.1731140100246</v>
      </c>
      <c r="O56" s="167">
        <f>$J56*('Light Vehicle Supporting Data'!O54/'Light Vehicle Supporting Data'!$J54)*IF(NOT('Household Vehicle Occupancy'!$C$2),'Household Vehicle Occupancy'!O17/'Household Vehicle Occupancy'!O38,1)</f>
        <v>1349.5713845347398</v>
      </c>
      <c r="P56" s="205">
        <f>$J56*('Light Vehicle Supporting Data'!P54/'Light Vehicle Supporting Data'!$J54)*IF(NOT('Household Vehicle Occupancy'!$C$2),'Household Vehicle Occupancy'!P17/'Household Vehicle Occupancy'!P38,1)</f>
        <v>1255.7440362943466</v>
      </c>
      <c r="Q56" s="205">
        <f>$J56*('Light Vehicle Supporting Data'!Q54/'Light Vehicle Supporting Data'!$J54)*IF(NOT('Household Vehicle Occupancy'!$C$2),'Household Vehicle Occupancy'!Q17/'Household Vehicle Occupancy'!Q38,1)</f>
        <v>1159.5531943395617</v>
      </c>
      <c r="R56" s="206">
        <f>$J56*('Light Vehicle Supporting Data'!R54/'Light Vehicle Supporting Data'!$J54)*IF(NOT('Household Vehicle Occupancy'!$C$2),'Household Vehicle Occupancy'!R17/'Household Vehicle Occupancy'!R38,1)</f>
        <v>1062.9863377321271</v>
      </c>
      <c r="S56" s="56"/>
    </row>
    <row r="57" spans="3:19" ht="16" x14ac:dyDescent="0.2">
      <c r="C57" s="24" t="s">
        <v>8</v>
      </c>
      <c r="D57" s="55">
        <f>D15*('[1]12_13 fleet'!$D310/'Original 2012-13 Data'!$C14)/1000000</f>
        <v>2325.3607752958515</v>
      </c>
      <c r="E57" s="56">
        <f>E15*('[2]13_14 fleet'!$D312/'Original 2013-14 Data'!$C14)/1000000</f>
        <v>2364.6689000360702</v>
      </c>
      <c r="F57" s="56">
        <f>F15*('[3]14_15 fleet'!$D312/'Original 2014-15 Data'!$C14)/1000000</f>
        <v>2548.5249617976806</v>
      </c>
      <c r="G57" s="56">
        <f>G15*('[4]15_16 fleet'!$D312/'Original 2015-16 Data'!$C14)/1000000</f>
        <v>2515.0401208985891</v>
      </c>
      <c r="H57" s="56">
        <f>H15*('[5]16_17 fleet_v2'!$D312/'Original 2016-17 Data'!$C14)/1000000</f>
        <v>2479.7828721574688</v>
      </c>
      <c r="I57" s="167">
        <f>I15*('[6]17_18 fleet_v3'!$D362/'Original 2017-18 Data'!$C14)/1000000</f>
        <v>2565.5850849679282</v>
      </c>
      <c r="J57" s="167">
        <f>J15*('[7]18_19 fleet_v3'!$D362/'Original 2017-18 Data'!$C14)/1000000</f>
        <v>2574.1018219741318</v>
      </c>
      <c r="K57" s="167">
        <f>$J57*('Light Vehicle Supporting Data'!K55/'Light Vehicle Supporting Data'!$J55)*IF(NOT('Household Vehicle Occupancy'!$C$2),'Household Vehicle Occupancy'!K18/'Household Vehicle Occupancy'!K39,1)</f>
        <v>2664.83242362278</v>
      </c>
      <c r="L57" s="167">
        <f>$J57*('Light Vehicle Supporting Data'!L55/'Light Vehicle Supporting Data'!$J55)*IF(NOT('Household Vehicle Occupancy'!$C$2),'Household Vehicle Occupancy'!L18/'Household Vehicle Occupancy'!L39,1)</f>
        <v>2595.0529226792987</v>
      </c>
      <c r="M57" s="167">
        <f>$J57*('Light Vehicle Supporting Data'!M55/'Light Vehicle Supporting Data'!$J55)*IF(NOT('Household Vehicle Occupancy'!$C$2),'Household Vehicle Occupancy'!M18/'Household Vehicle Occupancy'!M39,1)</f>
        <v>2512.1646728529913</v>
      </c>
      <c r="N57" s="167">
        <f>$J57*('Light Vehicle Supporting Data'!N55/'Light Vehicle Supporting Data'!$J55)*IF(NOT('Household Vehicle Occupancy'!$C$2),'Household Vehicle Occupancy'!N18/'Household Vehicle Occupancy'!N39,1)</f>
        <v>2402.1078822091145</v>
      </c>
      <c r="O57" s="167">
        <f>$J57*('Light Vehicle Supporting Data'!O55/'Light Vehicle Supporting Data'!$J55)*IF(NOT('Household Vehicle Occupancy'!$C$2),'Household Vehicle Occupancy'!O18/'Household Vehicle Occupancy'!O39,1)</f>
        <v>2279.0838771115955</v>
      </c>
      <c r="P57" s="205">
        <f>$J57*('Light Vehicle Supporting Data'!P55/'Light Vehicle Supporting Data'!$J55)*IF(NOT('Household Vehicle Occupancy'!$C$2),'Household Vehicle Occupancy'!P18/'Household Vehicle Occupancy'!P39,1)</f>
        <v>2148.5092827703852</v>
      </c>
      <c r="Q57" s="205">
        <f>$J57*('Light Vehicle Supporting Data'!Q55/'Light Vehicle Supporting Data'!$J55)*IF(NOT('Household Vehicle Occupancy'!$C$2),'Household Vehicle Occupancy'!Q18/'Household Vehicle Occupancy'!Q39,1)</f>
        <v>2009.5380859403383</v>
      </c>
      <c r="R57" s="206">
        <f>$J57*('Light Vehicle Supporting Data'!R55/'Light Vehicle Supporting Data'!$J55)*IF(NOT('Household Vehicle Occupancy'!$C$2),'Household Vehicle Occupancy'!R18/'Household Vehicle Occupancy'!R39,1)</f>
        <v>1865.5604750717566</v>
      </c>
      <c r="S57" s="56"/>
    </row>
    <row r="58" spans="3:19" ht="16" x14ac:dyDescent="0.2">
      <c r="C58" s="24" t="s">
        <v>9</v>
      </c>
      <c r="D58" s="55">
        <f>D16*('[1]12_13 fleet'!$D311/'Original 2012-13 Data'!$C15)/1000000</f>
        <v>751.4188518475039</v>
      </c>
      <c r="E58" s="56">
        <f>E16*('[2]13_14 fleet'!$D313/'Original 2013-14 Data'!$C15)/1000000</f>
        <v>760.71074116184536</v>
      </c>
      <c r="F58" s="56">
        <f>F16*('[3]14_15 fleet'!$D313/'Original 2014-15 Data'!$C15)/1000000</f>
        <v>730.86756922792165</v>
      </c>
      <c r="G58" s="56">
        <f>G16*('[4]15_16 fleet'!$D313/'Original 2015-16 Data'!$C15)/1000000</f>
        <v>865.32673751456389</v>
      </c>
      <c r="H58" s="56">
        <f>H16*('[5]16_17 fleet_v2'!$D313/'Original 2016-17 Data'!$C15)/1000000</f>
        <v>886.1236219799689</v>
      </c>
      <c r="I58" s="167">
        <f>I16*('[6]17_18 fleet_v3'!$D363/'Original 2017-18 Data'!$C15)/1000000</f>
        <v>919.08283282818547</v>
      </c>
      <c r="J58" s="167">
        <f>J16*('[7]18_19 fleet_v3'!$D363/'Original 2017-18 Data'!$C15)/1000000</f>
        <v>927.58779885902459</v>
      </c>
      <c r="K58" s="167">
        <f>$J58*('Light Vehicle Supporting Data'!K56/'Light Vehicle Supporting Data'!$J56)*IF(NOT('Household Vehicle Occupancy'!$C$2),'Household Vehicle Occupancy'!K19/'Household Vehicle Occupancy'!K40,1)</f>
        <v>960.22062459166784</v>
      </c>
      <c r="L58" s="167">
        <f>$J58*('Light Vehicle Supporting Data'!L56/'Light Vehicle Supporting Data'!$J56)*IF(NOT('Household Vehicle Occupancy'!$C$2),'Household Vehicle Occupancy'!L19/'Household Vehicle Occupancy'!L40,1)</f>
        <v>933.98116057069865</v>
      </c>
      <c r="M58" s="167">
        <f>$J58*('Light Vehicle Supporting Data'!M56/'Light Vehicle Supporting Data'!$J56)*IF(NOT('Household Vehicle Occupancy'!$C$2),'Household Vehicle Occupancy'!M19/'Household Vehicle Occupancy'!M40,1)</f>
        <v>900.89888495147522</v>
      </c>
      <c r="N58" s="167">
        <f>$J58*('Light Vehicle Supporting Data'!N56/'Light Vehicle Supporting Data'!$J56)*IF(NOT('Household Vehicle Occupancy'!$C$2),'Household Vehicle Occupancy'!N19/'Household Vehicle Occupancy'!N40,1)</f>
        <v>857.21029885796088</v>
      </c>
      <c r="O58" s="167">
        <f>$J58*('Light Vehicle Supporting Data'!O56/'Light Vehicle Supporting Data'!$J56)*IF(NOT('Household Vehicle Occupancy'!$C$2),'Household Vehicle Occupancy'!O19/'Household Vehicle Occupancy'!O40,1)</f>
        <v>808.12180427123451</v>
      </c>
      <c r="P58" s="205">
        <f>$J58*('Light Vehicle Supporting Data'!P56/'Light Vehicle Supporting Data'!$J56)*IF(NOT('Household Vehicle Occupancy'!$C$2),'Household Vehicle Occupancy'!P19/'Household Vehicle Occupancy'!P40,1)</f>
        <v>757.02862669846888</v>
      </c>
      <c r="Q58" s="205">
        <f>$J58*('Light Vehicle Supporting Data'!Q56/'Light Vehicle Supporting Data'!$J56)*IF(NOT('Household Vehicle Occupancy'!$C$2),'Household Vehicle Occupancy'!Q19/'Household Vehicle Occupancy'!Q40,1)</f>
        <v>703.80536440747892</v>
      </c>
      <c r="R58" s="206">
        <f>$J58*('Light Vehicle Supporting Data'!R56/'Light Vehicle Supporting Data'!$J56)*IF(NOT('Household Vehicle Occupancy'!$C$2),'Household Vehicle Occupancy'!R19/'Household Vehicle Occupancy'!R40,1)</f>
        <v>649.62214688662505</v>
      </c>
      <c r="S58" s="56"/>
    </row>
    <row r="59" spans="3:19" ht="16" x14ac:dyDescent="0.2">
      <c r="C59" s="24" t="s">
        <v>10</v>
      </c>
      <c r="D59" s="55">
        <f>D17*('[1]12_13 fleet'!$D312/'Original 2012-13 Data'!$C16)/1000000</f>
        <v>268.73184019377254</v>
      </c>
      <c r="E59" s="56">
        <f>E17*('[2]13_14 fleet'!$D314/'Original 2013-14 Data'!$C16)/1000000</f>
        <v>269.20036300142266</v>
      </c>
      <c r="F59" s="56">
        <f>F17*('[3]14_15 fleet'!$D314/'Original 2014-15 Data'!$C16)/1000000</f>
        <v>284.86735545719347</v>
      </c>
      <c r="G59" s="56">
        <f>G17*('[4]15_16 fleet'!$D314/'Original 2015-16 Data'!$C16)/1000000</f>
        <v>307.15821033926886</v>
      </c>
      <c r="H59" s="56">
        <f>H17*('[5]16_17 fleet_v2'!$D314/'Original 2016-17 Data'!$C16)/1000000</f>
        <v>317.2983001587852</v>
      </c>
      <c r="I59" s="167">
        <f>I17*('[6]17_18 fleet_v3'!$D364/'Original 2017-18 Data'!$C16)/1000000</f>
        <v>342.29002506056912</v>
      </c>
      <c r="J59" s="167">
        <f>J17*('[7]18_19 fleet_v3'!$D364/'Original 2017-18 Data'!$C16)/1000000</f>
        <v>337.90258654805513</v>
      </c>
      <c r="K59" s="167">
        <f>$J59*('Light Vehicle Supporting Data'!K57/'Light Vehicle Supporting Data'!$J57)*IF(NOT('Household Vehicle Occupancy'!$C$2),'Household Vehicle Occupancy'!K20/'Household Vehicle Occupancy'!K41,1)</f>
        <v>341.61441263254898</v>
      </c>
      <c r="L59" s="167">
        <f>$J59*('Light Vehicle Supporting Data'!L57/'Light Vehicle Supporting Data'!$J57)*IF(NOT('Household Vehicle Occupancy'!$C$2),'Household Vehicle Occupancy'!L20/'Household Vehicle Occupancy'!L41,1)</f>
        <v>323.08291750474154</v>
      </c>
      <c r="M59" s="167">
        <f>$J59*('Light Vehicle Supporting Data'!M57/'Light Vehicle Supporting Data'!$J57)*IF(NOT('Household Vehicle Occupancy'!$C$2),'Household Vehicle Occupancy'!M20/'Household Vehicle Occupancy'!M41,1)</f>
        <v>303.145709086745</v>
      </c>
      <c r="N59" s="167">
        <f>$J59*('Light Vehicle Supporting Data'!N57/'Light Vehicle Supporting Data'!$J57)*IF(NOT('Household Vehicle Occupancy'!$C$2),'Household Vehicle Occupancy'!N20/'Household Vehicle Occupancy'!N41,1)</f>
        <v>280.73001632355249</v>
      </c>
      <c r="O59" s="167">
        <f>$J59*('Light Vehicle Supporting Data'!O57/'Light Vehicle Supporting Data'!$J57)*IF(NOT('Household Vehicle Occupancy'!$C$2),'Household Vehicle Occupancy'!O20/'Household Vehicle Occupancy'!O41,1)</f>
        <v>258.25300594495565</v>
      </c>
      <c r="P59" s="205">
        <f>$J59*('Light Vehicle Supporting Data'!P57/'Light Vehicle Supporting Data'!$J57)*IF(NOT('Household Vehicle Occupancy'!$C$2),'Household Vehicle Occupancy'!P20/'Household Vehicle Occupancy'!P41,1)</f>
        <v>236.06275589506143</v>
      </c>
      <c r="Q59" s="205">
        <f>$J59*('Light Vehicle Supporting Data'!Q57/'Light Vehicle Supporting Data'!$J57)*IF(NOT('Household Vehicle Occupancy'!$C$2),'Household Vehicle Occupancy'!Q20/'Household Vehicle Occupancy'!Q41,1)</f>
        <v>214.13805311855171</v>
      </c>
      <c r="R59" s="206">
        <f>$J59*('Light Vehicle Supporting Data'!R57/'Light Vehicle Supporting Data'!$J57)*IF(NOT('Household Vehicle Occupancy'!$C$2),'Household Vehicle Occupancy'!R20/'Household Vehicle Occupancy'!R41,1)</f>
        <v>192.84468801369215</v>
      </c>
      <c r="S59" s="56"/>
    </row>
    <row r="60" spans="3:19" ht="16" x14ac:dyDescent="0.2">
      <c r="C60" s="24" t="s">
        <v>11</v>
      </c>
      <c r="D60" s="55">
        <f>D18*('[1]12_13 fleet'!$D313/'Original 2012-13 Data'!$C17)/1000000</f>
        <v>3211.4328759573523</v>
      </c>
      <c r="E60" s="56">
        <f>E18*('[2]13_14 fleet'!$D315/'Original 2013-14 Data'!$C17)/1000000</f>
        <v>3331.5619542159202</v>
      </c>
      <c r="F60" s="56">
        <f>F18*('[3]14_15 fleet'!$D315/'Original 2014-15 Data'!$C17)/1000000</f>
        <v>3505.9981616759424</v>
      </c>
      <c r="G60" s="56">
        <f>G18*('[4]15_16 fleet'!$D315/'Original 2015-16 Data'!$C17)/1000000</f>
        <v>3757.9804557589491</v>
      </c>
      <c r="H60" s="56">
        <f>H18*('[5]16_17 fleet_v2'!$D315/'Original 2016-17 Data'!$C17)/1000000</f>
        <v>3711.504298287593</v>
      </c>
      <c r="I60" s="167">
        <f>I18*('[6]17_18 fleet_v3'!$D365/'Original 2017-18 Data'!$C17)/1000000</f>
        <v>3877.5182063756774</v>
      </c>
      <c r="J60" s="167">
        <f>J18*('[7]18_19 fleet_v3'!$D365/'Original 2017-18 Data'!$C17)/1000000</f>
        <v>3940.2983045179844</v>
      </c>
      <c r="K60" s="167">
        <f>$J60*('Light Vehicle Supporting Data'!K58/'Light Vehicle Supporting Data'!$J58)*IF(NOT('Household Vehicle Occupancy'!$C$2),'Household Vehicle Occupancy'!K21/'Household Vehicle Occupancy'!K42,1)</f>
        <v>4189.9236772461936</v>
      </c>
      <c r="L60" s="167">
        <f>$J60*('Light Vehicle Supporting Data'!L58/'Light Vehicle Supporting Data'!$J58)*IF(NOT('Household Vehicle Occupancy'!$C$2),'Household Vehicle Occupancy'!L21/'Household Vehicle Occupancy'!L42,1)</f>
        <v>4167.859357522053</v>
      </c>
      <c r="M60" s="167">
        <f>$J60*('Light Vehicle Supporting Data'!M58/'Light Vehicle Supporting Data'!$J58)*IF(NOT('Household Vehicle Occupancy'!$C$2),'Household Vehicle Occupancy'!M21/'Household Vehicle Occupancy'!M42,1)</f>
        <v>4115.9668105439632</v>
      </c>
      <c r="N60" s="167">
        <f>$J60*('Light Vehicle Supporting Data'!N58/'Light Vehicle Supporting Data'!$J58)*IF(NOT('Household Vehicle Occupancy'!$C$2),'Household Vehicle Occupancy'!N21/'Household Vehicle Occupancy'!N42,1)</f>
        <v>4014.4061467559386</v>
      </c>
      <c r="O60" s="167">
        <f>$J60*('Light Vehicle Supporting Data'!O58/'Light Vehicle Supporting Data'!$J58)*IF(NOT('Household Vehicle Occupancy'!$C$2),'Household Vehicle Occupancy'!O21/'Household Vehicle Occupancy'!O42,1)</f>
        <v>3886.364885358531</v>
      </c>
      <c r="P60" s="205">
        <f>$J60*('Light Vehicle Supporting Data'!P58/'Light Vehicle Supporting Data'!$J58)*IF(NOT('Household Vehicle Occupancy'!$C$2),'Household Vehicle Occupancy'!P21/'Household Vehicle Occupancy'!P42,1)</f>
        <v>3738.4484068705083</v>
      </c>
      <c r="Q60" s="205">
        <f>$J60*('Light Vehicle Supporting Data'!Q58/'Light Vehicle Supporting Data'!$J58)*IF(NOT('Household Vehicle Occupancy'!$C$2),'Household Vehicle Occupancy'!Q21/'Household Vehicle Occupancy'!Q42,1)</f>
        <v>3568.8105873662694</v>
      </c>
      <c r="R60" s="206">
        <f>$J60*('Light Vehicle Supporting Data'!R58/'Light Vehicle Supporting Data'!$J58)*IF(NOT('Household Vehicle Occupancy'!$C$2),'Household Vehicle Occupancy'!R21/'Household Vehicle Occupancy'!R42,1)</f>
        <v>3382.2293939114061</v>
      </c>
      <c r="S60" s="56"/>
    </row>
    <row r="61" spans="3:19" ht="16" x14ac:dyDescent="0.2">
      <c r="C61" s="24" t="s">
        <v>12</v>
      </c>
      <c r="D61" s="55">
        <f>D19*('[1]12_13 fleet'!$D314/'Original 2012-13 Data'!$C18)/1000000</f>
        <v>1272.5311533416125</v>
      </c>
      <c r="E61" s="56">
        <f>E19*('[2]13_14 fleet'!$D316/'Original 2013-14 Data'!$C18)/1000000</f>
        <v>1305.1117266473138</v>
      </c>
      <c r="F61" s="56">
        <f>F19*('[3]14_15 fleet'!$D316/'Original 2014-15 Data'!$C18)/1000000</f>
        <v>1348.1549453178534</v>
      </c>
      <c r="G61" s="56">
        <f>G19*('[4]15_16 fleet'!$D316/'Original 2015-16 Data'!$C18)/1000000</f>
        <v>1419.1396490161287</v>
      </c>
      <c r="H61" s="56">
        <f>H19*('[5]16_17 fleet_v2'!$D316/'Original 2016-17 Data'!$C18)/1000000</f>
        <v>1462.228664837239</v>
      </c>
      <c r="I61" s="167">
        <f>I19*('[6]17_18 fleet_v3'!$D366/'Original 2017-18 Data'!$C18)/1000000</f>
        <v>1555.8037237763501</v>
      </c>
      <c r="J61" s="167">
        <f>J19*('[7]18_19 fleet_v3'!$D366/'Original 2017-18 Data'!$C18)/1000000</f>
        <v>1603.2329302368739</v>
      </c>
      <c r="K61" s="167">
        <f>$J61*('Light Vehicle Supporting Data'!K59/'Light Vehicle Supporting Data'!$J59)*IF(NOT('Household Vehicle Occupancy'!$C$2),'Household Vehicle Occupancy'!K22/'Household Vehicle Occupancy'!K43,1)</f>
        <v>1678.7290727282748</v>
      </c>
      <c r="L61" s="167">
        <f>$J61*('Light Vehicle Supporting Data'!L59/'Light Vehicle Supporting Data'!$J59)*IF(NOT('Household Vehicle Occupancy'!$C$2),'Household Vehicle Occupancy'!L22/'Household Vehicle Occupancy'!L43,1)</f>
        <v>1642.8466804214208</v>
      </c>
      <c r="M61" s="167">
        <f>$J61*('Light Vehicle Supporting Data'!M59/'Light Vehicle Supporting Data'!$J59)*IF(NOT('Household Vehicle Occupancy'!$C$2),'Household Vehicle Occupancy'!M22/'Household Vehicle Occupancy'!M43,1)</f>
        <v>1596.8100098507737</v>
      </c>
      <c r="N61" s="167">
        <f>$J61*('Light Vehicle Supporting Data'!N59/'Light Vehicle Supporting Data'!$J59)*IF(NOT('Household Vehicle Occupancy'!$C$2),'Household Vehicle Occupancy'!N22/'Household Vehicle Occupancy'!N43,1)</f>
        <v>1533.7887212472006</v>
      </c>
      <c r="O61" s="167">
        <f>$J61*('Light Vehicle Supporting Data'!O59/'Light Vehicle Supporting Data'!$J59)*IF(NOT('Household Vehicle Occupancy'!$C$2),'Household Vehicle Occupancy'!O22/'Household Vehicle Occupancy'!O43,1)</f>
        <v>1462.6799954768483</v>
      </c>
      <c r="P61" s="205">
        <f>$J61*('Light Vehicle Supporting Data'!P59/'Light Vehicle Supporting Data'!$J59)*IF(NOT('Household Vehicle Occupancy'!$C$2),'Household Vehicle Occupancy'!P22/'Household Vehicle Occupancy'!P43,1)</f>
        <v>1385.9854053527613</v>
      </c>
      <c r="Q61" s="205">
        <f>$J61*('Light Vehicle Supporting Data'!Q59/'Light Vehicle Supporting Data'!$J59)*IF(NOT('Household Vehicle Occupancy'!$C$2),'Household Vehicle Occupancy'!Q22/'Household Vehicle Occupancy'!Q43,1)</f>
        <v>1303.3236669463713</v>
      </c>
      <c r="R61" s="206">
        <f>$J61*('Light Vehicle Supporting Data'!R59/'Light Vehicle Supporting Data'!$J59)*IF(NOT('Household Vehicle Occupancy'!$C$2),'Household Vehicle Occupancy'!R22/'Household Vehicle Occupancy'!R43,1)</f>
        <v>1216.7276008928882</v>
      </c>
      <c r="S61" s="56"/>
    </row>
    <row r="62" spans="3:19" ht="17" thickBot="1" x14ac:dyDescent="0.25">
      <c r="C62" s="25" t="s">
        <v>13</v>
      </c>
      <c r="D62" s="58">
        <f>D20*('[1]12_13 fleet'!$D315/'Original 2012-13 Data'!$C19)/1000000</f>
        <v>641.85328017967902</v>
      </c>
      <c r="E62" s="59">
        <f>E20*('[2]13_14 fleet'!$D317/'Original 2013-14 Data'!$C19)/1000000</f>
        <v>652.18228154125109</v>
      </c>
      <c r="F62" s="59">
        <f>F20*('[3]14_15 fleet'!$D317/'Original 2014-15 Data'!$C19)/1000000</f>
        <v>627.83489351089872</v>
      </c>
      <c r="G62" s="59">
        <f>G20*('[4]15_16 fleet'!$D317/'Original 2015-16 Data'!$C19)/1000000</f>
        <v>711.29269180890753</v>
      </c>
      <c r="H62" s="59">
        <f>H20*('[5]16_17 fleet_v2'!$D317/'Original 2016-17 Data'!$C19)/1000000</f>
        <v>713.82496409750377</v>
      </c>
      <c r="I62" s="171">
        <f>I20*('[6]17_18 fleet_v3'!$D367/'Original 2017-18 Data'!$C19)/1000000</f>
        <v>728.57698419439953</v>
      </c>
      <c r="J62" s="171">
        <f>J20*('[7]18_19 fleet_v3'!$D367/'Original 2017-18 Data'!$C19)/1000000</f>
        <v>794.68754314064086</v>
      </c>
      <c r="K62" s="171">
        <f>$J62*('Light Vehicle Supporting Data'!K60/'Light Vehicle Supporting Data'!$J60)*IF(NOT('Household Vehicle Occupancy'!$C$2),'Household Vehicle Occupancy'!K23/'Household Vehicle Occupancy'!K44,1)</f>
        <v>809.22169727736139</v>
      </c>
      <c r="L62" s="171">
        <f>$J62*('Light Vehicle Supporting Data'!L60/'Light Vehicle Supporting Data'!$J60)*IF(NOT('Household Vehicle Occupancy'!$C$2),'Household Vehicle Occupancy'!L23/'Household Vehicle Occupancy'!L44,1)</f>
        <v>773.90931053822203</v>
      </c>
      <c r="M62" s="171">
        <f>$J62*('Light Vehicle Supporting Data'!M60/'Light Vehicle Supporting Data'!$J60)*IF(NOT('Household Vehicle Occupancy'!$C$2),'Household Vehicle Occupancy'!M23/'Household Vehicle Occupancy'!M44,1)</f>
        <v>735.25729155226679</v>
      </c>
      <c r="N62" s="171">
        <f>$J62*('Light Vehicle Supporting Data'!N60/'Light Vehicle Supporting Data'!$J60)*IF(NOT('Household Vehicle Occupancy'!$C$2),'Household Vehicle Occupancy'!N23/'Household Vehicle Occupancy'!N44,1)</f>
        <v>689.80308205566121</v>
      </c>
      <c r="O62" s="171">
        <f>$J62*('Light Vehicle Supporting Data'!O60/'Light Vehicle Supporting Data'!$J60)*IF(NOT('Household Vehicle Occupancy'!$C$2),'Household Vehicle Occupancy'!O23/'Household Vehicle Occupancy'!O44,1)</f>
        <v>642.59859316929499</v>
      </c>
      <c r="P62" s="207">
        <f>$J62*('Light Vehicle Supporting Data'!P60/'Light Vehicle Supporting Data'!$J60)*IF(NOT('Household Vehicle Occupancy'!$C$2),'Household Vehicle Occupancy'!P23/'Household Vehicle Occupancy'!P44,1)</f>
        <v>594.81233177839943</v>
      </c>
      <c r="Q62" s="207">
        <f>$J62*('Light Vehicle Supporting Data'!Q60/'Light Vehicle Supporting Data'!$J60)*IF(NOT('Household Vehicle Occupancy'!$C$2),'Household Vehicle Occupancy'!Q23/'Household Vehicle Occupancy'!Q44,1)</f>
        <v>546.39214395515546</v>
      </c>
      <c r="R62" s="208">
        <f>$J62*('Light Vehicle Supporting Data'!R60/'Light Vehicle Supporting Data'!$J60)*IF(NOT('Household Vehicle Occupancy'!$C$2),'Household Vehicle Occupancy'!R23/'Household Vehicle Occupancy'!R44,1)</f>
        <v>498.28335822147216</v>
      </c>
      <c r="S62" s="56"/>
    </row>
    <row r="63" spans="3:19" ht="19" thickTop="1" thickBot="1" x14ac:dyDescent="0.25">
      <c r="C63" s="31" t="s">
        <v>24</v>
      </c>
      <c r="D63" s="61">
        <f t="shared" ref="D63:R63" si="50">SUM(D49:D62)</f>
        <v>25745.274770528489</v>
      </c>
      <c r="E63" s="62">
        <f t="shared" si="50"/>
        <v>26131.901463411057</v>
      </c>
      <c r="F63" s="62">
        <f t="shared" si="50"/>
        <v>26988.807500513311</v>
      </c>
      <c r="G63" s="62">
        <f t="shared" si="50"/>
        <v>28274.664138999622</v>
      </c>
      <c r="H63" s="62">
        <f t="shared" si="50"/>
        <v>28758.322966779979</v>
      </c>
      <c r="I63" s="62">
        <f t="shared" si="50"/>
        <v>29175.180332598029</v>
      </c>
      <c r="J63" s="62">
        <f t="shared" ref="J63" si="51">SUM(J49:J62)</f>
        <v>29854.010934669368</v>
      </c>
      <c r="K63" s="62">
        <f t="shared" si="50"/>
        <v>31465.889971366181</v>
      </c>
      <c r="L63" s="62">
        <f t="shared" si="50"/>
        <v>31124.828852409999</v>
      </c>
      <c r="M63" s="62">
        <f t="shared" si="50"/>
        <v>30593.273270593618</v>
      </c>
      <c r="N63" s="62">
        <f t="shared" si="50"/>
        <v>29678.657149786708</v>
      </c>
      <c r="O63" s="62">
        <f t="shared" si="50"/>
        <v>28576.618765738691</v>
      </c>
      <c r="P63" s="125">
        <f t="shared" si="50"/>
        <v>27352.819848419931</v>
      </c>
      <c r="Q63" s="125">
        <f t="shared" si="50"/>
        <v>25987.733176564405</v>
      </c>
      <c r="R63" s="126">
        <f t="shared" si="50"/>
        <v>24515.632697928308</v>
      </c>
      <c r="S63" s="56"/>
    </row>
    <row r="64" spans="3:19" ht="14" thickTop="1" x14ac:dyDescent="0.15">
      <c r="O64" s="121"/>
    </row>
    <row r="65" spans="3:19" ht="14" thickBot="1" x14ac:dyDescent="0.2">
      <c r="O65" s="121"/>
    </row>
    <row r="66" spans="3:19" ht="17" thickTop="1" x14ac:dyDescent="0.2">
      <c r="C66" s="32" t="s">
        <v>61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5"/>
      <c r="S66" s="121"/>
    </row>
    <row r="67" spans="3:19" ht="14" thickBot="1" x14ac:dyDescent="0.2">
      <c r="C67" s="18"/>
      <c r="D67" s="65" t="s">
        <v>25</v>
      </c>
      <c r="E67" s="65" t="s">
        <v>37</v>
      </c>
      <c r="F67" s="65" t="s">
        <v>38</v>
      </c>
      <c r="G67" s="37" t="s">
        <v>177</v>
      </c>
      <c r="H67" s="37" t="s">
        <v>178</v>
      </c>
      <c r="I67" s="65" t="s">
        <v>26</v>
      </c>
      <c r="J67" s="65"/>
      <c r="K67" s="65" t="s">
        <v>27</v>
      </c>
      <c r="L67" s="65" t="s">
        <v>28</v>
      </c>
      <c r="M67" s="65" t="s">
        <v>29</v>
      </c>
      <c r="N67" s="65" t="s">
        <v>30</v>
      </c>
      <c r="O67" s="65" t="s">
        <v>31</v>
      </c>
      <c r="P67" s="37" t="s">
        <v>174</v>
      </c>
      <c r="Q67" s="37" t="s">
        <v>175</v>
      </c>
      <c r="R67" s="38" t="s">
        <v>176</v>
      </c>
      <c r="S67" s="65"/>
    </row>
    <row r="68" spans="3:19" ht="15" thickTop="1" thickBot="1" x14ac:dyDescent="0.2">
      <c r="C68" s="70"/>
      <c r="D68" s="71" t="s">
        <v>39</v>
      </c>
      <c r="E68" s="71" t="s">
        <v>39</v>
      </c>
      <c r="F68" s="71" t="s">
        <v>39</v>
      </c>
      <c r="G68" s="71" t="s">
        <v>39</v>
      </c>
      <c r="H68" s="71" t="s">
        <v>39</v>
      </c>
      <c r="I68" s="71" t="s">
        <v>39</v>
      </c>
      <c r="J68" s="71" t="s">
        <v>39</v>
      </c>
      <c r="K68" s="71" t="s">
        <v>32</v>
      </c>
      <c r="L68" s="71" t="s">
        <v>32</v>
      </c>
      <c r="M68" s="71" t="s">
        <v>32</v>
      </c>
      <c r="N68" s="71" t="s">
        <v>32</v>
      </c>
      <c r="O68" s="71" t="s">
        <v>32</v>
      </c>
      <c r="P68" s="65" t="s">
        <v>32</v>
      </c>
      <c r="Q68" s="65" t="s">
        <v>32</v>
      </c>
      <c r="R68" s="66" t="s">
        <v>32</v>
      </c>
      <c r="S68" s="65"/>
    </row>
    <row r="69" spans="3:19" ht="17" thickTop="1" x14ac:dyDescent="0.2">
      <c r="C69" s="24" t="s">
        <v>0</v>
      </c>
      <c r="D69" s="42">
        <f>'[1]12_13 fleet'!$D84*'Light Vehicle Supporting Data'!D$144</f>
        <v>84522.180837276072</v>
      </c>
      <c r="E69" s="43">
        <f>'[2]13_14 fleet'!$D85*'Light Vehicle Supporting Data'!E$144</f>
        <v>86002.839388585606</v>
      </c>
      <c r="F69" s="43">
        <f>'[3]14_15 fleet'!$D85*'Light Vehicle Supporting Data'!F$144</f>
        <v>86964.41386927948</v>
      </c>
      <c r="G69" s="43">
        <f>'[4]15_16 fleet'!$D85*'Light Vehicle Supporting Data'!G$144</f>
        <v>89945.757761877423</v>
      </c>
      <c r="H69" s="43">
        <f>'[5]16_17 fleet_v2'!$D85*'Light Vehicle Supporting Data'!H$144</f>
        <v>93737.175439571045</v>
      </c>
      <c r="I69" s="209">
        <f>'[6]17_18 fleet_v3'!$D110*'Light Vehicle Supporting Data'!I$144</f>
        <v>94020.620709607349</v>
      </c>
      <c r="J69" s="209">
        <f>'[7]18_19 fleet_v3'!$D110*'Light Vehicle Supporting Data'!J$144</f>
        <v>96858.022114803622</v>
      </c>
      <c r="K69" s="202">
        <f>$J69*('Vehicle Share Diversion Support'!K27/'Vehicle Share Diversion Support'!$J27)</f>
        <v>101755.40724193693</v>
      </c>
      <c r="L69" s="202">
        <f>$J69*('Vehicle Share Diversion Support'!L27/'Vehicle Share Diversion Support'!$J27)</f>
        <v>101095.58139005787</v>
      </c>
      <c r="M69" s="202">
        <f>$J69*('Vehicle Share Diversion Support'!M27/'Vehicle Share Diversion Support'!$J27)</f>
        <v>99428.531374778191</v>
      </c>
      <c r="N69" s="202">
        <f>$J69*('Vehicle Share Diversion Support'!N27/'Vehicle Share Diversion Support'!$J27)</f>
        <v>96298.859616951682</v>
      </c>
      <c r="O69" s="202">
        <f>$J69*('Vehicle Share Diversion Support'!O27/'Vehicle Share Diversion Support'!$J27)</f>
        <v>92938.061993843643</v>
      </c>
      <c r="P69" s="129">
        <f>$J69*('Vehicle Share Diversion Support'!P27/'Vehicle Share Diversion Support'!$J27)</f>
        <v>87542.678916598612</v>
      </c>
      <c r="Q69" s="129">
        <f>$J69*('Vehicle Share Diversion Support'!Q27/'Vehicle Share Diversion Support'!$J27)</f>
        <v>81832.706286887391</v>
      </c>
      <c r="R69" s="197">
        <f>$J69*('Vehicle Share Diversion Support'!R27/'Vehicle Share Diversion Support'!$J27)</f>
        <v>75941.33093672675</v>
      </c>
      <c r="S69" s="56"/>
    </row>
    <row r="70" spans="3:19" ht="16" x14ac:dyDescent="0.2">
      <c r="C70" s="24" t="s">
        <v>1</v>
      </c>
      <c r="D70" s="42">
        <f>'[1]12_13 fleet'!$D85*'Light Vehicle Supporting Data'!D$144</f>
        <v>790154.50956654991</v>
      </c>
      <c r="E70" s="43">
        <f>'[2]13_14 fleet'!$D86*'Light Vehicle Supporting Data'!E$144</f>
        <v>815698.15167841187</v>
      </c>
      <c r="F70" s="43">
        <f>'[3]14_15 fleet'!$D86*'Light Vehicle Supporting Data'!F$144</f>
        <v>861485.04280836042</v>
      </c>
      <c r="G70" s="43">
        <f>'[4]15_16 fleet'!$D86*'Light Vehicle Supporting Data'!G$144</f>
        <v>893758.84765732428</v>
      </c>
      <c r="H70" s="43">
        <f>'[5]16_17 fleet_v2'!$D86*'Light Vehicle Supporting Data'!H$144</f>
        <v>924910.46845108876</v>
      </c>
      <c r="I70" s="202">
        <f>'[6]17_18 fleet_v3'!$D111*'Light Vehicle Supporting Data'!I$144</f>
        <v>942624.97242576443</v>
      </c>
      <c r="J70" s="202">
        <f>'[7]18_19 fleet_v3'!$D111*'Light Vehicle Supporting Data'!J$144</f>
        <v>959250.89873111784</v>
      </c>
      <c r="K70" s="202">
        <f>$J70*('Vehicle Share Diversion Support'!K28/'Vehicle Share Diversion Support'!$J28)</f>
        <v>1051102.2195731543</v>
      </c>
      <c r="L70" s="202">
        <f>$J70*('Vehicle Share Diversion Support'!L28/'Vehicle Share Diversion Support'!$J28)</f>
        <v>1089647.8742760327</v>
      </c>
      <c r="M70" s="202">
        <f>$J70*('Vehicle Share Diversion Support'!M28/'Vehicle Share Diversion Support'!$J28)</f>
        <v>1112523.1781195565</v>
      </c>
      <c r="N70" s="202">
        <f>$J70*('Vehicle Share Diversion Support'!N28/'Vehicle Share Diversion Support'!$J28)</f>
        <v>1119419.821963321</v>
      </c>
      <c r="O70" s="202">
        <f>$J70*('Vehicle Share Diversion Support'!O28/'Vehicle Share Diversion Support'!$J28)</f>
        <v>1118881.3953546716</v>
      </c>
      <c r="P70" s="167">
        <f>$J70*('Vehicle Share Diversion Support'!P28/'Vehicle Share Diversion Support'!$J28)</f>
        <v>1094030.38562076</v>
      </c>
      <c r="Q70" s="167">
        <f>$J70*('Vehicle Share Diversion Support'!Q28/'Vehicle Share Diversion Support'!$J28)</f>
        <v>1061586.9646696288</v>
      </c>
      <c r="R70" s="198">
        <f>$J70*('Vehicle Share Diversion Support'!R28/'Vehicle Share Diversion Support'!$J28)</f>
        <v>1022647.5419371488</v>
      </c>
      <c r="S70" s="56"/>
    </row>
    <row r="71" spans="3:19" ht="16" x14ac:dyDescent="0.2">
      <c r="C71" s="24" t="s">
        <v>2</v>
      </c>
      <c r="D71" s="42">
        <f>'[1]12_13 fleet'!$D86*'Light Vehicle Supporting Data'!D$144</f>
        <v>229972.29899136061</v>
      </c>
      <c r="E71" s="43">
        <f>'[2]13_14 fleet'!$D87*'Light Vehicle Supporting Data'!E$144</f>
        <v>237239.51444168735</v>
      </c>
      <c r="F71" s="43">
        <f>'[3]14_15 fleet'!$D87*'Light Vehicle Supporting Data'!F$144</f>
        <v>243697.38217090879</v>
      </c>
      <c r="G71" s="43">
        <f>'[4]15_16 fleet'!$D87*'Light Vehicle Supporting Data'!G$144</f>
        <v>252444.90205198227</v>
      </c>
      <c r="H71" s="43">
        <f>'[5]16_17 fleet_v2'!$D87*'Light Vehicle Supporting Data'!H$144</f>
        <v>260905.10054781975</v>
      </c>
      <c r="I71" s="202">
        <f>'[6]17_18 fleet_v3'!$D112*'Light Vehicle Supporting Data'!I$144</f>
        <v>268586.02682488417</v>
      </c>
      <c r="J71" s="202">
        <f>'[7]18_19 fleet_v3'!$D112*'Light Vehicle Supporting Data'!J$144</f>
        <v>275309.08513595164</v>
      </c>
      <c r="K71" s="202">
        <f>$J71*('Vehicle Share Diversion Support'!K29/'Vehicle Share Diversion Support'!$J29)</f>
        <v>293364.81578882085</v>
      </c>
      <c r="L71" s="202">
        <f>$J71*('Vehicle Share Diversion Support'!L29/'Vehicle Share Diversion Support'!$J29)</f>
        <v>296445.91309160052</v>
      </c>
      <c r="M71" s="202">
        <f>$J71*('Vehicle Share Diversion Support'!M29/'Vehicle Share Diversion Support'!$J29)</f>
        <v>296133.24927132472</v>
      </c>
      <c r="N71" s="202">
        <f>$J71*('Vehicle Share Diversion Support'!N29/'Vehicle Share Diversion Support'!$J29)</f>
        <v>291516.58224471967</v>
      </c>
      <c r="O71" s="202">
        <f>$J71*('Vehicle Share Diversion Support'!O29/'Vehicle Share Diversion Support'!$J29)</f>
        <v>285781.00621359504</v>
      </c>
      <c r="P71" s="167">
        <f>$J71*('Vehicle Share Diversion Support'!P29/'Vehicle Share Diversion Support'!$J29)</f>
        <v>273621.0116547317</v>
      </c>
      <c r="Q71" s="167">
        <f>$J71*('Vehicle Share Diversion Support'!Q29/'Vehicle Share Diversion Support'!$J29)</f>
        <v>259983.86070324914</v>
      </c>
      <c r="R71" s="198">
        <f>$J71*('Vehicle Share Diversion Support'!R29/'Vehicle Share Diversion Support'!$J29)</f>
        <v>245237.87359686018</v>
      </c>
      <c r="S71" s="56"/>
    </row>
    <row r="72" spans="3:19" ht="16" x14ac:dyDescent="0.2">
      <c r="C72" s="24" t="s">
        <v>3</v>
      </c>
      <c r="D72" s="42">
        <f>'[1]12_13 fleet'!$D87*'Light Vehicle Supporting Data'!D$144</f>
        <v>173104.81776982741</v>
      </c>
      <c r="E72" s="43">
        <f>'[2]13_14 fleet'!$D88*'Light Vehicle Supporting Data'!E$144</f>
        <v>176817.7639325062</v>
      </c>
      <c r="F72" s="43">
        <f>'[3]14_15 fleet'!$D88*'Light Vehicle Supporting Data'!F$144</f>
        <v>180752.3423889874</v>
      </c>
      <c r="G72" s="43">
        <f>'[4]15_16 fleet'!$D88*'Light Vehicle Supporting Data'!G$144</f>
        <v>188021.94456318783</v>
      </c>
      <c r="H72" s="43">
        <f>'[5]16_17 fleet_v2'!$D88*'Light Vehicle Supporting Data'!H$144</f>
        <v>195669.79185681714</v>
      </c>
      <c r="I72" s="202">
        <f>'[6]17_18 fleet_v3'!$D113*'Light Vehicle Supporting Data'!I$144</f>
        <v>201483.05189021528</v>
      </c>
      <c r="J72" s="202">
        <f>'[7]18_19 fleet_v3'!$D113*'Light Vehicle Supporting Data'!J$144</f>
        <v>207997.25329305136</v>
      </c>
      <c r="K72" s="202">
        <f>$J72*('Vehicle Share Diversion Support'!K30/'Vehicle Share Diversion Support'!$J30)</f>
        <v>220269.07499514669</v>
      </c>
      <c r="L72" s="202">
        <f>$J72*('Vehicle Share Diversion Support'!L30/'Vehicle Share Diversion Support'!$J30)</f>
        <v>220443.56457601255</v>
      </c>
      <c r="M72" s="202">
        <f>$J72*('Vehicle Share Diversion Support'!M30/'Vehicle Share Diversion Support'!$J30)</f>
        <v>218513.20442940487</v>
      </c>
      <c r="N72" s="202">
        <f>$J72*('Vehicle Share Diversion Support'!N30/'Vehicle Share Diversion Support'!$J30)</f>
        <v>213575.56885186225</v>
      </c>
      <c r="O72" s="202">
        <f>$J72*('Vehicle Share Diversion Support'!O30/'Vehicle Share Diversion Support'!$J30)</f>
        <v>208130.75711240509</v>
      </c>
      <c r="P72" s="167">
        <f>$J72*('Vehicle Share Diversion Support'!P30/'Vehicle Share Diversion Support'!$J30)</f>
        <v>197928.71797149201</v>
      </c>
      <c r="Q72" s="167">
        <f>$J72*('Vehicle Share Diversion Support'!Q30/'Vehicle Share Diversion Support'!$J30)</f>
        <v>186793.6981446697</v>
      </c>
      <c r="R72" s="198">
        <f>$J72*('Vehicle Share Diversion Support'!R30/'Vehicle Share Diversion Support'!$J30)</f>
        <v>175008.78021690116</v>
      </c>
      <c r="S72" s="56"/>
    </row>
    <row r="73" spans="3:19" ht="16" x14ac:dyDescent="0.2">
      <c r="C73" s="24" t="s">
        <v>4</v>
      </c>
      <c r="D73" s="42">
        <f>'[1]12_13 fleet'!$D88*'Light Vehicle Supporting Data'!D$144</f>
        <v>21302.828292035421</v>
      </c>
      <c r="E73" s="43">
        <f>'[2]13_14 fleet'!$D89*'Light Vehicle Supporting Data'!E$144</f>
        <v>21384.701532506202</v>
      </c>
      <c r="F73" s="43">
        <f>'[3]14_15 fleet'!$D89*'Light Vehicle Supporting Data'!F$144</f>
        <v>21573.151616652591</v>
      </c>
      <c r="G73" s="43">
        <f>'[4]15_16 fleet'!$D89*'Light Vehicle Supporting Data'!G$144</f>
        <v>21744.73106150157</v>
      </c>
      <c r="H73" s="43">
        <f>'[5]16_17 fleet_v2'!$D89*'Light Vehicle Supporting Data'!H$144</f>
        <v>22223.546685450561</v>
      </c>
      <c r="I73" s="202">
        <f>'[6]17_18 fleet_v3'!$D114*'Light Vehicle Supporting Data'!I$144</f>
        <v>25877.886909589328</v>
      </c>
      <c r="J73" s="202">
        <f>'[7]18_19 fleet_v3'!$D114*'Light Vehicle Supporting Data'!J$144</f>
        <v>25584.080483383685</v>
      </c>
      <c r="K73" s="202">
        <f>$J73*('Vehicle Share Diversion Support'!K31/'Vehicle Share Diversion Support'!$J31)</f>
        <v>26390.005131092781</v>
      </c>
      <c r="L73" s="202">
        <f>$J73*('Vehicle Share Diversion Support'!L31/'Vehicle Share Diversion Support'!$J31)</f>
        <v>26152.192511282061</v>
      </c>
      <c r="M73" s="202">
        <f>$J73*('Vehicle Share Diversion Support'!M31/'Vehicle Share Diversion Support'!$J31)</f>
        <v>25492.091641965577</v>
      </c>
      <c r="N73" s="202">
        <f>$J73*('Vehicle Share Diversion Support'!N31/'Vehicle Share Diversion Support'!$J31)</f>
        <v>24530.634679063038</v>
      </c>
      <c r="O73" s="202">
        <f>$J73*('Vehicle Share Diversion Support'!O31/'Vehicle Share Diversion Support'!$J31)</f>
        <v>23533.883717481542</v>
      </c>
      <c r="P73" s="167">
        <f>$J73*('Vehicle Share Diversion Support'!P31/'Vehicle Share Diversion Support'!$J31)</f>
        <v>21855.943615430613</v>
      </c>
      <c r="Q73" s="167">
        <f>$J73*('Vehicle Share Diversion Support'!Q31/'Vehicle Share Diversion Support'!$J31)</f>
        <v>20143.103352426606</v>
      </c>
      <c r="R73" s="198">
        <f>$J73*('Vehicle Share Diversion Support'!R31/'Vehicle Share Diversion Support'!$J31)</f>
        <v>18430.088017967664</v>
      </c>
      <c r="S73" s="56"/>
    </row>
    <row r="74" spans="3:19" ht="16" x14ac:dyDescent="0.2">
      <c r="C74" s="24" t="s">
        <v>5</v>
      </c>
      <c r="D74" s="42">
        <f>'[1]12_13 fleet'!$D89*'Light Vehicle Supporting Data'!D$144</f>
        <v>85144.007240783088</v>
      </c>
      <c r="E74" s="43">
        <f>'[2]13_14 fleet'!$D90*'Light Vehicle Supporting Data'!E$144</f>
        <v>86375.472156823816</v>
      </c>
      <c r="F74" s="43">
        <f>'[3]14_15 fleet'!$D90*'Light Vehicle Supporting Data'!F$144</f>
        <v>87638.229664781684</v>
      </c>
      <c r="G74" s="43">
        <f>'[4]15_16 fleet'!$D90*'Light Vehicle Supporting Data'!G$144</f>
        <v>90478.884190617711</v>
      </c>
      <c r="H74" s="43">
        <f>'[5]16_17 fleet_v2'!$D90*'Light Vehicle Supporting Data'!H$144</f>
        <v>93769.294742851576</v>
      </c>
      <c r="I74" s="202">
        <f>'[6]17_18 fleet_v3'!$D115*'Light Vehicle Supporting Data'!I$144</f>
        <v>96104.141361827657</v>
      </c>
      <c r="J74" s="202">
        <f>'[7]18_19 fleet_v3'!$D115*'Light Vehicle Supporting Data'!J$144</f>
        <v>98454.274984894262</v>
      </c>
      <c r="K74" s="202">
        <f>$J74*('Vehicle Share Diversion Support'!K32/'Vehicle Share Diversion Support'!$J32)</f>
        <v>102006.71130244207</v>
      </c>
      <c r="L74" s="202">
        <f>$J74*('Vehicle Share Diversion Support'!L32/'Vehicle Share Diversion Support'!$J32)</f>
        <v>99936.046849464634</v>
      </c>
      <c r="M74" s="202">
        <f>$J74*('Vehicle Share Diversion Support'!M32/'Vehicle Share Diversion Support'!$J32)</f>
        <v>96945.275283568757</v>
      </c>
      <c r="N74" s="202">
        <f>$J74*('Vehicle Share Diversion Support'!N32/'Vehicle Share Diversion Support'!$J32)</f>
        <v>92754.543278423691</v>
      </c>
      <c r="O74" s="202">
        <f>$J74*('Vehicle Share Diversion Support'!O32/'Vehicle Share Diversion Support'!$J32)</f>
        <v>88571.089451508247</v>
      </c>
      <c r="P74" s="167">
        <f>$J74*('Vehicle Share Diversion Support'!P32/'Vehicle Share Diversion Support'!$J32)</f>
        <v>82460.918002062172</v>
      </c>
      <c r="Q74" s="167">
        <f>$J74*('Vehicle Share Diversion Support'!Q32/'Vehicle Share Diversion Support'!$J32)</f>
        <v>76187.760002171068</v>
      </c>
      <c r="R74" s="198">
        <f>$J74*('Vehicle Share Diversion Support'!R32/'Vehicle Share Diversion Support'!$J32)</f>
        <v>69882.181464958616</v>
      </c>
      <c r="S74" s="56"/>
    </row>
    <row r="75" spans="3:19" ht="16" x14ac:dyDescent="0.2">
      <c r="C75" s="24" t="s">
        <v>6</v>
      </c>
      <c r="D75" s="42">
        <f>'[1]12_13 fleet'!$D90*'Light Vehicle Supporting Data'!D$144</f>
        <v>64027.023673543794</v>
      </c>
      <c r="E75" s="43">
        <f>'[2]13_14 fleet'!$D91*'Light Vehicle Supporting Data'!E$144</f>
        <v>65582.362808933001</v>
      </c>
      <c r="F75" s="43">
        <f>'[3]14_15 fleet'!$D91*'Light Vehicle Supporting Data'!F$144</f>
        <v>66395.458669172644</v>
      </c>
      <c r="G75" s="43">
        <f>'[4]15_16 fleet'!$D91*'Light Vehicle Supporting Data'!G$144</f>
        <v>67472.119379725278</v>
      </c>
      <c r="H75" s="43">
        <f>'[5]16_17 fleet_v2'!$D91*'Light Vehicle Supporting Data'!H$144</f>
        <v>68671.070413792768</v>
      </c>
      <c r="I75" s="202">
        <f>'[6]17_18 fleet_v3'!$D116*'Light Vehicle Supporting Data'!I$144</f>
        <v>72422.857637456196</v>
      </c>
      <c r="J75" s="202">
        <f>'[7]18_19 fleet_v3'!$D116*'Light Vehicle Supporting Data'!J$144</f>
        <v>73971.058549848938</v>
      </c>
      <c r="K75" s="202">
        <f>$J75*('Vehicle Share Diversion Support'!K33/'Vehicle Share Diversion Support'!$J33)</f>
        <v>76872.662241791928</v>
      </c>
      <c r="L75" s="202">
        <f>$J75*('Vehicle Share Diversion Support'!L33/'Vehicle Share Diversion Support'!$J33)</f>
        <v>75933.826471076289</v>
      </c>
      <c r="M75" s="202">
        <f>$J75*('Vehicle Share Diversion Support'!M33/'Vehicle Share Diversion Support'!$J33)</f>
        <v>74086.333671949134</v>
      </c>
      <c r="N75" s="202">
        <f>$J75*('Vehicle Share Diversion Support'!N33/'Vehicle Share Diversion Support'!$J33)</f>
        <v>71842.150785773978</v>
      </c>
      <c r="O75" s="202">
        <f>$J75*('Vehicle Share Diversion Support'!O33/'Vehicle Share Diversion Support'!$J33)</f>
        <v>69421.192648918499</v>
      </c>
      <c r="P75" s="167">
        <f>$J75*('Vehicle Share Diversion Support'!P33/'Vehicle Share Diversion Support'!$J33)</f>
        <v>65510.237810629682</v>
      </c>
      <c r="Q75" s="167">
        <f>$J75*('Vehicle Share Diversion Support'!Q33/'Vehicle Share Diversion Support'!$J33)</f>
        <v>61348.951193947796</v>
      </c>
      <c r="R75" s="198">
        <f>$J75*('Vehicle Share Diversion Support'!R33/'Vehicle Share Diversion Support'!$J33)</f>
        <v>57036.033823047735</v>
      </c>
      <c r="S75" s="56"/>
    </row>
    <row r="76" spans="3:19" ht="16" x14ac:dyDescent="0.2">
      <c r="C76" s="24" t="s">
        <v>7</v>
      </c>
      <c r="D76" s="42">
        <f>'[1]12_13 fleet'!$D91*'Light Vehicle Supporting Data'!D$144</f>
        <v>127552.76887317804</v>
      </c>
      <c r="E76" s="43">
        <f>'[2]13_14 fleet'!$D92*'Light Vehicle Supporting Data'!E$144</f>
        <v>129292.52216774193</v>
      </c>
      <c r="F76" s="43">
        <f>'[3]14_15 fleet'!$D92*'Light Vehicle Supporting Data'!F$144</f>
        <v>132106.05538226108</v>
      </c>
      <c r="G76" s="43">
        <f>'[4]15_16 fleet'!$D92*'Light Vehicle Supporting Data'!G$144</f>
        <v>135330.7805204016</v>
      </c>
      <c r="H76" s="43">
        <f>'[5]16_17 fleet_v2'!$D92*'Light Vehicle Supporting Data'!H$144</f>
        <v>139271.30648087291</v>
      </c>
      <c r="I76" s="202">
        <f>'[6]17_18 fleet_v3'!$D117*'Light Vehicle Supporting Data'!I$144</f>
        <v>142548.0383212631</v>
      </c>
      <c r="J76" s="202">
        <f>'[7]18_19 fleet_v3'!$D117*'Light Vehicle Supporting Data'!J$144</f>
        <v>146275.80924471299</v>
      </c>
      <c r="K76" s="202">
        <f>$J76*('Vehicle Share Diversion Support'!K34/'Vehicle Share Diversion Support'!$J34)</f>
        <v>150827.08871448346</v>
      </c>
      <c r="L76" s="202">
        <f>$J76*('Vehicle Share Diversion Support'!L34/'Vehicle Share Diversion Support'!$J34)</f>
        <v>147247.86384911797</v>
      </c>
      <c r="M76" s="202">
        <f>$J76*('Vehicle Share Diversion Support'!M34/'Vehicle Share Diversion Support'!$J34)</f>
        <v>142841.66320512004</v>
      </c>
      <c r="N76" s="202">
        <f>$J76*('Vehicle Share Diversion Support'!N34/'Vehicle Share Diversion Support'!$J34)</f>
        <v>136585.49746348322</v>
      </c>
      <c r="O76" s="202">
        <f>$J76*('Vehicle Share Diversion Support'!O34/'Vehicle Share Diversion Support'!$J34)</f>
        <v>130324.12048376305</v>
      </c>
      <c r="P76" s="167">
        <f>$J76*('Vehicle Share Diversion Support'!P34/'Vehicle Share Diversion Support'!$J34)</f>
        <v>121172.53589818407</v>
      </c>
      <c r="Q76" s="167">
        <f>$J76*('Vehicle Share Diversion Support'!Q34/'Vehicle Share Diversion Support'!$J34)</f>
        <v>111805.83057524927</v>
      </c>
      <c r="R76" s="198">
        <f>$J76*('Vehicle Share Diversion Support'!R34/'Vehicle Share Diversion Support'!$J34)</f>
        <v>102416.2609290179</v>
      </c>
      <c r="S76" s="56"/>
    </row>
    <row r="77" spans="3:19" ht="16" x14ac:dyDescent="0.2">
      <c r="C77" s="24" t="s">
        <v>8</v>
      </c>
      <c r="D77" s="42">
        <f>'[1]12_13 fleet'!$D92*'Light Vehicle Supporting Data'!D$144</f>
        <v>243585.17394115651</v>
      </c>
      <c r="E77" s="43">
        <f>'[2]13_14 fleet'!$D93*'Light Vehicle Supporting Data'!E$144</f>
        <v>247599.91067990076</v>
      </c>
      <c r="F77" s="43">
        <f>'[3]14_15 fleet'!$D93*'Light Vehicle Supporting Data'!F$144</f>
        <v>253161.9333968526</v>
      </c>
      <c r="G77" s="43">
        <f>'[4]15_16 fleet'!$D93*'Light Vehicle Supporting Data'!G$144</f>
        <v>259423.73784515326</v>
      </c>
      <c r="H77" s="43">
        <f>'[5]16_17 fleet_v2'!$D93*'Light Vehicle Supporting Data'!H$144</f>
        <v>267454.42723236716</v>
      </c>
      <c r="I77" s="202">
        <f>'[6]17_18 fleet_v3'!$D118*'Light Vehicle Supporting Data'!I$144</f>
        <v>273182.38146256324</v>
      </c>
      <c r="J77" s="202">
        <f>'[7]18_19 fleet_v3'!$D118*'Light Vehicle Supporting Data'!J$144</f>
        <v>280030.79111782479</v>
      </c>
      <c r="K77" s="202">
        <f>$J77*('Vehicle Share Diversion Support'!K35/'Vehicle Share Diversion Support'!$J35)</f>
        <v>292066.89624304202</v>
      </c>
      <c r="L77" s="202">
        <f>$J77*('Vehicle Share Diversion Support'!L35/'Vehicle Share Diversion Support'!$J35)</f>
        <v>289236.96558581531</v>
      </c>
      <c r="M77" s="202">
        <f>$J77*('Vehicle Share Diversion Support'!M35/'Vehicle Share Diversion Support'!$J35)</f>
        <v>282541.28545858891</v>
      </c>
      <c r="N77" s="202">
        <f>$J77*('Vehicle Share Diversion Support'!N35/'Vehicle Share Diversion Support'!$J35)</f>
        <v>273929.42648230999</v>
      </c>
      <c r="O77" s="202">
        <f>$J77*('Vehicle Share Diversion Support'!O35/'Vehicle Share Diversion Support'!$J35)</f>
        <v>264642.14219565602</v>
      </c>
      <c r="P77" s="167">
        <f>$J77*('Vehicle Share Diversion Support'!P35/'Vehicle Share Diversion Support'!$J35)</f>
        <v>249742.78849644019</v>
      </c>
      <c r="Q77" s="167">
        <f>$J77*('Vehicle Share Diversion Support'!Q35/'Vehicle Share Diversion Support'!$J35)</f>
        <v>233887.90875264205</v>
      </c>
      <c r="R77" s="198">
        <f>$J77*('Vehicle Share Diversion Support'!R35/'Vehicle Share Diversion Support'!$J35)</f>
        <v>217453.69608569617</v>
      </c>
      <c r="S77" s="56"/>
    </row>
    <row r="78" spans="3:19" ht="16" x14ac:dyDescent="0.2">
      <c r="C78" s="24" t="s">
        <v>9</v>
      </c>
      <c r="D78" s="42">
        <f>'[1]12_13 fleet'!$D93*'Light Vehicle Supporting Data'!D$144</f>
        <v>88461.084436873862</v>
      </c>
      <c r="E78" s="43">
        <f>'[2]13_14 fleet'!$D94*'Light Vehicle Supporting Data'!E$144</f>
        <v>90791.823321091812</v>
      </c>
      <c r="F78" s="43">
        <f>'[3]14_15 fleet'!$D94*'Light Vehicle Supporting Data'!F$144</f>
        <v>93991.780392266708</v>
      </c>
      <c r="G78" s="43">
        <f>'[4]15_16 fleet'!$D94*'Light Vehicle Supporting Data'!G$144</f>
        <v>99987.811510013838</v>
      </c>
      <c r="H78" s="43">
        <f>'[5]16_17 fleet_v2'!$D94*'Light Vehicle Supporting Data'!H$144</f>
        <v>105916.41375226049</v>
      </c>
      <c r="I78" s="202">
        <f>'[6]17_18 fleet_v3'!$D119*'Light Vehicle Supporting Data'!I$144</f>
        <v>107619.54585034789</v>
      </c>
      <c r="J78" s="202">
        <f>'[7]18_19 fleet_v3'!$D119*'Light Vehicle Supporting Data'!J$144</f>
        <v>111084.18797583082</v>
      </c>
      <c r="K78" s="202">
        <f>$J78*('Vehicle Share Diversion Support'!K36/'Vehicle Share Diversion Support'!$J36)</f>
        <v>116016.66933021645</v>
      </c>
      <c r="L78" s="202">
        <f>$J78*('Vehicle Share Diversion Support'!L36/'Vehicle Share Diversion Support'!$J36)</f>
        <v>114892.5016883481</v>
      </c>
      <c r="M78" s="202">
        <f>$J78*('Vehicle Share Diversion Support'!M36/'Vehicle Share Diversion Support'!$J36)</f>
        <v>111981.2048700372</v>
      </c>
      <c r="N78" s="202">
        <f>$J78*('Vehicle Share Diversion Support'!N36/'Vehicle Share Diversion Support'!$J36)</f>
        <v>107199.26801606223</v>
      </c>
      <c r="O78" s="202">
        <f>$J78*('Vehicle Share Diversion Support'!O36/'Vehicle Share Diversion Support'!$J36)</f>
        <v>102301.75640121655</v>
      </c>
      <c r="P78" s="167">
        <f>$J78*('Vehicle Share Diversion Support'!P36/'Vehicle Share Diversion Support'!$J36)</f>
        <v>95761.887775148673</v>
      </c>
      <c r="Q78" s="167">
        <f>$J78*('Vehicle Share Diversion Support'!Q36/'Vehicle Share Diversion Support'!$J36)</f>
        <v>88961.822632125244</v>
      </c>
      <c r="R78" s="198">
        <f>$J78*('Vehicle Share Diversion Support'!R36/'Vehicle Share Diversion Support'!$J36)</f>
        <v>82050.150092323369</v>
      </c>
      <c r="S78" s="56"/>
    </row>
    <row r="79" spans="3:19" ht="16" x14ac:dyDescent="0.2">
      <c r="C79" s="24" t="s">
        <v>10</v>
      </c>
      <c r="D79" s="42">
        <f>'[1]12_13 fleet'!$D94*'Light Vehicle Supporting Data'!D$144</f>
        <v>18404.655151295905</v>
      </c>
      <c r="E79" s="43">
        <f>'[2]13_14 fleet'!$D95*'Light Vehicle Supporting Data'!E$144</f>
        <v>18517.136698759306</v>
      </c>
      <c r="F79" s="43">
        <f>'[3]14_15 fleet'!$D95*'Light Vehicle Supporting Data'!F$144</f>
        <v>18285.412548881766</v>
      </c>
      <c r="G79" s="43">
        <f>'[4]15_16 fleet'!$D95*'Light Vehicle Supporting Data'!G$144</f>
        <v>18242.763107742336</v>
      </c>
      <c r="H79" s="43">
        <f>'[5]16_17 fleet_v2'!$D95*'Light Vehicle Supporting Data'!H$144</f>
        <v>18317.036423954982</v>
      </c>
      <c r="I79" s="202">
        <f>'[6]17_18 fleet_v3'!$D120*'Light Vehicle Supporting Data'!I$144</f>
        <v>18691.642047152229</v>
      </c>
      <c r="J79" s="202">
        <f>'[7]18_19 fleet_v3'!$D120*'Light Vehicle Supporting Data'!J$144</f>
        <v>19226.090211480361</v>
      </c>
      <c r="K79" s="202">
        <f>$J79*('Vehicle Share Diversion Support'!K37/'Vehicle Share Diversion Support'!$J37)</f>
        <v>19410.898835343996</v>
      </c>
      <c r="L79" s="202">
        <f>$J79*('Vehicle Share Diversion Support'!L37/'Vehicle Share Diversion Support'!$J37)</f>
        <v>18707.862992463397</v>
      </c>
      <c r="M79" s="202">
        <f>$J79*('Vehicle Share Diversion Support'!M37/'Vehicle Share Diversion Support'!$J37)</f>
        <v>17490.791394755892</v>
      </c>
      <c r="N79" s="202">
        <f>$J79*('Vehicle Share Diversion Support'!N37/'Vehicle Share Diversion Support'!$J37)</f>
        <v>16382.123116257269</v>
      </c>
      <c r="O79" s="202">
        <f>$J79*('Vehicle Share Diversion Support'!O37/'Vehicle Share Diversion Support'!$J37)</f>
        <v>15322.877034974492</v>
      </c>
      <c r="P79" s="167">
        <f>$J79*('Vehicle Share Diversion Support'!P37/'Vehicle Share Diversion Support'!$J37)</f>
        <v>13995.761567890417</v>
      </c>
      <c r="Q79" s="167">
        <f>$J79*('Vehicle Share Diversion Support'!Q37/'Vehicle Share Diversion Support'!$J37)</f>
        <v>12686.26021311847</v>
      </c>
      <c r="R79" s="198">
        <f>$J79*('Vehicle Share Diversion Support'!R37/'Vehicle Share Diversion Support'!$J37)</f>
        <v>11416.024807717253</v>
      </c>
      <c r="S79" s="56"/>
    </row>
    <row r="80" spans="3:19" ht="16" x14ac:dyDescent="0.2">
      <c r="C80" s="24" t="s">
        <v>11</v>
      </c>
      <c r="D80" s="42">
        <f>'[1]12_13 fleet'!$D95*'Light Vehicle Supporting Data'!D$144</f>
        <v>370859.67801018036</v>
      </c>
      <c r="E80" s="43">
        <f>'[2]13_14 fleet'!$D96*'Light Vehicle Supporting Data'!E$144</f>
        <v>379657.54878014891</v>
      </c>
      <c r="F80" s="43">
        <f>'[3]14_15 fleet'!$D96*'Light Vehicle Supporting Data'!F$144</f>
        <v>392411.84208642022</v>
      </c>
      <c r="G80" s="43">
        <f>'[4]15_16 fleet'!$D96*'Light Vehicle Supporting Data'!G$144</f>
        <v>404519.4668512952</v>
      </c>
      <c r="H80" s="43">
        <f>'[5]16_17 fleet_v2'!$D96*'Light Vehicle Supporting Data'!H$144</f>
        <v>414824.81678107358</v>
      </c>
      <c r="I80" s="202">
        <f>'[6]17_18 fleet_v3'!$D121*'Light Vehicle Supporting Data'!I$144</f>
        <v>423787.30007730651</v>
      </c>
      <c r="J80" s="202">
        <f>'[7]18_19 fleet_v3'!$D121*'Light Vehicle Supporting Data'!J$144</f>
        <v>433742.43661631423</v>
      </c>
      <c r="K80" s="202">
        <f>$J80*('Vehicle Share Diversion Support'!K38/'Vehicle Share Diversion Support'!$J38)</f>
        <v>463922.63948562363</v>
      </c>
      <c r="L80" s="202">
        <f>$J80*('Vehicle Share Diversion Support'!L38/'Vehicle Share Diversion Support'!$J38)</f>
        <v>469584.13074694987</v>
      </c>
      <c r="M80" s="202">
        <f>$J80*('Vehicle Share Diversion Support'!M38/'Vehicle Share Diversion Support'!$J38)</f>
        <v>469380.46398807305</v>
      </c>
      <c r="N80" s="202">
        <f>$J80*('Vehicle Share Diversion Support'!N38/'Vehicle Share Diversion Support'!$J38)</f>
        <v>462964.55129139079</v>
      </c>
      <c r="O80" s="202">
        <f>$J80*('Vehicle Share Diversion Support'!O38/'Vehicle Share Diversion Support'!$J38)</f>
        <v>454532.47895934276</v>
      </c>
      <c r="P80" s="167">
        <f>$J80*('Vehicle Share Diversion Support'!P38/'Vehicle Share Diversion Support'!$J38)</f>
        <v>436904.85482511227</v>
      </c>
      <c r="Q80" s="167">
        <f>$J80*('Vehicle Share Diversion Support'!Q38/'Vehicle Share Diversion Support'!$J38)</f>
        <v>416763.50395254971</v>
      </c>
      <c r="R80" s="198">
        <f>$J80*('Vehicle Share Diversion Support'!R38/'Vehicle Share Diversion Support'!$J38)</f>
        <v>394672.34823628858</v>
      </c>
      <c r="S80" s="56"/>
    </row>
    <row r="81" spans="3:28" ht="16" x14ac:dyDescent="0.2">
      <c r="C81" s="24" t="s">
        <v>12</v>
      </c>
      <c r="D81" s="42">
        <f>'[1]12_13 fleet'!$D96*'Light Vehicle Supporting Data'!D$144</f>
        <v>110735.32812824901</v>
      </c>
      <c r="E81" s="43">
        <f>'[2]13_14 fleet'!$D97*'Light Vehicle Supporting Data'!E$144</f>
        <v>113331.58599503723</v>
      </c>
      <c r="F81" s="43">
        <f>'[3]14_15 fleet'!$D97*'Light Vehicle Supporting Data'!F$144</f>
        <v>115988.70289670161</v>
      </c>
      <c r="G81" s="43">
        <f>'[4]15_16 fleet'!$D97*'Light Vehicle Supporting Data'!G$144</f>
        <v>119858.06603204623</v>
      </c>
      <c r="H81" s="43">
        <f>'[5]16_17 fleet_v2'!$D97*'Light Vehicle Supporting Data'!H$144</f>
        <v>129866.37298904003</v>
      </c>
      <c r="I81" s="202">
        <f>'[6]17_18 fleet_v3'!$D122*'Light Vehicle Supporting Data'!I$144</f>
        <v>129903.8099635284</v>
      </c>
      <c r="J81" s="202">
        <f>'[7]18_19 fleet_v3'!$D122*'Light Vehicle Supporting Data'!J$144</f>
        <v>133904.09891238672</v>
      </c>
      <c r="K81" s="202">
        <f>$J81*('Vehicle Share Diversion Support'!K39/'Vehicle Share Diversion Support'!$J39)</f>
        <v>140929.56591135607</v>
      </c>
      <c r="L81" s="202">
        <f>$J81*('Vehicle Share Diversion Support'!L39/'Vehicle Share Diversion Support'!$J39)</f>
        <v>140436.76827287089</v>
      </c>
      <c r="M81" s="202">
        <f>$J81*('Vehicle Share Diversion Support'!M39/'Vehicle Share Diversion Support'!$J39)</f>
        <v>138202.91169105368</v>
      </c>
      <c r="N81" s="202">
        <f>$J81*('Vehicle Share Diversion Support'!N39/'Vehicle Share Diversion Support'!$J39)</f>
        <v>134304.44420238241</v>
      </c>
      <c r="O81" s="202">
        <f>$J81*('Vehicle Share Diversion Support'!O39/'Vehicle Share Diversion Support'!$J39)</f>
        <v>129962.02451518251</v>
      </c>
      <c r="P81" s="167">
        <f>$J81*('Vehicle Share Diversion Support'!P39/'Vehicle Share Diversion Support'!$J39)</f>
        <v>123055.18976274852</v>
      </c>
      <c r="Q81" s="167">
        <f>$J81*('Vehicle Share Diversion Support'!Q39/'Vehicle Share Diversion Support'!$J39)</f>
        <v>115628.33233383947</v>
      </c>
      <c r="R81" s="198">
        <f>$J81*('Vehicle Share Diversion Support'!R39/'Vehicle Share Diversion Support'!$J39)</f>
        <v>107863.07529368516</v>
      </c>
      <c r="S81" s="56"/>
    </row>
    <row r="82" spans="3:28" ht="17" thickBot="1" x14ac:dyDescent="0.25">
      <c r="C82" s="25" t="s">
        <v>13</v>
      </c>
      <c r="D82" s="45">
        <f>'[1]12_13 fleet'!$D97*'Light Vehicle Supporting Data'!D$144</f>
        <v>60863.645087689809</v>
      </c>
      <c r="E82" s="46">
        <f>'[2]13_14 fleet'!$D98*'Light Vehicle Supporting Data'!E$144</f>
        <v>61543.666417866007</v>
      </c>
      <c r="F82" s="46">
        <f>'[3]14_15 fleet'!$D98*'Light Vehicle Supporting Data'!F$144</f>
        <v>62517.252108472916</v>
      </c>
      <c r="G82" s="46">
        <f>'[4]15_16 fleet'!$D98*'Light Vehicle Supporting Data'!G$144</f>
        <v>63979.187467131131</v>
      </c>
      <c r="H82" s="46">
        <f>'[5]16_17 fleet_v2'!$D98*'Light Vehicle Supporting Data'!H$144</f>
        <v>65200.178203039497</v>
      </c>
      <c r="I82" s="203">
        <f>'[6]17_18 fleet_v3'!$D123*'Light Vehicle Supporting Data'!I$144</f>
        <v>66173.296411175776</v>
      </c>
      <c r="J82" s="203">
        <f>'[7]18_19 fleet_v3'!$D123*'Light Vehicle Supporting Data'!J$144</f>
        <v>67917.3070694864</v>
      </c>
      <c r="K82" s="203">
        <f>$J82*('Vehicle Share Diversion Support'!K40/'Vehicle Share Diversion Support'!$J40)</f>
        <v>69624.263541252905</v>
      </c>
      <c r="L82" s="203">
        <f>$J82*('Vehicle Share Diversion Support'!L40/'Vehicle Share Diversion Support'!$J40)</f>
        <v>67732.352721413132</v>
      </c>
      <c r="M82" s="203">
        <f>$J82*('Vehicle Share Diversion Support'!M40/'Vehicle Share Diversion Support'!$J40)</f>
        <v>65296.9355546433</v>
      </c>
      <c r="N82" s="203">
        <f>$J82*('Vehicle Share Diversion Support'!N40/'Vehicle Share Diversion Support'!$J40)</f>
        <v>62101.437908392669</v>
      </c>
      <c r="O82" s="203">
        <f>$J82*('Vehicle Share Diversion Support'!O40/'Vehicle Share Diversion Support'!$J40)</f>
        <v>58807.244816416089</v>
      </c>
      <c r="P82" s="171">
        <f>$J82*('Vehicle Share Diversion Support'!P40/'Vehicle Share Diversion Support'!$J40)</f>
        <v>54393.268594991772</v>
      </c>
      <c r="Q82" s="171">
        <f>$J82*('Vehicle Share Diversion Support'!Q40/'Vehicle Share Diversion Support'!$J40)</f>
        <v>49927.560058979383</v>
      </c>
      <c r="R82" s="199">
        <f>$J82*('Vehicle Share Diversion Support'!R40/'Vehicle Share Diversion Support'!$J40)</f>
        <v>45496.683228424532</v>
      </c>
      <c r="S82" s="56"/>
    </row>
    <row r="83" spans="3:28" ht="19" thickTop="1" thickBot="1" x14ac:dyDescent="0.25">
      <c r="C83" s="20" t="s">
        <v>24</v>
      </c>
      <c r="D83" s="48">
        <f t="shared" ref="D83:R83" si="52">SUM(D69:D82)</f>
        <v>2468689.9999999995</v>
      </c>
      <c r="E83" s="48">
        <f t="shared" si="52"/>
        <v>2529835</v>
      </c>
      <c r="F83" s="48">
        <f t="shared" si="52"/>
        <v>2616968.9999999995</v>
      </c>
      <c r="G83" s="48">
        <f t="shared" si="52"/>
        <v>2705209.0000000005</v>
      </c>
      <c r="H83" s="48">
        <f t="shared" si="52"/>
        <v>2800737.0000000005</v>
      </c>
      <c r="I83" s="48">
        <f t="shared" si="52"/>
        <v>2863025.571892682</v>
      </c>
      <c r="J83" s="48">
        <f t="shared" ref="J83" si="53">SUM(J69:J82)</f>
        <v>2929605.3944410877</v>
      </c>
      <c r="K83" s="48">
        <f t="shared" si="52"/>
        <v>3124558.9183357037</v>
      </c>
      <c r="L83" s="48">
        <f t="shared" si="52"/>
        <v>3157493.4450225052</v>
      </c>
      <c r="M83" s="48">
        <f t="shared" si="52"/>
        <v>3150857.1199548198</v>
      </c>
      <c r="N83" s="48">
        <f t="shared" si="52"/>
        <v>3103404.9099003938</v>
      </c>
      <c r="O83" s="48">
        <f t="shared" si="52"/>
        <v>3043150.0308989757</v>
      </c>
      <c r="P83" s="62">
        <f t="shared" si="52"/>
        <v>2917976.1805122206</v>
      </c>
      <c r="Q83" s="62">
        <f t="shared" si="52"/>
        <v>2777538.2628714843</v>
      </c>
      <c r="R83" s="63">
        <f t="shared" si="52"/>
        <v>2625552.0686667641</v>
      </c>
      <c r="S83" s="43"/>
    </row>
    <row r="84" spans="3:28" ht="19" thickTop="1" thickBot="1" x14ac:dyDescent="0.25">
      <c r="C84" s="31" t="s">
        <v>96</v>
      </c>
      <c r="D84" s="48">
        <f>SUM('[1]12_13 fleet'!$D$83:$D$97)</f>
        <v>2468690</v>
      </c>
      <c r="E84" s="48">
        <f>SUM('[2]13_14 fleet'!$D$84:$D$98)</f>
        <v>2529835</v>
      </c>
      <c r="F84" s="48">
        <f>SUM('[3]14_15 fleet'!$D$84:$D$98)</f>
        <v>2616969</v>
      </c>
      <c r="G84" s="48">
        <f>SUM('[4]15_16 fleet'!$D$84:$D$98)</f>
        <v>2705209</v>
      </c>
      <c r="H84" s="48">
        <f>SUM('[5]16_17 fleet_v2'!$D$84:$D$98)</f>
        <v>2800737</v>
      </c>
      <c r="I84" s="48">
        <f>SUM('[6]17_18 fleet_v3'!$D$85:$D$99)</f>
        <v>211003</v>
      </c>
      <c r="J84" s="48">
        <f>SUM('[7]18_19 fleet_v3'!$D$85:$D$99)</f>
        <v>215319</v>
      </c>
      <c r="K84" s="62"/>
      <c r="L84" s="62"/>
      <c r="M84" s="62"/>
      <c r="N84" s="62"/>
      <c r="O84" s="62"/>
      <c r="P84" s="62"/>
      <c r="Q84" s="62"/>
      <c r="R84" s="63"/>
      <c r="S84" s="56"/>
    </row>
    <row r="85" spans="3:28" ht="14" thickTop="1" x14ac:dyDescent="0.15">
      <c r="O85" s="121"/>
    </row>
    <row r="86" spans="3:28" ht="14" thickBot="1" x14ac:dyDescent="0.2">
      <c r="O86" s="121"/>
    </row>
    <row r="87" spans="3:28" ht="17" thickTop="1" x14ac:dyDescent="0.2">
      <c r="C87" s="32" t="s">
        <v>124</v>
      </c>
      <c r="D87" s="33"/>
      <c r="E87" s="33"/>
      <c r="F87" s="33"/>
      <c r="G87" s="33"/>
      <c r="H87" s="33"/>
      <c r="I87" s="33"/>
      <c r="J87" s="33"/>
      <c r="K87" s="34"/>
      <c r="L87" s="34"/>
      <c r="M87" s="34"/>
      <c r="N87" s="34"/>
      <c r="O87" s="34"/>
      <c r="P87" s="34"/>
      <c r="Q87" s="34"/>
      <c r="R87" s="35"/>
      <c r="S87" s="121"/>
    </row>
    <row r="88" spans="3:28" ht="14" thickBot="1" x14ac:dyDescent="0.2">
      <c r="C88" s="36"/>
      <c r="D88" s="37" t="s">
        <v>25</v>
      </c>
      <c r="E88" s="37" t="s">
        <v>37</v>
      </c>
      <c r="F88" s="37" t="s">
        <v>38</v>
      </c>
      <c r="G88" s="37" t="s">
        <v>177</v>
      </c>
      <c r="H88" s="37" t="s">
        <v>178</v>
      </c>
      <c r="I88" s="37" t="s">
        <v>26</v>
      </c>
      <c r="J88" s="37"/>
      <c r="K88" s="37" t="s">
        <v>27</v>
      </c>
      <c r="L88" s="37" t="s">
        <v>28</v>
      </c>
      <c r="M88" s="37" t="s">
        <v>29</v>
      </c>
      <c r="N88" s="37" t="s">
        <v>30</v>
      </c>
      <c r="O88" s="37" t="s">
        <v>31</v>
      </c>
      <c r="P88" s="37" t="s">
        <v>174</v>
      </c>
      <c r="Q88" s="37" t="s">
        <v>175</v>
      </c>
      <c r="R88" s="38" t="s">
        <v>176</v>
      </c>
      <c r="S88" s="65"/>
    </row>
    <row r="89" spans="3:28" ht="15" thickTop="1" thickBot="1" x14ac:dyDescent="0.2">
      <c r="C89" s="70"/>
      <c r="D89" s="65" t="s">
        <v>39</v>
      </c>
      <c r="E89" s="65" t="s">
        <v>39</v>
      </c>
      <c r="F89" s="65" t="s">
        <v>39</v>
      </c>
      <c r="G89" s="65" t="s">
        <v>39</v>
      </c>
      <c r="H89" s="65" t="s">
        <v>39</v>
      </c>
      <c r="I89" s="65" t="s">
        <v>39</v>
      </c>
      <c r="J89" s="65" t="s">
        <v>39</v>
      </c>
      <c r="K89" s="65" t="s">
        <v>32</v>
      </c>
      <c r="L89" s="65" t="s">
        <v>32</v>
      </c>
      <c r="M89" s="65" t="s">
        <v>32</v>
      </c>
      <c r="N89" s="65" t="s">
        <v>32</v>
      </c>
      <c r="O89" s="65" t="s">
        <v>32</v>
      </c>
      <c r="P89" s="65" t="s">
        <v>32</v>
      </c>
      <c r="Q89" s="65" t="s">
        <v>32</v>
      </c>
      <c r="R89" s="66" t="s">
        <v>32</v>
      </c>
      <c r="S89" s="65"/>
    </row>
    <row r="90" spans="3:28" ht="17" thickTop="1" x14ac:dyDescent="0.2">
      <c r="C90" s="24" t="s">
        <v>0</v>
      </c>
      <c r="D90" s="52">
        <f>'Vehicle Share Diversion Support'!D66</f>
        <v>141.26262811366777</v>
      </c>
      <c r="E90" s="53">
        <f>'Vehicle Share Diversion Support'!E66</f>
        <v>147.36766217047045</v>
      </c>
      <c r="F90" s="53">
        <f>'Vehicle Share Diversion Support'!F66</f>
        <v>143.20240717260239</v>
      </c>
      <c r="G90" s="53">
        <f>'Vehicle Share Diversion Support'!G66</f>
        <v>137.36004809687591</v>
      </c>
      <c r="H90" s="53">
        <f>'Vehicle Share Diversion Support'!H66</f>
        <v>148.84539602487905</v>
      </c>
      <c r="I90" s="53">
        <f>'Vehicle Share Diversion Support'!I66</f>
        <v>159.9336117942878</v>
      </c>
      <c r="J90" s="53">
        <f>'Vehicle Share Diversion Support'!J66</f>
        <v>156.6625644797293</v>
      </c>
      <c r="K90" s="53">
        <f>'Vehicle Share Diversion Support'!K66*(1-'Vehicle Share Diversion Support'!K106)</f>
        <v>169.50997613833687</v>
      </c>
      <c r="L90" s="53">
        <f>'Vehicle Share Diversion Support'!L66*(1-'Vehicle Share Diversion Support'!L106)</f>
        <v>191.32573079450131</v>
      </c>
      <c r="M90" s="53">
        <f>'Vehicle Share Diversion Support'!M66*(1-'Vehicle Share Diversion Support'!M106)</f>
        <v>207.74834123228322</v>
      </c>
      <c r="N90" s="53">
        <f>'Vehicle Share Diversion Support'!N66*(1-'Vehicle Share Diversion Support'!N106)</f>
        <v>222.90100167829189</v>
      </c>
      <c r="O90" s="53">
        <f>'Vehicle Share Diversion Support'!O66*(1-'Vehicle Share Diversion Support'!O106)</f>
        <v>238.79140198794119</v>
      </c>
      <c r="P90" s="156">
        <f>'Vehicle Share Diversion Support'!P66*(1-'Vehicle Share Diversion Support'!P106)</f>
        <v>255.03846486403529</v>
      </c>
      <c r="Q90" s="156">
        <f>'Vehicle Share Diversion Support'!Q66*(1-'Vehicle Share Diversion Support'!Q106)</f>
        <v>270.1363323502199</v>
      </c>
      <c r="R90" s="157">
        <f>'Vehicle Share Diversion Support'!R66*(1-'Vehicle Share Diversion Support'!R106)</f>
        <v>283.2454588516286</v>
      </c>
      <c r="S90" s="56"/>
      <c r="T90" s="56"/>
      <c r="U90" s="56"/>
      <c r="V90" s="56"/>
      <c r="W90" s="56"/>
      <c r="X90" s="56"/>
      <c r="Y90" s="56"/>
      <c r="Z90" s="56"/>
      <c r="AA90" s="56"/>
      <c r="AB90" s="56"/>
    </row>
    <row r="91" spans="3:28" ht="16" x14ac:dyDescent="0.2">
      <c r="C91" s="24" t="s">
        <v>1</v>
      </c>
      <c r="D91" s="55">
        <f>'Vehicle Share Diversion Support'!D67</f>
        <v>1779.3694813204588</v>
      </c>
      <c r="E91" s="56">
        <f>'Vehicle Share Diversion Support'!E67</f>
        <v>1805.4590989449773</v>
      </c>
      <c r="F91" s="56">
        <f>'Vehicle Share Diversion Support'!F67</f>
        <v>1750.6526443500418</v>
      </c>
      <c r="G91" s="56">
        <f>'Vehicle Share Diversion Support'!G67</f>
        <v>1708.7235604575023</v>
      </c>
      <c r="H91" s="56">
        <f>'Vehicle Share Diversion Support'!H67</f>
        <v>1971.5374283486256</v>
      </c>
      <c r="I91" s="56">
        <f>'Vehicle Share Diversion Support'!I67</f>
        <v>1958.3060465413741</v>
      </c>
      <c r="J91" s="56">
        <f>'Vehicle Share Diversion Support'!J67</f>
        <v>2010.6199261057795</v>
      </c>
      <c r="K91" s="56">
        <f>'Vehicle Share Diversion Support'!K67*(1-'Vehicle Share Diversion Support'!K107)</f>
        <v>2286.0356563757177</v>
      </c>
      <c r="L91" s="56">
        <f>'Vehicle Share Diversion Support'!L67*(1-'Vehicle Share Diversion Support'!L107)</f>
        <v>2684.15335580893</v>
      </c>
      <c r="M91" s="56">
        <f>'Vehicle Share Diversion Support'!M67*(1-'Vehicle Share Diversion Support'!M107)</f>
        <v>3030.4106094921858</v>
      </c>
      <c r="N91" s="56">
        <f>'Vehicle Share Diversion Support'!N67*(1-'Vehicle Share Diversion Support'!N107)</f>
        <v>3376.2634956684792</v>
      </c>
      <c r="O91" s="56">
        <f>'Vehicle Share Diversion Support'!O67*(1-'Vehicle Share Diversion Support'!O107)</f>
        <v>3754.5864611612965</v>
      </c>
      <c r="P91" s="159">
        <f>'Vehicle Share Diversion Support'!P67*(1-'Vehicle Share Diversion Support'!P107)</f>
        <v>4162.6339443366169</v>
      </c>
      <c r="Q91" s="159">
        <f>'Vehicle Share Diversion Support'!Q67*(1-'Vehicle Share Diversion Support'!Q107)</f>
        <v>4576.8285752936454</v>
      </c>
      <c r="R91" s="160">
        <f>'Vehicle Share Diversion Support'!R67*(1-'Vehicle Share Diversion Support'!R107)</f>
        <v>4981.5410591719756</v>
      </c>
      <c r="S91" s="56"/>
      <c r="T91" s="56"/>
      <c r="U91" s="56"/>
      <c r="V91" s="56"/>
      <c r="W91" s="56"/>
      <c r="X91" s="56"/>
      <c r="Y91" s="56"/>
      <c r="Z91" s="56"/>
      <c r="AA91" s="56"/>
      <c r="AB91" s="56"/>
    </row>
    <row r="92" spans="3:28" ht="16" x14ac:dyDescent="0.2">
      <c r="C92" s="24" t="s">
        <v>2</v>
      </c>
      <c r="D92" s="55">
        <f>'Vehicle Share Diversion Support'!D68</f>
        <v>560.07858504956528</v>
      </c>
      <c r="E92" s="56">
        <f>'Vehicle Share Diversion Support'!E68</f>
        <v>547.56847646451286</v>
      </c>
      <c r="F92" s="56">
        <f>'Vehicle Share Diversion Support'!F68</f>
        <v>555.21567584297941</v>
      </c>
      <c r="G92" s="56">
        <f>'Vehicle Share Diversion Support'!G68</f>
        <v>544.95563258312256</v>
      </c>
      <c r="H92" s="56">
        <f>'Vehicle Share Diversion Support'!H68</f>
        <v>594.57170798494383</v>
      </c>
      <c r="I92" s="56">
        <f>'Vehicle Share Diversion Support'!I68</f>
        <v>623.32983185058663</v>
      </c>
      <c r="J92" s="56">
        <f>'Vehicle Share Diversion Support'!J68</f>
        <v>616.40994240049918</v>
      </c>
      <c r="K92" s="56">
        <f>'Vehicle Share Diversion Support'!K68*(1-'Vehicle Share Diversion Support'!K108)</f>
        <v>676.83199489741116</v>
      </c>
      <c r="L92" s="56">
        <f>'Vehicle Share Diversion Support'!L68*(1-'Vehicle Share Diversion Support'!L108)</f>
        <v>774.21645921225831</v>
      </c>
      <c r="M92" s="56">
        <f>'Vehicle Share Diversion Support'!M68*(1-'Vehicle Share Diversion Support'!M108)</f>
        <v>853.09022468595902</v>
      </c>
      <c r="N92" s="56">
        <f>'Vehicle Share Diversion Support'!N68*(1-'Vehicle Share Diversion Support'!N108)</f>
        <v>929.37782964360565</v>
      </c>
      <c r="O92" s="56">
        <f>'Vehicle Share Diversion Support'!O68*(1-'Vehicle Share Diversion Support'!O108)</f>
        <v>1012.0193963091029</v>
      </c>
      <c r="P92" s="159">
        <f>'Vehicle Share Diversion Support'!P68*(1-'Vehicle Share Diversion Support'!P108)</f>
        <v>1098.6660368395746</v>
      </c>
      <c r="Q92" s="159">
        <f>'Vehicle Share Diversion Support'!Q68*(1-'Vehicle Share Diversion Support'!Q108)</f>
        <v>1182.8587197301167</v>
      </c>
      <c r="R92" s="160">
        <f>'Vehicle Share Diversion Support'!R68*(1-'Vehicle Share Diversion Support'!R108)</f>
        <v>1260.6737071242503</v>
      </c>
      <c r="S92" s="56"/>
      <c r="T92" s="56"/>
      <c r="U92" s="56"/>
      <c r="V92" s="56"/>
      <c r="W92" s="56"/>
      <c r="X92" s="56"/>
      <c r="Y92" s="56"/>
      <c r="Z92" s="56"/>
      <c r="AA92" s="56"/>
      <c r="AB92" s="56"/>
    </row>
    <row r="93" spans="3:28" ht="16" x14ac:dyDescent="0.2">
      <c r="C93" s="24" t="s">
        <v>3</v>
      </c>
      <c r="D93" s="55">
        <f>'Vehicle Share Diversion Support'!D69</f>
        <v>274.41879789371825</v>
      </c>
      <c r="E93" s="56">
        <f>'Vehicle Share Diversion Support'!E69</f>
        <v>278.91289362123439</v>
      </c>
      <c r="F93" s="56">
        <f>'Vehicle Share Diversion Support'!F69</f>
        <v>265.47297835011824</v>
      </c>
      <c r="G93" s="56">
        <f>'Vehicle Share Diversion Support'!G69</f>
        <v>252.94350506099713</v>
      </c>
      <c r="H93" s="56">
        <f>'Vehicle Share Diversion Support'!H69</f>
        <v>302.28052500383734</v>
      </c>
      <c r="I93" s="56">
        <f>'Vehicle Share Diversion Support'!I69</f>
        <v>296.6008084200659</v>
      </c>
      <c r="J93" s="56">
        <f>'Vehicle Share Diversion Support'!J69</f>
        <v>284.11240758585888</v>
      </c>
      <c r="K93" s="56">
        <f>'Vehicle Share Diversion Support'!K69*(1-'Vehicle Share Diversion Support'!K109)</f>
        <v>309.83572113063195</v>
      </c>
      <c r="L93" s="56">
        <f>'Vehicle Share Diversion Support'!L69*(1-'Vehicle Share Diversion Support'!L109)</f>
        <v>352.05293821875898</v>
      </c>
      <c r="M93" s="56">
        <f>'Vehicle Share Diversion Support'!M69*(1-'Vehicle Share Diversion Support'!M109)</f>
        <v>385.42892036285707</v>
      </c>
      <c r="N93" s="56">
        <f>'Vehicle Share Diversion Support'!N69*(1-'Vehicle Share Diversion Support'!N109)</f>
        <v>417.04669138004635</v>
      </c>
      <c r="O93" s="56">
        <f>'Vehicle Share Diversion Support'!O69*(1-'Vehicle Share Diversion Support'!O109)</f>
        <v>451.0634865622701</v>
      </c>
      <c r="P93" s="159">
        <f>'Vehicle Share Diversion Support'!P69*(1-'Vehicle Share Diversion Support'!P109)</f>
        <v>486.3747269037811</v>
      </c>
      <c r="Q93" s="159">
        <f>'Vehicle Share Diversion Support'!Q69*(1-'Vehicle Share Diversion Support'!Q109)</f>
        <v>520.10932549243296</v>
      </c>
      <c r="R93" s="160">
        <f>'Vehicle Share Diversion Support'!R69*(1-'Vehicle Share Diversion Support'!R109)</f>
        <v>550.58062504798033</v>
      </c>
      <c r="S93" s="56"/>
      <c r="T93" s="56"/>
      <c r="U93" s="56"/>
      <c r="V93" s="56"/>
      <c r="W93" s="56"/>
      <c r="X93" s="56"/>
      <c r="Y93" s="56"/>
      <c r="Z93" s="56"/>
      <c r="AA93" s="56"/>
      <c r="AB93" s="56"/>
    </row>
    <row r="94" spans="3:28" ht="16" x14ac:dyDescent="0.2">
      <c r="C94" s="24" t="s">
        <v>4</v>
      </c>
      <c r="D94" s="55">
        <f>'Vehicle Share Diversion Support'!D70</f>
        <v>27.30869306171903</v>
      </c>
      <c r="E94" s="56">
        <f>'Vehicle Share Diversion Support'!E70</f>
        <v>27.05681267433361</v>
      </c>
      <c r="F94" s="56">
        <f>'Vehicle Share Diversion Support'!F70</f>
        <v>27.693291242003188</v>
      </c>
      <c r="G94" s="56">
        <f>'Vehicle Share Diversion Support'!G70</f>
        <v>26.430826498734035</v>
      </c>
      <c r="H94" s="56">
        <f>'Vehicle Share Diversion Support'!H70</f>
        <v>25.876135456483702</v>
      </c>
      <c r="I94" s="56">
        <f>'Vehicle Share Diversion Support'!I70</f>
        <v>27.24047152970649</v>
      </c>
      <c r="J94" s="56">
        <f>'Vehicle Share Diversion Support'!J70</f>
        <v>27.336563404362206</v>
      </c>
      <c r="K94" s="56">
        <f>'Vehicle Share Diversion Support'!K70*(1-'Vehicle Share Diversion Support'!K110)</f>
        <v>28.943833371006971</v>
      </c>
      <c r="L94" s="56">
        <f>'Vehicle Share Diversion Support'!L70*(1-'Vehicle Share Diversion Support'!L110)</f>
        <v>32.136457346492371</v>
      </c>
      <c r="M94" s="56">
        <f>'Vehicle Share Diversion Support'!M70*(1-'Vehicle Share Diversion Support'!M110)</f>
        <v>34.393083861290108</v>
      </c>
      <c r="N94" s="56">
        <f>'Vehicle Share Diversion Support'!N70*(1-'Vehicle Share Diversion Support'!N110)</f>
        <v>36.337477049004704</v>
      </c>
      <c r="O94" s="56">
        <f>'Vehicle Share Diversion Support'!O70*(1-'Vehicle Share Diversion Support'!O110)</f>
        <v>38.380548206931145</v>
      </c>
      <c r="P94" s="159">
        <f>'Vehicle Share Diversion Support'!P70*(1-'Vehicle Share Diversion Support'!P110)</f>
        <v>40.415495888601917</v>
      </c>
      <c r="Q94" s="159">
        <f>'Vehicle Share Diversion Support'!Q70*(1-'Vehicle Share Diversion Support'!Q110)</f>
        <v>42.206074708665163</v>
      </c>
      <c r="R94" s="160">
        <f>'Vehicle Share Diversion Support'!R70*(1-'Vehicle Share Diversion Support'!R110)</f>
        <v>43.63195351468876</v>
      </c>
      <c r="S94" s="56"/>
      <c r="T94" s="56"/>
      <c r="U94" s="56"/>
      <c r="V94" s="56"/>
      <c r="W94" s="56"/>
      <c r="X94" s="56"/>
      <c r="Y94" s="56"/>
      <c r="Z94" s="56"/>
      <c r="AA94" s="56"/>
      <c r="AB94" s="56"/>
    </row>
    <row r="95" spans="3:28" ht="16" x14ac:dyDescent="0.2">
      <c r="C95" s="24" t="s">
        <v>5</v>
      </c>
      <c r="D95" s="55">
        <f>'Vehicle Share Diversion Support'!D71</f>
        <v>141.76302835979683</v>
      </c>
      <c r="E95" s="56">
        <f>'Vehicle Share Diversion Support'!E71</f>
        <v>137.57829605064359</v>
      </c>
      <c r="F95" s="56">
        <f>'Vehicle Share Diversion Support'!F71</f>
        <v>138.81144157627637</v>
      </c>
      <c r="G95" s="56">
        <f>'Vehicle Share Diversion Support'!G71</f>
        <v>133.832811274222</v>
      </c>
      <c r="H95" s="56">
        <f>'Vehicle Share Diversion Support'!H71</f>
        <v>148.2158799822765</v>
      </c>
      <c r="I95" s="56">
        <f>'Vehicle Share Diversion Support'!I71</f>
        <v>152.81266965174169</v>
      </c>
      <c r="J95" s="56">
        <f>'Vehicle Share Diversion Support'!J71</f>
        <v>152.22562715295041</v>
      </c>
      <c r="K95" s="56">
        <f>'Vehicle Share Diversion Support'!K71*(1-'Vehicle Share Diversion Support'!K111)</f>
        <v>161.42156997115114</v>
      </c>
      <c r="L95" s="56">
        <f>'Vehicle Share Diversion Support'!L71*(1-'Vehicle Share Diversion Support'!L111)</f>
        <v>179.72081806821674</v>
      </c>
      <c r="M95" s="56">
        <f>'Vehicle Share Diversion Support'!M71*(1-'Vehicle Share Diversion Support'!M111)</f>
        <v>192.65660674615043</v>
      </c>
      <c r="N95" s="56">
        <f>'Vehicle Share Diversion Support'!N71*(1-'Vehicle Share Diversion Support'!N111)</f>
        <v>204.19207562358608</v>
      </c>
      <c r="O95" s="56">
        <f>'Vehicle Share Diversion Support'!O71*(1-'Vehicle Share Diversion Support'!O111)</f>
        <v>216.20986582624542</v>
      </c>
      <c r="P95" s="159">
        <f>'Vehicle Share Diversion Support'!P71*(1-'Vehicle Share Diversion Support'!P111)</f>
        <v>228.24037160804139</v>
      </c>
      <c r="Q95" s="159">
        <f>'Vehicle Share Diversion Support'!Q71*(1-'Vehicle Share Diversion Support'!Q111)</f>
        <v>238.94598501803506</v>
      </c>
      <c r="R95" s="160">
        <f>'Vehicle Share Diversion Support'!R71*(1-'Vehicle Share Diversion Support'!R111)</f>
        <v>247.63364621943353</v>
      </c>
      <c r="S95" s="56"/>
      <c r="T95" s="56"/>
      <c r="U95" s="56"/>
      <c r="V95" s="56"/>
      <c r="W95" s="56"/>
      <c r="X95" s="56"/>
      <c r="Y95" s="56"/>
      <c r="Z95" s="56"/>
      <c r="AA95" s="56"/>
      <c r="AB95" s="56"/>
    </row>
    <row r="96" spans="3:28" ht="16" x14ac:dyDescent="0.2">
      <c r="C96" s="24" t="s">
        <v>6</v>
      </c>
      <c r="D96" s="55">
        <f>'Vehicle Share Diversion Support'!D72</f>
        <v>84.745209562274127</v>
      </c>
      <c r="E96" s="56">
        <f>'Vehicle Share Diversion Support'!E72</f>
        <v>86.89162737404493</v>
      </c>
      <c r="F96" s="56">
        <f>'Vehicle Share Diversion Support'!F72</f>
        <v>86.525924771083922</v>
      </c>
      <c r="G96" s="56">
        <f>'Vehicle Share Diversion Support'!G72</f>
        <v>83.635590058695499</v>
      </c>
      <c r="H96" s="56">
        <f>'Vehicle Share Diversion Support'!H72</f>
        <v>88.709538517146555</v>
      </c>
      <c r="I96" s="56">
        <f>'Vehicle Share Diversion Support'!I72</f>
        <v>93.086685679264619</v>
      </c>
      <c r="J96" s="56">
        <f>'Vehicle Share Diversion Support'!J72</f>
        <v>84.551295323823155</v>
      </c>
      <c r="K96" s="56">
        <f>'Vehicle Share Diversion Support'!K72*(1-'Vehicle Share Diversion Support'!K112)</f>
        <v>90.400642037598871</v>
      </c>
      <c r="L96" s="56">
        <f>'Vehicle Share Diversion Support'!L72*(1-'Vehicle Share Diversion Support'!L112)</f>
        <v>101.59633623029026</v>
      </c>
      <c r="M96" s="56">
        <f>'Vehicle Share Diversion Support'!M72*(1-'Vehicle Share Diversion Support'!M112)</f>
        <v>110.06273820622351</v>
      </c>
      <c r="N96" s="56">
        <f>'Vehicle Share Diversion Support'!N72*(1-'Vehicle Share Diversion Support'!N112)</f>
        <v>118.06662464856709</v>
      </c>
      <c r="O96" s="56">
        <f>'Vehicle Share Diversion Support'!O72*(1-'Vehicle Share Diversion Support'!O112)</f>
        <v>126.71402838648841</v>
      </c>
      <c r="P96" s="159">
        <f>'Vehicle Share Diversion Support'!P72*(1-'Vehicle Share Diversion Support'!P112)</f>
        <v>135.5821708141674</v>
      </c>
      <c r="Q96" s="159">
        <f>'Vehicle Share Diversion Support'!Q72*(1-'Vehicle Share Diversion Support'!Q112)</f>
        <v>143.87017826427456</v>
      </c>
      <c r="R96" s="160">
        <f>'Vehicle Share Diversion Support'!R72*(1-'Vehicle Share Diversion Support'!R112)</f>
        <v>151.12684760286194</v>
      </c>
      <c r="S96" s="56"/>
      <c r="T96" s="56"/>
      <c r="U96" s="56"/>
      <c r="V96" s="56"/>
      <c r="W96" s="56"/>
      <c r="X96" s="56"/>
      <c r="Y96" s="56"/>
      <c r="Z96" s="56"/>
      <c r="AA96" s="56"/>
      <c r="AB96" s="56"/>
    </row>
    <row r="97" spans="3:28" ht="16" x14ac:dyDescent="0.2">
      <c r="C97" s="24" t="s">
        <v>7</v>
      </c>
      <c r="D97" s="55">
        <f>'Vehicle Share Diversion Support'!D73</f>
        <v>218.23147519157882</v>
      </c>
      <c r="E97" s="56">
        <f>'Vehicle Share Diversion Support'!E73</f>
        <v>222.59904800804958</v>
      </c>
      <c r="F97" s="56">
        <f>'Vehicle Share Diversion Support'!F73</f>
        <v>216.83557997778985</v>
      </c>
      <c r="G97" s="56">
        <f>'Vehicle Share Diversion Support'!G73</f>
        <v>208.09135197342349</v>
      </c>
      <c r="H97" s="56">
        <f>'Vehicle Share Diversion Support'!H73</f>
        <v>221.07226508958252</v>
      </c>
      <c r="I97" s="56">
        <f>'Vehicle Share Diversion Support'!I73</f>
        <v>219.33541067918955</v>
      </c>
      <c r="J97" s="56">
        <f>'Vehicle Share Diversion Support'!J73</f>
        <v>213.47030786771978</v>
      </c>
      <c r="K97" s="56">
        <f>'Vehicle Share Diversion Support'!K73*(1-'Vehicle Share Diversion Support'!K113)</f>
        <v>225.6865983677684</v>
      </c>
      <c r="L97" s="56">
        <f>'Vehicle Share Diversion Support'!L73*(1-'Vehicle Share Diversion Support'!L113)</f>
        <v>250.50904768132565</v>
      </c>
      <c r="M97" s="56">
        <f>'Vehicle Share Diversion Support'!M73*(1-'Vehicle Share Diversion Support'!M113)</f>
        <v>268.00830239611776</v>
      </c>
      <c r="N97" s="56">
        <f>'Vehicle Share Diversion Support'!N73*(1-'Vehicle Share Diversion Support'!N113)</f>
        <v>283.61006996933298</v>
      </c>
      <c r="O97" s="56">
        <f>'Vehicle Share Diversion Support'!O73*(1-'Vehicle Share Diversion Support'!O113)</f>
        <v>299.90346676452543</v>
      </c>
      <c r="P97" s="159">
        <f>'Vehicle Share Diversion Support'!P73*(1-'Vehicle Share Diversion Support'!P113)</f>
        <v>316.17072864018894</v>
      </c>
      <c r="Q97" s="159">
        <f>'Vehicle Share Diversion Support'!Q73*(1-'Vehicle Share Diversion Support'!Q113)</f>
        <v>330.56140628734556</v>
      </c>
      <c r="R97" s="160">
        <f>'Vehicle Share Diversion Support'!R73*(1-'Vehicle Share Diversion Support'!R113)</f>
        <v>342.12536822516603</v>
      </c>
      <c r="S97" s="56"/>
      <c r="T97" s="56"/>
      <c r="U97" s="56"/>
      <c r="V97" s="56"/>
      <c r="W97" s="56"/>
      <c r="X97" s="56"/>
      <c r="Y97" s="56"/>
      <c r="Z97" s="56"/>
      <c r="AA97" s="56"/>
      <c r="AB97" s="56"/>
    </row>
    <row r="98" spans="3:28" ht="16" x14ac:dyDescent="0.2">
      <c r="C98" s="24" t="s">
        <v>8</v>
      </c>
      <c r="D98" s="55">
        <f>'Vehicle Share Diversion Support'!D74</f>
        <v>389.05725540424424</v>
      </c>
      <c r="E98" s="56">
        <f>'Vehicle Share Diversion Support'!E74</f>
        <v>396.13325692537563</v>
      </c>
      <c r="F98" s="56">
        <f>'Vehicle Share Diversion Support'!F74</f>
        <v>407.76859043861577</v>
      </c>
      <c r="G98" s="56">
        <f>'Vehicle Share Diversion Support'!G74</f>
        <v>368.04630363278324</v>
      </c>
      <c r="H98" s="56">
        <f>'Vehicle Share Diversion Support'!H74</f>
        <v>384.01839873871967</v>
      </c>
      <c r="I98" s="56">
        <f>'Vehicle Share Diversion Support'!I74</f>
        <v>399.20660638568438</v>
      </c>
      <c r="J98" s="56">
        <f>'Vehicle Share Diversion Support'!J74</f>
        <v>395.34605551381475</v>
      </c>
      <c r="K98" s="56">
        <f>'Vehicle Share Diversion Support'!K74*(1-'Vehicle Share Diversion Support'!K114)</f>
        <v>424.76437973216207</v>
      </c>
      <c r="L98" s="56">
        <f>'Vehicle Share Diversion Support'!L74*(1-'Vehicle Share Diversion Support'!L114)</f>
        <v>477.94626107223655</v>
      </c>
      <c r="M98" s="56">
        <f>'Vehicle Share Diversion Support'!M74*(1-'Vehicle Share Diversion Support'!M114)</f>
        <v>518.88303985738355</v>
      </c>
      <c r="N98" s="56">
        <f>'Vehicle Share Diversion Support'!N74*(1-'Vehicle Share Diversion Support'!N114)</f>
        <v>557.39084566687245</v>
      </c>
      <c r="O98" s="56">
        <f>'Vehicle Share Diversion Support'!O74*(1-'Vehicle Share Diversion Support'!O114)</f>
        <v>598.23832215376865</v>
      </c>
      <c r="P98" s="159">
        <f>'Vehicle Share Diversion Support'!P74*(1-'Vehicle Share Diversion Support'!P114)</f>
        <v>640.13115212959826</v>
      </c>
      <c r="Q98" s="159">
        <f>'Vehicle Share Diversion Support'!Q74*(1-'Vehicle Share Diversion Support'!Q114)</f>
        <v>679.28810389830892</v>
      </c>
      <c r="R98" s="160">
        <f>'Vehicle Share Diversion Support'!R74*(1-'Vehicle Share Diversion Support'!R114)</f>
        <v>713.57840476069748</v>
      </c>
      <c r="S98" s="56"/>
      <c r="T98" s="56"/>
      <c r="U98" s="56"/>
      <c r="V98" s="56"/>
      <c r="W98" s="56"/>
      <c r="X98" s="56"/>
      <c r="Y98" s="56"/>
      <c r="Z98" s="56"/>
      <c r="AA98" s="56"/>
      <c r="AB98" s="56"/>
    </row>
    <row r="99" spans="3:28" ht="16" x14ac:dyDescent="0.2">
      <c r="C99" s="24" t="s">
        <v>9</v>
      </c>
      <c r="D99" s="55">
        <f>'Vehicle Share Diversion Support'!D75</f>
        <v>133.92169843201475</v>
      </c>
      <c r="E99" s="56">
        <f>'Vehicle Share Diversion Support'!E75</f>
        <v>137.32045222312735</v>
      </c>
      <c r="F99" s="56">
        <f>'Vehicle Share Diversion Support'!F75</f>
        <v>124.11205636235701</v>
      </c>
      <c r="G99" s="56">
        <f>'Vehicle Share Diversion Support'!G75</f>
        <v>141.78134028151956</v>
      </c>
      <c r="H99" s="56">
        <f>'Vehicle Share Diversion Support'!H75</f>
        <v>160.13443890566549</v>
      </c>
      <c r="I99" s="56">
        <f>'Vehicle Share Diversion Support'!I75</f>
        <v>186.80994319493789</v>
      </c>
      <c r="J99" s="56">
        <f>'Vehicle Share Diversion Support'!J75</f>
        <v>185.53812250678769</v>
      </c>
      <c r="K99" s="56">
        <f>'Vehicle Share Diversion Support'!K75*(1-'Vehicle Share Diversion Support'!K115)</f>
        <v>198.68892138918508</v>
      </c>
      <c r="L99" s="56">
        <f>'Vehicle Share Diversion Support'!L75*(1-'Vehicle Share Diversion Support'!L115)</f>
        <v>222.78245401973163</v>
      </c>
      <c r="M99" s="56">
        <f>'Vehicle Share Diversion Support'!M75*(1-'Vehicle Share Diversion Support'!M115)</f>
        <v>240.62723834203177</v>
      </c>
      <c r="N99" s="56">
        <f>'Vehicle Share Diversion Support'!N75*(1-'Vehicle Share Diversion Support'!N115)</f>
        <v>256.81492894604673</v>
      </c>
      <c r="O99" s="56">
        <f>'Vehicle Share Diversion Support'!O75*(1-'Vehicle Share Diversion Support'!O115)</f>
        <v>273.3945420071102</v>
      </c>
      <c r="P99" s="159">
        <f>'Vehicle Share Diversion Support'!P75*(1-'Vehicle Share Diversion Support'!P115)</f>
        <v>290.17515741354231</v>
      </c>
      <c r="Q99" s="159">
        <f>'Vehicle Share Diversion Support'!Q75*(1-'Vehicle Share Diversion Support'!Q115)</f>
        <v>305.45091749099538</v>
      </c>
      <c r="R99" s="160">
        <f>'Vehicle Share Diversion Support'!R75*(1-'Vehicle Share Diversion Support'!R115)</f>
        <v>318.30672045705137</v>
      </c>
      <c r="S99" s="56"/>
      <c r="T99" s="56"/>
      <c r="U99" s="56"/>
      <c r="V99" s="56"/>
      <c r="W99" s="56"/>
      <c r="X99" s="56"/>
      <c r="Y99" s="56"/>
      <c r="Z99" s="56"/>
      <c r="AA99" s="56"/>
      <c r="AB99" s="56"/>
    </row>
    <row r="100" spans="3:28" ht="16" x14ac:dyDescent="0.2">
      <c r="C100" s="24" t="s">
        <v>10</v>
      </c>
      <c r="D100" s="55">
        <f>'Vehicle Share Diversion Support'!D76</f>
        <v>46.924945220543997</v>
      </c>
      <c r="E100" s="56">
        <f>'Vehicle Share Diversion Support'!E76</f>
        <v>45.293154230930504</v>
      </c>
      <c r="F100" s="56">
        <f>'Vehicle Share Diversion Support'!F76</f>
        <v>49.24859581376252</v>
      </c>
      <c r="G100" s="56">
        <f>'Vehicle Share Diversion Support'!G76</f>
        <v>48.135843520237707</v>
      </c>
      <c r="H100" s="56">
        <f>'Vehicle Share Diversion Support'!H76</f>
        <v>47.746434168783182</v>
      </c>
      <c r="I100" s="56">
        <f>'Vehicle Share Diversion Support'!I76</f>
        <v>58.66969382983855</v>
      </c>
      <c r="J100" s="56">
        <f>'Vehicle Share Diversion Support'!J76</f>
        <v>57.295104038331608</v>
      </c>
      <c r="K100" s="56">
        <f>'Vehicle Share Diversion Support'!K76*(1-'Vehicle Share Diversion Support'!K116)</f>
        <v>59.558593709365134</v>
      </c>
      <c r="L100" s="56">
        <f>'Vehicle Share Diversion Support'!L76*(1-'Vehicle Share Diversion Support'!L116)</f>
        <v>64.932554799383226</v>
      </c>
      <c r="M100" s="56">
        <f>'Vehicle Share Diversion Support'!M76*(1-'Vehicle Share Diversion Support'!M116)</f>
        <v>68.222210956849324</v>
      </c>
      <c r="N100" s="56">
        <f>'Vehicle Share Diversion Support'!N76*(1-'Vehicle Share Diversion Support'!N116)</f>
        <v>70.864277597659623</v>
      </c>
      <c r="O100" s="56">
        <f>'Vehicle Share Diversion Support'!O76*(1-'Vehicle Share Diversion Support'!O116)</f>
        <v>73.614612079322669</v>
      </c>
      <c r="P100" s="159">
        <f>'Vehicle Share Diversion Support'!P76*(1-'Vehicle Share Diversion Support'!P116)</f>
        <v>76.239673282464892</v>
      </c>
      <c r="Q100" s="159">
        <f>'Vehicle Share Diversion Support'!Q76*(1-'Vehicle Share Diversion Support'!Q116)</f>
        <v>78.304791668872198</v>
      </c>
      <c r="R100" s="160">
        <f>'Vehicle Share Diversion Support'!R76*(1-'Vehicle Share Diversion Support'!R116)</f>
        <v>79.615622196333533</v>
      </c>
      <c r="S100" s="56"/>
      <c r="T100" s="56"/>
      <c r="U100" s="56"/>
      <c r="V100" s="56"/>
      <c r="W100" s="56"/>
      <c r="X100" s="56"/>
      <c r="Y100" s="56"/>
      <c r="Z100" s="56"/>
      <c r="AA100" s="56"/>
      <c r="AB100" s="56"/>
    </row>
    <row r="101" spans="3:28" ht="16" x14ac:dyDescent="0.2">
      <c r="C101" s="24" t="s">
        <v>11</v>
      </c>
      <c r="D101" s="55">
        <f>'Vehicle Share Diversion Support'!D77</f>
        <v>697.97626335213374</v>
      </c>
      <c r="E101" s="56">
        <f>'Vehicle Share Diversion Support'!E77</f>
        <v>741.0100265202376</v>
      </c>
      <c r="F101" s="56">
        <f>'Vehicle Share Diversion Support'!F77</f>
        <v>735.04754192563757</v>
      </c>
      <c r="G101" s="56">
        <f>'Vehicle Share Diversion Support'!G77</f>
        <v>734.4043648993545</v>
      </c>
      <c r="H101" s="56">
        <f>'Vehicle Share Diversion Support'!H77</f>
        <v>829.3521087079439</v>
      </c>
      <c r="I101" s="56">
        <f>'Vehicle Share Diversion Support'!I77</f>
        <v>891.80566152179915</v>
      </c>
      <c r="J101" s="56">
        <f>'Vehicle Share Diversion Support'!J77</f>
        <v>905.55919180579065</v>
      </c>
      <c r="K101" s="56">
        <f>'Vehicle Share Diversion Support'!K77*(1-'Vehicle Share Diversion Support'!K117)</f>
        <v>1003.2639152923274</v>
      </c>
      <c r="L101" s="56">
        <f>'Vehicle Share Diversion Support'!L77*(1-'Vehicle Share Diversion Support'!L117)</f>
        <v>1150.435781145846</v>
      </c>
      <c r="M101" s="56">
        <f>'Vehicle Share Diversion Support'!M77*(1-'Vehicle Share Diversion Support'!M117)</f>
        <v>1272.1755932984236</v>
      </c>
      <c r="N101" s="56">
        <f>'Vehicle Share Diversion Support'!N77*(1-'Vehicle Share Diversion Support'!N117)</f>
        <v>1391.7481504850443</v>
      </c>
      <c r="O101" s="56">
        <f>'Vehicle Share Diversion Support'!O77*(1-'Vehicle Share Diversion Support'!O117)</f>
        <v>1521.4687853057287</v>
      </c>
      <c r="P101" s="159">
        <f>'Vehicle Share Diversion Support'!P77*(1-'Vehicle Share Diversion Support'!P117)</f>
        <v>1658.2338474780579</v>
      </c>
      <c r="Q101" s="159">
        <f>'Vehicle Share Diversion Support'!Q77*(1-'Vehicle Share Diversion Support'!Q117)</f>
        <v>1792.333482081284</v>
      </c>
      <c r="R101" s="160">
        <f>'Vehicle Share Diversion Support'!R77*(1-'Vehicle Share Diversion Support'!R117)</f>
        <v>1917.7610908709689</v>
      </c>
      <c r="S101" s="56"/>
      <c r="T101" s="56"/>
      <c r="U101" s="56"/>
      <c r="V101" s="56"/>
      <c r="W101" s="56"/>
      <c r="X101" s="56"/>
      <c r="Y101" s="56"/>
      <c r="Z101" s="56"/>
      <c r="AA101" s="56"/>
      <c r="AB101" s="56"/>
    </row>
    <row r="102" spans="3:28" ht="16" x14ac:dyDescent="0.2">
      <c r="C102" s="24" t="s">
        <v>12</v>
      </c>
      <c r="D102" s="55">
        <f>'Vehicle Share Diversion Support'!D78</f>
        <v>276.5722530241905</v>
      </c>
      <c r="E102" s="56">
        <f>'Vehicle Share Diversion Support'!E78</f>
        <v>294.86422990880612</v>
      </c>
      <c r="F102" s="56">
        <f>'Vehicle Share Diversion Support'!F78</f>
        <v>295.98099494561546</v>
      </c>
      <c r="G102" s="56">
        <f>'Vehicle Share Diversion Support'!G78</f>
        <v>293.63515157128177</v>
      </c>
      <c r="H102" s="56">
        <f>'Vehicle Share Diversion Support'!H78</f>
        <v>333.12798427313521</v>
      </c>
      <c r="I102" s="56">
        <f>'Vehicle Share Diversion Support'!I78</f>
        <v>388.52786289910267</v>
      </c>
      <c r="J102" s="56">
        <f>'Vehicle Share Diversion Support'!J78</f>
        <v>394.25614405624782</v>
      </c>
      <c r="K102" s="56">
        <f>'Vehicle Share Diversion Support'!K78*(1-'Vehicle Share Diversion Support'!K118)</f>
        <v>428.34475929053923</v>
      </c>
      <c r="L102" s="56">
        <f>'Vehicle Share Diversion Support'!L78*(1-'Vehicle Share Diversion Support'!L118)</f>
        <v>483.22581342730416</v>
      </c>
      <c r="M102" s="56">
        <f>'Vehicle Share Diversion Support'!M78*(1-'Vehicle Share Diversion Support'!M118)</f>
        <v>525.93516264080199</v>
      </c>
      <c r="N102" s="56">
        <f>'Vehicle Share Diversion Support'!N78*(1-'Vehicle Share Diversion Support'!N118)</f>
        <v>566.64185387773739</v>
      </c>
      <c r="O102" s="56">
        <f>'Vehicle Share Diversion Support'!O78*(1-'Vehicle Share Diversion Support'!O118)</f>
        <v>610.20050248316113</v>
      </c>
      <c r="P102" s="159">
        <f>'Vehicle Share Diversion Support'!P78*(1-'Vehicle Share Diversion Support'!P118)</f>
        <v>655.1138893513878</v>
      </c>
      <c r="Q102" s="159">
        <f>'Vehicle Share Diversion Support'!Q78*(1-'Vehicle Share Diversion Support'!Q118)</f>
        <v>697.5114910918644</v>
      </c>
      <c r="R102" s="160">
        <f>'Vehicle Share Diversion Support'!R78*(1-'Vehicle Share Diversion Support'!R118)</f>
        <v>735.17134212208134</v>
      </c>
      <c r="S102" s="56"/>
      <c r="T102" s="56"/>
      <c r="U102" s="56"/>
      <c r="V102" s="56"/>
      <c r="W102" s="56"/>
      <c r="X102" s="56"/>
      <c r="Y102" s="56"/>
      <c r="Z102" s="56"/>
      <c r="AA102" s="56"/>
      <c r="AB102" s="56"/>
    </row>
    <row r="103" spans="3:28" ht="17" thickBot="1" x14ac:dyDescent="0.25">
      <c r="C103" s="25" t="s">
        <v>13</v>
      </c>
      <c r="D103" s="58">
        <f>'Vehicle Share Diversion Support'!D79</f>
        <v>96.784270553560106</v>
      </c>
      <c r="E103" s="59">
        <f>'Vehicle Share Diversion Support'!E79</f>
        <v>99.023073894774981</v>
      </c>
      <c r="F103" s="59">
        <f>'Vehicle Share Diversion Support'!F79</f>
        <v>91.563509587567026</v>
      </c>
      <c r="G103" s="59">
        <f>'Vehicle Share Diversion Support'!G79</f>
        <v>94.994588104692752</v>
      </c>
      <c r="H103" s="59">
        <f>'Vehicle Share Diversion Support'!H79</f>
        <v>107.77665332631699</v>
      </c>
      <c r="I103" s="59">
        <f>'Vehicle Share Diversion Support'!I79</f>
        <v>108.50813337929121</v>
      </c>
      <c r="J103" s="59">
        <f>'Vehicle Share Diversion Support'!J79</f>
        <v>115.24434815418668</v>
      </c>
      <c r="K103" s="59">
        <f>'Vehicle Share Diversion Support'!K79*(1-'Vehicle Share Diversion Support'!K119)</f>
        <v>120.88403931625207</v>
      </c>
      <c r="L103" s="59">
        <f>'Vehicle Share Diversion Support'!L79*(1-'Vehicle Share Diversion Support'!L119)</f>
        <v>133.26980471969239</v>
      </c>
      <c r="M103" s="59">
        <f>'Vehicle Share Diversion Support'!M79*(1-'Vehicle Share Diversion Support'!M119)</f>
        <v>141.77736479657551</v>
      </c>
      <c r="N103" s="59">
        <f>'Vehicle Share Diversion Support'!N79*(1-'Vehicle Share Diversion Support'!N119)</f>
        <v>149.19588292825478</v>
      </c>
      <c r="O103" s="59">
        <f>'Vehicle Share Diversion Support'!O79*(1-'Vehicle Share Diversion Support'!O119)</f>
        <v>156.94649028154529</v>
      </c>
      <c r="P103" s="162">
        <f>'Vehicle Share Diversion Support'!P79*(1-'Vehicle Share Diversion Support'!P119)</f>
        <v>164.5988181353386</v>
      </c>
      <c r="Q103" s="162">
        <f>'Vehicle Share Diversion Support'!Q79*(1-'Vehicle Share Diversion Support'!Q119)</f>
        <v>171.19541540631485</v>
      </c>
      <c r="R103" s="163">
        <f>'Vehicle Share Diversion Support'!R79*(1-'Vehicle Share Diversion Support'!R119)</f>
        <v>176.26260764126036</v>
      </c>
      <c r="S103" s="56"/>
      <c r="T103" s="56"/>
      <c r="U103" s="56"/>
      <c r="V103" s="56"/>
      <c r="W103" s="56"/>
      <c r="X103" s="56"/>
      <c r="Y103" s="56"/>
      <c r="Z103" s="56"/>
      <c r="AA103" s="56"/>
      <c r="AB103" s="56"/>
    </row>
    <row r="104" spans="3:28" ht="19" thickTop="1" thickBot="1" x14ac:dyDescent="0.25">
      <c r="C104" s="31" t="s">
        <v>24</v>
      </c>
      <c r="D104" s="61">
        <f>SUM(D90:D103)</f>
        <v>4868.4145845394669</v>
      </c>
      <c r="E104" s="62">
        <f t="shared" ref="E104:R104" si="54">SUM(E90:E103)</f>
        <v>4967.0781090115188</v>
      </c>
      <c r="F104" s="62">
        <f t="shared" si="54"/>
        <v>4888.1312323564507</v>
      </c>
      <c r="G104" s="62">
        <f t="shared" si="54"/>
        <v>4776.9709180134423</v>
      </c>
      <c r="H104" s="62">
        <f t="shared" si="54"/>
        <v>5363.264894528339</v>
      </c>
      <c r="I104" s="62">
        <f t="shared" si="54"/>
        <v>5564.1734373568706</v>
      </c>
      <c r="J104" s="62">
        <f t="shared" ref="J104" si="55">SUM(J90:J103)</f>
        <v>5598.627600395881</v>
      </c>
      <c r="K104" s="62">
        <f t="shared" si="54"/>
        <v>6184.1706010194539</v>
      </c>
      <c r="L104" s="62">
        <f t="shared" si="54"/>
        <v>7098.3038125449675</v>
      </c>
      <c r="M104" s="62">
        <f t="shared" si="54"/>
        <v>7849.4194368751341</v>
      </c>
      <c r="N104" s="62">
        <f t="shared" si="54"/>
        <v>8580.4512051625297</v>
      </c>
      <c r="O104" s="62">
        <f t="shared" si="54"/>
        <v>9371.5319095154391</v>
      </c>
      <c r="P104" s="125">
        <f t="shared" si="54"/>
        <v>10207.614477685396</v>
      </c>
      <c r="Q104" s="125">
        <f t="shared" si="54"/>
        <v>11029.600798782374</v>
      </c>
      <c r="R104" s="126">
        <f t="shared" si="54"/>
        <v>11801.254453806376</v>
      </c>
      <c r="S104" s="56"/>
      <c r="T104" s="56"/>
      <c r="U104" s="56"/>
      <c r="V104" s="56"/>
      <c r="W104" s="56"/>
      <c r="X104" s="56"/>
      <c r="Y104" s="56"/>
      <c r="Z104" s="56"/>
      <c r="AA104" s="56"/>
      <c r="AB104" s="56"/>
    </row>
    <row r="105" spans="3:28" ht="14" thickTop="1" x14ac:dyDescent="0.15">
      <c r="O105" s="121"/>
    </row>
    <row r="106" spans="3:28" ht="14" thickBot="1" x14ac:dyDescent="0.2">
      <c r="O106" s="121"/>
    </row>
    <row r="107" spans="3:28" ht="17" thickTop="1" x14ac:dyDescent="0.2">
      <c r="C107" s="32" t="s">
        <v>121</v>
      </c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5"/>
      <c r="S107" s="121"/>
    </row>
    <row r="108" spans="3:28" ht="14" thickBot="1" x14ac:dyDescent="0.2">
      <c r="C108" s="18"/>
      <c r="D108" s="65" t="s">
        <v>25</v>
      </c>
      <c r="E108" s="65" t="s">
        <v>37</v>
      </c>
      <c r="F108" s="65" t="s">
        <v>38</v>
      </c>
      <c r="G108" s="37" t="s">
        <v>177</v>
      </c>
      <c r="H108" s="37" t="s">
        <v>178</v>
      </c>
      <c r="I108" s="65" t="s">
        <v>26</v>
      </c>
      <c r="J108" s="65"/>
      <c r="K108" s="65" t="s">
        <v>27</v>
      </c>
      <c r="L108" s="65" t="s">
        <v>28</v>
      </c>
      <c r="M108" s="65" t="s">
        <v>29</v>
      </c>
      <c r="N108" s="65" t="s">
        <v>30</v>
      </c>
      <c r="O108" s="65" t="s">
        <v>31</v>
      </c>
      <c r="P108" s="37" t="s">
        <v>174</v>
      </c>
      <c r="Q108" s="37" t="s">
        <v>175</v>
      </c>
      <c r="R108" s="38" t="s">
        <v>176</v>
      </c>
      <c r="S108" s="65"/>
    </row>
    <row r="109" spans="3:28" ht="15" thickTop="1" thickBot="1" x14ac:dyDescent="0.2">
      <c r="C109" s="70"/>
      <c r="D109" s="71" t="s">
        <v>39</v>
      </c>
      <c r="E109" s="71" t="s">
        <v>39</v>
      </c>
      <c r="F109" s="71" t="s">
        <v>39</v>
      </c>
      <c r="G109" s="65" t="s">
        <v>39</v>
      </c>
      <c r="H109" s="65" t="s">
        <v>39</v>
      </c>
      <c r="I109" s="71" t="s">
        <v>39</v>
      </c>
      <c r="J109" s="71" t="s">
        <v>39</v>
      </c>
      <c r="K109" s="71" t="s">
        <v>32</v>
      </c>
      <c r="L109" s="71" t="s">
        <v>32</v>
      </c>
      <c r="M109" s="71" t="s">
        <v>32</v>
      </c>
      <c r="N109" s="71" t="s">
        <v>32</v>
      </c>
      <c r="O109" s="71" t="s">
        <v>32</v>
      </c>
      <c r="P109" s="65" t="s">
        <v>32</v>
      </c>
      <c r="Q109" s="65" t="s">
        <v>32</v>
      </c>
      <c r="R109" s="66" t="s">
        <v>32</v>
      </c>
      <c r="S109" s="65"/>
    </row>
    <row r="110" spans="3:28" ht="17" thickTop="1" x14ac:dyDescent="0.2">
      <c r="C110" s="24" t="s">
        <v>0</v>
      </c>
      <c r="D110" s="42">
        <f>'[1]12_13 fleet'!$D69*'Light Vehicle Supporting Data'!D$154</f>
        <v>7068.2525616891207</v>
      </c>
      <c r="E110" s="43">
        <f>'[2]13_14 fleet'!$D70*'Light Vehicle Supporting Data'!E$154</f>
        <v>7178.9001720937167</v>
      </c>
      <c r="F110" s="43">
        <f>'[3]14_15 fleet'!$D70*'Light Vehicle Supporting Data'!F$154</f>
        <v>7091.1833674008403</v>
      </c>
      <c r="G110" s="53">
        <f>'[4]15_16 fleet'!$D70*'Light Vehicle Supporting Data'!G$154</f>
        <v>7487.2009637451201</v>
      </c>
      <c r="H110" s="53">
        <f>'[5]16_17 fleet_v2'!$D70*'Light Vehicle Supporting Data'!H$154</f>
        <v>7891.8951743797088</v>
      </c>
      <c r="I110" s="40">
        <f>'[6]17_18 fleet_v3'!$D95*'Light Vehicle Supporting Data'!I$154</f>
        <v>8034.0107973421927</v>
      </c>
      <c r="J110" s="40">
        <f>'[7]18_19 fleet_v3'!$D95*'Light Vehicle Supporting Data'!J$154</f>
        <v>8179.6926562205017</v>
      </c>
      <c r="K110" s="43">
        <f t="shared" ref="K110:R123" si="56">$J110*(K90/$J90)</f>
        <v>8850.4839147725816</v>
      </c>
      <c r="L110" s="43">
        <f t="shared" si="56"/>
        <v>9989.5318343796025</v>
      </c>
      <c r="M110" s="43">
        <f t="shared" si="56"/>
        <v>10846.991984096969</v>
      </c>
      <c r="N110" s="43">
        <f t="shared" si="56"/>
        <v>11638.145287274621</v>
      </c>
      <c r="O110" s="43">
        <f t="shared" si="56"/>
        <v>12467.817590603094</v>
      </c>
      <c r="P110" s="53">
        <f t="shared" si="56"/>
        <v>13316.11202095461</v>
      </c>
      <c r="Q110" s="53">
        <f t="shared" si="56"/>
        <v>14104.404464726738</v>
      </c>
      <c r="R110" s="54">
        <f t="shared" si="56"/>
        <v>14788.86042348843</v>
      </c>
      <c r="S110" s="56"/>
      <c r="T110" s="56"/>
      <c r="U110" s="56"/>
      <c r="V110" s="56"/>
      <c r="W110" s="56"/>
      <c r="X110" s="56"/>
      <c r="Y110" s="56"/>
    </row>
    <row r="111" spans="3:28" ht="16" x14ac:dyDescent="0.2">
      <c r="C111" s="24" t="s">
        <v>1</v>
      </c>
      <c r="D111" s="42">
        <f>'[1]12_13 fleet'!$D70*'Light Vehicle Supporting Data'!D$154</f>
        <v>110684.57074047979</v>
      </c>
      <c r="E111" s="43">
        <f>'[2]13_14 fleet'!$D71*'Light Vehicle Supporting Data'!E$154</f>
        <v>115603.11470655989</v>
      </c>
      <c r="F111" s="43">
        <f>'[3]14_15 fleet'!$D71*'Light Vehicle Supporting Data'!F$154</f>
        <v>120719.26473898166</v>
      </c>
      <c r="G111" s="43">
        <f>'[4]15_16 fleet'!$D71*'Light Vehicle Supporting Data'!G$154</f>
        <v>129384.15706323726</v>
      </c>
      <c r="H111" s="43">
        <f>'[5]16_17 fleet_v2'!$D71*'Light Vehicle Supporting Data'!H$154</f>
        <v>140833.20112859595</v>
      </c>
      <c r="I111" s="43">
        <f>'[6]17_18 fleet_v3'!$D96*'Light Vehicle Supporting Data'!I$154</f>
        <v>147628.7342192691</v>
      </c>
      <c r="J111" s="43">
        <f>'[7]18_19 fleet_v3'!$D96*'Light Vehicle Supporting Data'!J$154</f>
        <v>149550.67170096279</v>
      </c>
      <c r="K111" s="43">
        <f t="shared" si="56"/>
        <v>170036.19804241092</v>
      </c>
      <c r="L111" s="43">
        <f t="shared" si="56"/>
        <v>199648.34332816623</v>
      </c>
      <c r="M111" s="43">
        <f t="shared" si="56"/>
        <v>225403.08901496351</v>
      </c>
      <c r="N111" s="43">
        <f t="shared" si="56"/>
        <v>251127.75769342374</v>
      </c>
      <c r="O111" s="43">
        <f t="shared" si="56"/>
        <v>279267.5631706994</v>
      </c>
      <c r="P111" s="56">
        <f t="shared" si="56"/>
        <v>309618.2895324683</v>
      </c>
      <c r="Q111" s="56">
        <f t="shared" si="56"/>
        <v>340426.24307470192</v>
      </c>
      <c r="R111" s="57">
        <f t="shared" si="56"/>
        <v>370528.91092550533</v>
      </c>
      <c r="S111" s="56"/>
      <c r="T111" s="56"/>
      <c r="U111" s="56"/>
      <c r="V111" s="56"/>
      <c r="W111" s="56"/>
      <c r="X111" s="56"/>
      <c r="Y111" s="56"/>
    </row>
    <row r="112" spans="3:28" ht="16" x14ac:dyDescent="0.2">
      <c r="C112" s="24" t="s">
        <v>2</v>
      </c>
      <c r="D112" s="42">
        <f>'[1]12_13 fleet'!$D71*'Light Vehicle Supporting Data'!D$154</f>
        <v>23394.004017373565</v>
      </c>
      <c r="E112" s="43">
        <f>'[2]13_14 fleet'!$D72*'Light Vehicle Supporting Data'!E$154</f>
        <v>24456.506958277438</v>
      </c>
      <c r="F112" s="43">
        <f>'[3]14_15 fleet'!$D72*'Light Vehicle Supporting Data'!F$154</f>
        <v>25493.229576720791</v>
      </c>
      <c r="G112" s="43">
        <f>'[4]15_16 fleet'!$D72*'Light Vehicle Supporting Data'!G$154</f>
        <v>27283.596507506445</v>
      </c>
      <c r="H112" s="43">
        <f>'[5]16_17 fleet_v2'!$D72*'Light Vehicle Supporting Data'!H$154</f>
        <v>28213.074912010241</v>
      </c>
      <c r="I112" s="43">
        <f>'[6]17_18 fleet_v3'!$D97*'Light Vehicle Supporting Data'!I$154</f>
        <v>29037.729651162794</v>
      </c>
      <c r="J112" s="43">
        <f>'[7]18_19 fleet_v3'!$D97*'Light Vehicle Supporting Data'!J$154</f>
        <v>29801.622050217102</v>
      </c>
      <c r="K112" s="43">
        <f t="shared" si="56"/>
        <v>32722.851978791805</v>
      </c>
      <c r="L112" s="43">
        <f t="shared" si="56"/>
        <v>37431.106663607192</v>
      </c>
      <c r="M112" s="43">
        <f t="shared" si="56"/>
        <v>41244.423073090831</v>
      </c>
      <c r="N112" s="43">
        <f t="shared" si="56"/>
        <v>44932.7061679584</v>
      </c>
      <c r="O112" s="43">
        <f t="shared" si="56"/>
        <v>48928.184770739899</v>
      </c>
      <c r="P112" s="56">
        <f t="shared" si="56"/>
        <v>53117.297008213194</v>
      </c>
      <c r="Q112" s="56">
        <f t="shared" si="56"/>
        <v>57187.767554367194</v>
      </c>
      <c r="R112" s="57">
        <f t="shared" si="56"/>
        <v>60949.895133184946</v>
      </c>
      <c r="S112" s="56"/>
      <c r="T112" s="56"/>
      <c r="U112" s="56"/>
      <c r="V112" s="56"/>
      <c r="W112" s="56"/>
      <c r="X112" s="56"/>
      <c r="Y112" s="56"/>
    </row>
    <row r="113" spans="3:25" ht="16" x14ac:dyDescent="0.2">
      <c r="C113" s="24" t="s">
        <v>3</v>
      </c>
      <c r="D113" s="42">
        <f>'[1]12_13 fleet'!$D72*'Light Vehicle Supporting Data'!D$154</f>
        <v>17295.746744209689</v>
      </c>
      <c r="E113" s="43">
        <f>'[2]13_14 fleet'!$D73*'Light Vehicle Supporting Data'!E$154</f>
        <v>17664.979118392348</v>
      </c>
      <c r="F113" s="43">
        <f>'[3]14_15 fleet'!$D73*'Light Vehicle Supporting Data'!F$154</f>
        <v>17923.629039296295</v>
      </c>
      <c r="G113" s="43">
        <f>'[4]15_16 fleet'!$D73*'Light Vehicle Supporting Data'!G$154</f>
        <v>18925.674405082238</v>
      </c>
      <c r="H113" s="43">
        <f>'[5]16_17 fleet_v2'!$D73*'Light Vehicle Supporting Data'!H$154</f>
        <v>19835.817176183136</v>
      </c>
      <c r="I113" s="43">
        <f>'[6]17_18 fleet_v3'!$D98*'Light Vehicle Supporting Data'!I$154</f>
        <v>21009.776162790698</v>
      </c>
      <c r="J113" s="43">
        <f>'[7]18_19 fleet_v3'!$D98*'Light Vehicle Supporting Data'!J$154</f>
        <v>21285.722484425143</v>
      </c>
      <c r="K113" s="43">
        <f t="shared" si="56"/>
        <v>23212.915028201773</v>
      </c>
      <c r="L113" s="43">
        <f t="shared" si="56"/>
        <v>26375.832039247965</v>
      </c>
      <c r="M113" s="43">
        <f t="shared" si="56"/>
        <v>28876.363077652924</v>
      </c>
      <c r="N113" s="43">
        <f t="shared" si="56"/>
        <v>31245.168809041512</v>
      </c>
      <c r="O113" s="43">
        <f t="shared" si="56"/>
        <v>33793.70960742086</v>
      </c>
      <c r="P113" s="56">
        <f t="shared" si="56"/>
        <v>36439.230332393425</v>
      </c>
      <c r="Q113" s="56">
        <f t="shared" si="56"/>
        <v>38966.628941215262</v>
      </c>
      <c r="R113" s="57">
        <f t="shared" si="56"/>
        <v>41249.540946327746</v>
      </c>
      <c r="S113" s="56"/>
      <c r="T113" s="56"/>
      <c r="U113" s="56"/>
      <c r="V113" s="56"/>
      <c r="W113" s="56"/>
      <c r="X113" s="56"/>
      <c r="Y113" s="56"/>
    </row>
    <row r="114" spans="3:25" ht="16" x14ac:dyDescent="0.2">
      <c r="C114" s="24" t="s">
        <v>4</v>
      </c>
      <c r="D114" s="42">
        <f>'[1]12_13 fleet'!$D73*'Light Vehicle Supporting Data'!D$154</f>
        <v>1782.8293177125511</v>
      </c>
      <c r="E114" s="43">
        <f>'[2]13_14 fleet'!$D74*'Light Vehicle Supporting Data'!E$154</f>
        <v>1788.7192704310473</v>
      </c>
      <c r="F114" s="43">
        <f>'[3]14_15 fleet'!$D74*'Light Vehicle Supporting Data'!F$154</f>
        <v>1794.5648239590271</v>
      </c>
      <c r="G114" s="43">
        <f>'[4]15_16 fleet'!$D74*'Light Vehicle Supporting Data'!G$154</f>
        <v>1843.5268246515857</v>
      </c>
      <c r="H114" s="43">
        <f>'[5]16_17 fleet_v2'!$D74*'Light Vehicle Supporting Data'!H$154</f>
        <v>1805.3485790744351</v>
      </c>
      <c r="I114" s="43">
        <f>'[6]17_18 fleet_v3'!$D99*'Light Vehicle Supporting Data'!I$154</f>
        <v>2131.1632059800663</v>
      </c>
      <c r="J114" s="43">
        <f>'[7]18_19 fleet_v3'!$D99*'Light Vehicle Supporting Data'!J$154</f>
        <v>2104.8163111195013</v>
      </c>
      <c r="K114" s="43">
        <f t="shared" si="56"/>
        <v>2228.5702736101398</v>
      </c>
      <c r="L114" s="43">
        <f t="shared" si="56"/>
        <v>2474.3907492665835</v>
      </c>
      <c r="M114" s="43">
        <f t="shared" si="56"/>
        <v>2648.1428126182295</v>
      </c>
      <c r="N114" s="43">
        <f t="shared" si="56"/>
        <v>2797.854041355864</v>
      </c>
      <c r="O114" s="43">
        <f t="shared" si="56"/>
        <v>2955.1631161788964</v>
      </c>
      <c r="P114" s="56">
        <f t="shared" si="56"/>
        <v>3111.846712770704</v>
      </c>
      <c r="Q114" s="56">
        <f t="shared" si="56"/>
        <v>3249.7147926410812</v>
      </c>
      <c r="R114" s="57">
        <f t="shared" si="56"/>
        <v>3359.5022931474232</v>
      </c>
      <c r="S114" s="56"/>
      <c r="T114" s="56"/>
      <c r="U114" s="56"/>
      <c r="V114" s="56"/>
      <c r="W114" s="56"/>
      <c r="X114" s="56"/>
      <c r="Y114" s="56"/>
    </row>
    <row r="115" spans="3:25" ht="16" x14ac:dyDescent="0.2">
      <c r="C115" s="24" t="s">
        <v>5</v>
      </c>
      <c r="D115" s="42">
        <f>'[1]12_13 fleet'!$D74*'Light Vehicle Supporting Data'!D$154</f>
        <v>8441.6617834193949</v>
      </c>
      <c r="E115" s="43">
        <f>'[2]13_14 fleet'!$D75*'Light Vehicle Supporting Data'!E$154</f>
        <v>8455.1268479748505</v>
      </c>
      <c r="F115" s="43">
        <f>'[3]14_15 fleet'!$D75*'Light Vehicle Supporting Data'!F$154</f>
        <v>8652.5448427918509</v>
      </c>
      <c r="G115" s="43">
        <f>'[4]15_16 fleet'!$D75*'Light Vehicle Supporting Data'!G$154</f>
        <v>9039.4865799419767</v>
      </c>
      <c r="H115" s="43">
        <f>'[5]16_17 fleet_v2'!$D75*'Light Vehicle Supporting Data'!H$154</f>
        <v>9551.1346112452375</v>
      </c>
      <c r="I115" s="43">
        <f>'[6]17_18 fleet_v3'!$D100*'Light Vehicle Supporting Data'!I$154</f>
        <v>10192.431893687708</v>
      </c>
      <c r="J115" s="43">
        <f>'[7]18_19 fleet_v3'!$D100*'Light Vehicle Supporting Data'!J$154</f>
        <v>10270.416462148385</v>
      </c>
      <c r="K115" s="43">
        <f t="shared" si="56"/>
        <v>10890.85182688581</v>
      </c>
      <c r="L115" s="43">
        <f t="shared" si="56"/>
        <v>12125.472451652258</v>
      </c>
      <c r="M115" s="43">
        <f t="shared" si="56"/>
        <v>12998.229158085363</v>
      </c>
      <c r="N115" s="43">
        <f t="shared" si="56"/>
        <v>13776.508556063322</v>
      </c>
      <c r="O115" s="43">
        <f t="shared" si="56"/>
        <v>14587.329392505155</v>
      </c>
      <c r="P115" s="56">
        <f t="shared" si="56"/>
        <v>15399.008128472407</v>
      </c>
      <c r="Q115" s="56">
        <f t="shared" si="56"/>
        <v>16121.298522407988</v>
      </c>
      <c r="R115" s="57">
        <f t="shared" si="56"/>
        <v>16707.44094986378</v>
      </c>
      <c r="S115" s="56"/>
      <c r="T115" s="56"/>
      <c r="U115" s="56"/>
      <c r="V115" s="56"/>
      <c r="W115" s="56"/>
      <c r="X115" s="56"/>
      <c r="Y115" s="56"/>
    </row>
    <row r="116" spans="3:25" ht="16" x14ac:dyDescent="0.2">
      <c r="C116" s="24" t="s">
        <v>6</v>
      </c>
      <c r="D116" s="42">
        <f>'[1]12_13 fleet'!$D75*'Light Vehicle Supporting Data'!D$154</f>
        <v>5341.4807632308666</v>
      </c>
      <c r="E116" s="43">
        <f>'[2]13_14 fleet'!$D76*'Light Vehicle Supporting Data'!E$154</f>
        <v>5577.3608141252353</v>
      </c>
      <c r="F116" s="43">
        <f>'[3]14_15 fleet'!$D76*'Light Vehicle Supporting Data'!F$154</f>
        <v>5629.9091660733566</v>
      </c>
      <c r="G116" s="43">
        <f>'[4]15_16 fleet'!$D76*'Light Vehicle Supporting Data'!G$154</f>
        <v>5787.7934999783492</v>
      </c>
      <c r="H116" s="43">
        <f>'[5]16_17 fleet_v2'!$D76*'Light Vehicle Supporting Data'!H$154</f>
        <v>5859.3769015969056</v>
      </c>
      <c r="I116" s="43">
        <f>'[6]17_18 fleet_v3'!$D101*'Light Vehicle Supporting Data'!I$154</f>
        <v>6385.4132059800668</v>
      </c>
      <c r="J116" s="43">
        <f>'[7]18_19 fleet_v3'!$D101*'Light Vehicle Supporting Data'!J$154</f>
        <v>6245.9996224277884</v>
      </c>
      <c r="K116" s="43">
        <f t="shared" si="56"/>
        <v>6678.1043846998136</v>
      </c>
      <c r="L116" s="43">
        <f t="shared" si="56"/>
        <v>7505.1561931026163</v>
      </c>
      <c r="M116" s="43">
        <f t="shared" si="56"/>
        <v>8130.5888768062941</v>
      </c>
      <c r="N116" s="43">
        <f t="shared" si="56"/>
        <v>8721.8544689579849</v>
      </c>
      <c r="O116" s="43">
        <f t="shared" si="56"/>
        <v>9360.6581711978833</v>
      </c>
      <c r="P116" s="56">
        <f t="shared" si="56"/>
        <v>10015.768350678623</v>
      </c>
      <c r="Q116" s="56">
        <f t="shared" si="56"/>
        <v>10628.022618407887</v>
      </c>
      <c r="R116" s="57">
        <f t="shared" si="56"/>
        <v>11164.08955594337</v>
      </c>
      <c r="S116" s="56"/>
      <c r="T116" s="56"/>
      <c r="U116" s="56"/>
      <c r="V116" s="56"/>
      <c r="W116" s="56"/>
      <c r="X116" s="56"/>
      <c r="Y116" s="56"/>
    </row>
    <row r="117" spans="3:25" ht="16" x14ac:dyDescent="0.2">
      <c r="C117" s="24" t="s">
        <v>7</v>
      </c>
      <c r="D117" s="42">
        <f>'[1]12_13 fleet'!$D76*'Light Vehicle Supporting Data'!D$154</f>
        <v>11565.86745471691</v>
      </c>
      <c r="E117" s="43">
        <f>'[2]13_14 fleet'!$D77*'Light Vehicle Supporting Data'!E$154</f>
        <v>11592.142065395612</v>
      </c>
      <c r="F117" s="43">
        <f>'[3]14_15 fleet'!$D77*'Light Vehicle Supporting Data'!F$154</f>
        <v>11746.24248409545</v>
      </c>
      <c r="G117" s="43">
        <f>'[4]15_16 fleet'!$D77*'Light Vehicle Supporting Data'!G$154</f>
        <v>12265.158108634734</v>
      </c>
      <c r="H117" s="43">
        <f>'[5]16_17 fleet_v2'!$D77*'Light Vehicle Supporting Data'!H$154</f>
        <v>12400.262884318916</v>
      </c>
      <c r="I117" s="43">
        <f>'[6]17_18 fleet_v3'!$D102*'Light Vehicle Supporting Data'!I$154</f>
        <v>12757.702242524918</v>
      </c>
      <c r="J117" s="43">
        <f>'[7]18_19 fleet_v3'!$D102*'Light Vehicle Supporting Data'!J$154</f>
        <v>13020.468189541249</v>
      </c>
      <c r="K117" s="43">
        <f t="shared" si="56"/>
        <v>13765.592059173943</v>
      </c>
      <c r="L117" s="43">
        <f t="shared" si="56"/>
        <v>15279.619536353337</v>
      </c>
      <c r="M117" s="43">
        <f t="shared" si="56"/>
        <v>16346.974015908499</v>
      </c>
      <c r="N117" s="43">
        <f t="shared" si="56"/>
        <v>17298.592629367122</v>
      </c>
      <c r="O117" s="43">
        <f t="shared" si="56"/>
        <v>18292.396670736834</v>
      </c>
      <c r="P117" s="56">
        <f t="shared" si="56"/>
        <v>19284.606631450733</v>
      </c>
      <c r="Q117" s="56">
        <f t="shared" si="56"/>
        <v>20162.355684245718</v>
      </c>
      <c r="R117" s="57">
        <f t="shared" si="56"/>
        <v>20867.69124149689</v>
      </c>
      <c r="S117" s="56"/>
      <c r="T117" s="56"/>
      <c r="U117" s="56"/>
      <c r="V117" s="56"/>
      <c r="W117" s="56"/>
      <c r="X117" s="56"/>
      <c r="Y117" s="56"/>
    </row>
    <row r="118" spans="3:25" ht="16" x14ac:dyDescent="0.2">
      <c r="C118" s="24" t="s">
        <v>8</v>
      </c>
      <c r="D118" s="42">
        <f>'[1]12_13 fleet'!$D77*'Light Vehicle Supporting Data'!D$154</f>
        <v>25049.702889634405</v>
      </c>
      <c r="E118" s="43">
        <f>'[2]13_14 fleet'!$D78*'Light Vehicle Supporting Data'!E$154</f>
        <v>25450.462322316627</v>
      </c>
      <c r="F118" s="43">
        <f>'[3]14_15 fleet'!$D78*'Light Vehicle Supporting Data'!F$154</f>
        <v>25818.513217427251</v>
      </c>
      <c r="G118" s="43">
        <f>'[4]15_16 fleet'!$D78*'Light Vehicle Supporting Data'!G$154</f>
        <v>27126.466370986196</v>
      </c>
      <c r="H118" s="43">
        <f>'[5]16_17 fleet_v2'!$D78*'Light Vehicle Supporting Data'!H$154</f>
        <v>27968.892509962479</v>
      </c>
      <c r="I118" s="43">
        <f>'[6]17_18 fleet_v3'!$D103*'Light Vehicle Supporting Data'!I$154</f>
        <v>29359.776578073092</v>
      </c>
      <c r="J118" s="43">
        <f>'[7]18_19 fleet_v3'!$D103*'Light Vehicle Supporting Data'!J$154</f>
        <v>30032.135170851423</v>
      </c>
      <c r="K118" s="43">
        <f t="shared" si="56"/>
        <v>32266.873767843612</v>
      </c>
      <c r="L118" s="43">
        <f t="shared" si="56"/>
        <v>36306.791269915382</v>
      </c>
      <c r="M118" s="43">
        <f t="shared" si="56"/>
        <v>39416.519713612521</v>
      </c>
      <c r="N118" s="43">
        <f t="shared" si="56"/>
        <v>42341.733240026617</v>
      </c>
      <c r="O118" s="43">
        <f t="shared" si="56"/>
        <v>45444.677908712642</v>
      </c>
      <c r="P118" s="56">
        <f t="shared" si="56"/>
        <v>48627.031988073497</v>
      </c>
      <c r="Q118" s="56">
        <f t="shared" si="56"/>
        <v>51601.557348818715</v>
      </c>
      <c r="R118" s="57">
        <f t="shared" si="56"/>
        <v>54206.391610311504</v>
      </c>
      <c r="S118" s="56"/>
      <c r="T118" s="56"/>
      <c r="U118" s="56"/>
      <c r="V118" s="56"/>
      <c r="W118" s="56"/>
      <c r="X118" s="56"/>
      <c r="Y118" s="56"/>
    </row>
    <row r="119" spans="3:25" ht="16" x14ac:dyDescent="0.2">
      <c r="C119" s="24" t="s">
        <v>9</v>
      </c>
      <c r="D119" s="42">
        <f>'[1]12_13 fleet'!$D78*'Light Vehicle Supporting Data'!D$154</f>
        <v>9663.9159085889769</v>
      </c>
      <c r="E119" s="43">
        <f>'[2]13_14 fleet'!$D79*'Light Vehicle Supporting Data'!E$154</f>
        <v>9966.579617057605</v>
      </c>
      <c r="F119" s="43">
        <f>'[3]14_15 fleet'!$D79*'Light Vehicle Supporting Data'!F$154</f>
        <v>10201.895845295239</v>
      </c>
      <c r="G119" s="43">
        <f>'[4]15_16 fleet'!$D79*'Light Vehicle Supporting Data'!G$154</f>
        <v>11263.328384706267</v>
      </c>
      <c r="H119" s="43">
        <f>'[5]16_17 fleet_v2'!$D79*'Light Vehicle Supporting Data'!H$154</f>
        <v>12247.148509264378</v>
      </c>
      <c r="I119" s="43">
        <f>'[6]17_18 fleet_v3'!$D104*'Light Vehicle Supporting Data'!I$154</f>
        <v>14261.933970099668</v>
      </c>
      <c r="J119" s="43">
        <f>'[7]18_19 fleet_v3'!$D104*'Light Vehicle Supporting Data'!J$154</f>
        <v>14690.430054747969</v>
      </c>
      <c r="K119" s="43">
        <f t="shared" si="56"/>
        <v>15731.676395584736</v>
      </c>
      <c r="L119" s="43">
        <f t="shared" si="56"/>
        <v>17639.34017432047</v>
      </c>
      <c r="M119" s="43">
        <f t="shared" si="56"/>
        <v>19052.244176942484</v>
      </c>
      <c r="N119" s="43">
        <f t="shared" si="56"/>
        <v>20333.943772439266</v>
      </c>
      <c r="O119" s="43">
        <f t="shared" si="56"/>
        <v>21646.674777354056</v>
      </c>
      <c r="P119" s="56">
        <f t="shared" si="56"/>
        <v>22975.320629609021</v>
      </c>
      <c r="Q119" s="56">
        <f t="shared" si="56"/>
        <v>24184.815917795553</v>
      </c>
      <c r="R119" s="57">
        <f t="shared" si="56"/>
        <v>25202.70524274309</v>
      </c>
      <c r="S119" s="56"/>
      <c r="T119" s="56"/>
      <c r="U119" s="56"/>
      <c r="V119" s="56"/>
      <c r="W119" s="56"/>
      <c r="X119" s="56"/>
      <c r="Y119" s="56"/>
    </row>
    <row r="120" spans="3:25" ht="16" x14ac:dyDescent="0.2">
      <c r="C120" s="24" t="s">
        <v>10</v>
      </c>
      <c r="D120" s="42">
        <f>'[1]12_13 fleet'!$D79*'Light Vehicle Supporting Data'!D$154</f>
        <v>1777.8241820648461</v>
      </c>
      <c r="E120" s="43">
        <f>'[2]13_14 fleet'!$D80*'Light Vehicle Supporting Data'!E$154</f>
        <v>1764.6961800615202</v>
      </c>
      <c r="F120" s="43">
        <f>'[3]14_15 fleet'!$D80*'Light Vehicle Supporting Data'!F$154</f>
        <v>1785.5569692933097</v>
      </c>
      <c r="G120" s="43">
        <f>'[4]15_16 fleet'!$D80*'Light Vehicle Supporting Data'!G$154</f>
        <v>1763.4605130489108</v>
      </c>
      <c r="H120" s="43">
        <f>'[5]16_17 fleet_v2'!$D80*'Light Vehicle Supporting Data'!H$154</f>
        <v>1659.2394368655284</v>
      </c>
      <c r="I120" s="43">
        <f>'[6]17_18 fleet_v3'!$D105*'Light Vehicle Supporting Data'!I$154</f>
        <v>1859.593853820598</v>
      </c>
      <c r="J120" s="43">
        <f>'[7]18_19 fleet_v3'!$D105*'Light Vehicle Supporting Data'!J$154</f>
        <v>1848.1313951293182</v>
      </c>
      <c r="K120" s="43">
        <f t="shared" si="56"/>
        <v>1921.1433285885771</v>
      </c>
      <c r="L120" s="43">
        <f t="shared" si="56"/>
        <v>2094.4877421011392</v>
      </c>
      <c r="M120" s="43">
        <f t="shared" si="56"/>
        <v>2200.6000692508746</v>
      </c>
      <c r="N120" s="43">
        <f t="shared" si="56"/>
        <v>2285.8235170281682</v>
      </c>
      <c r="O120" s="43">
        <f t="shared" si="56"/>
        <v>2374.5392910542973</v>
      </c>
      <c r="P120" s="56">
        <f t="shared" si="56"/>
        <v>2459.2142053439611</v>
      </c>
      <c r="Q120" s="56">
        <f t="shared" si="56"/>
        <v>2525.8274036030089</v>
      </c>
      <c r="R120" s="57">
        <f t="shared" si="56"/>
        <v>2568.1100225485029</v>
      </c>
      <c r="S120" s="56"/>
      <c r="T120" s="56"/>
      <c r="U120" s="56"/>
      <c r="V120" s="56"/>
      <c r="W120" s="56"/>
      <c r="X120" s="56"/>
      <c r="Y120" s="56"/>
    </row>
    <row r="121" spans="3:25" ht="16" x14ac:dyDescent="0.2">
      <c r="C121" s="24" t="s">
        <v>11</v>
      </c>
      <c r="D121" s="42">
        <f>'[1]12_13 fleet'!$D80*'Light Vehicle Supporting Data'!D$154</f>
        <v>45447.632708291712</v>
      </c>
      <c r="E121" s="43">
        <f>'[2]13_14 fleet'!$D81*'Light Vehicle Supporting Data'!E$154</f>
        <v>47120.290797728907</v>
      </c>
      <c r="F121" s="43">
        <f>'[3]14_15 fleet'!$D81*'Light Vehicle Supporting Data'!F$154</f>
        <v>48980.710181208517</v>
      </c>
      <c r="G121" s="43">
        <f>'[4]15_16 fleet'!$D81*'Light Vehicle Supporting Data'!G$154</f>
        <v>50680.974415598066</v>
      </c>
      <c r="H121" s="43">
        <f>'[5]16_17 fleet_v2'!$D81*'Light Vehicle Supporting Data'!H$154</f>
        <v>53361.860827830948</v>
      </c>
      <c r="I121" s="43">
        <f>'[6]17_18 fleet_v3'!$D106*'Light Vehicle Supporting Data'!I$154</f>
        <v>56571.227574750832</v>
      </c>
      <c r="J121" s="43">
        <f>'[7]18_19 fleet_v3'!$D106*'Light Vehicle Supporting Data'!J$154</f>
        <v>57808.462903530293</v>
      </c>
      <c r="K121" s="43">
        <f t="shared" si="56"/>
        <v>64045.669630909484</v>
      </c>
      <c r="L121" s="43">
        <f t="shared" si="56"/>
        <v>73440.725663272169</v>
      </c>
      <c r="M121" s="43">
        <f t="shared" si="56"/>
        <v>81212.267798106288</v>
      </c>
      <c r="N121" s="43">
        <f t="shared" si="56"/>
        <v>88845.45820570302</v>
      </c>
      <c r="O121" s="43">
        <f t="shared" si="56"/>
        <v>97126.474591722086</v>
      </c>
      <c r="P121" s="56">
        <f t="shared" si="56"/>
        <v>105857.18827077189</v>
      </c>
      <c r="Q121" s="56">
        <f t="shared" si="56"/>
        <v>114417.74822365469</v>
      </c>
      <c r="R121" s="57">
        <f t="shared" si="56"/>
        <v>122424.7093758441</v>
      </c>
      <c r="S121" s="56"/>
      <c r="T121" s="56"/>
      <c r="U121" s="56"/>
      <c r="V121" s="56"/>
      <c r="W121" s="56"/>
      <c r="X121" s="56"/>
      <c r="Y121" s="56"/>
    </row>
    <row r="122" spans="3:25" ht="16" x14ac:dyDescent="0.2">
      <c r="C122" s="24" t="s">
        <v>12</v>
      </c>
      <c r="D122" s="42">
        <f>'[1]12_13 fleet'!$D81*'Light Vehicle Supporting Data'!D$154</f>
        <v>12841.176017752165</v>
      </c>
      <c r="E122" s="43">
        <f>'[2]13_14 fleet'!$D82*'Light Vehicle Supporting Data'!E$154</f>
        <v>13536.010461129858</v>
      </c>
      <c r="F122" s="43">
        <f>'[3]14_15 fleet'!$D82*'Light Vehicle Supporting Data'!F$154</f>
        <v>13908.127603867619</v>
      </c>
      <c r="G122" s="43">
        <f>'[4]15_16 fleet'!$D82*'Light Vehicle Supporting Data'!G$154</f>
        <v>15162.557759756526</v>
      </c>
      <c r="H122" s="43">
        <f>'[5]16_17 fleet_v2'!$D82*'Light Vehicle Supporting Data'!H$154</f>
        <v>16579.384650513395</v>
      </c>
      <c r="I122" s="43">
        <f>'[6]17_18 fleet_v3'!$D107*'Light Vehicle Supporting Data'!I$154</f>
        <v>17977.083471760798</v>
      </c>
      <c r="J122" s="43">
        <f>'[7]18_19 fleet_v3'!$D107*'Light Vehicle Supporting Data'!J$154</f>
        <v>18096.789881064753</v>
      </c>
      <c r="K122" s="43">
        <f t="shared" si="56"/>
        <v>19661.494747511737</v>
      </c>
      <c r="L122" s="43">
        <f t="shared" si="56"/>
        <v>22180.595388395293</v>
      </c>
      <c r="M122" s="43">
        <f t="shared" si="56"/>
        <v>24141.001409521043</v>
      </c>
      <c r="N122" s="43">
        <f t="shared" si="56"/>
        <v>26009.48323072787</v>
      </c>
      <c r="O122" s="43">
        <f t="shared" si="56"/>
        <v>28008.873026421272</v>
      </c>
      <c r="P122" s="56">
        <f t="shared" si="56"/>
        <v>30070.446795796219</v>
      </c>
      <c r="Q122" s="56">
        <f t="shared" si="56"/>
        <v>32016.543265630829</v>
      </c>
      <c r="R122" s="57">
        <f t="shared" si="56"/>
        <v>33745.17177610701</v>
      </c>
      <c r="S122" s="56"/>
      <c r="T122" s="56"/>
      <c r="U122" s="56"/>
      <c r="V122" s="56"/>
      <c r="W122" s="56"/>
      <c r="X122" s="56"/>
      <c r="Y122" s="56"/>
    </row>
    <row r="123" spans="3:25" ht="17" thickBot="1" x14ac:dyDescent="0.25">
      <c r="C123" s="25" t="s">
        <v>13</v>
      </c>
      <c r="D123" s="45">
        <f>'[1]12_13 fleet'!$D82*'Light Vehicle Supporting Data'!D$154</f>
        <v>5199.3349108360417</v>
      </c>
      <c r="E123" s="46">
        <f>'[2]13_14 fleet'!$D83*'Light Vehicle Supporting Data'!E$154</f>
        <v>5317.1106684553579</v>
      </c>
      <c r="F123" s="46">
        <f>'[3]14_15 fleet'!$D83*'Light Vehicle Supporting Data'!F$154</f>
        <v>5307.6281435888013</v>
      </c>
      <c r="G123" s="46">
        <f>'[4]15_16 fleet'!$D83*'Light Vehicle Supporting Data'!G$154</f>
        <v>5576.6186031262951</v>
      </c>
      <c r="H123" s="46">
        <f>'[5]16_17 fleet_v2'!$D83*'Light Vehicle Supporting Data'!H$154</f>
        <v>5840.3626981587604</v>
      </c>
      <c r="I123" s="46">
        <f>'[6]17_18 fleet_v3'!$D108*'Light Vehicle Supporting Data'!I$154</f>
        <v>5923.0386212624589</v>
      </c>
      <c r="J123" s="46">
        <f>'[7]18_19 fleet_v3'!$D108*'Light Vehicle Supporting Data'!J$154</f>
        <v>6059.7772323956951</v>
      </c>
      <c r="K123" s="46">
        <f t="shared" si="56"/>
        <v>6356.323420117662</v>
      </c>
      <c r="L123" s="46">
        <f t="shared" si="56"/>
        <v>7007.5916202479184</v>
      </c>
      <c r="M123" s="46">
        <f t="shared" si="56"/>
        <v>7454.9360643169712</v>
      </c>
      <c r="N123" s="46">
        <f t="shared" si="56"/>
        <v>7845.0165150503935</v>
      </c>
      <c r="O123" s="46">
        <f t="shared" si="56"/>
        <v>8252.558878115964</v>
      </c>
      <c r="P123" s="59">
        <f t="shared" si="56"/>
        <v>8654.9335094619055</v>
      </c>
      <c r="Q123" s="59">
        <f t="shared" si="56"/>
        <v>9001.7957252164142</v>
      </c>
      <c r="R123" s="60">
        <f t="shared" si="56"/>
        <v>9268.2387797288411</v>
      </c>
      <c r="S123" s="56"/>
      <c r="T123" s="56"/>
      <c r="U123" s="56"/>
      <c r="V123" s="56"/>
      <c r="W123" s="56"/>
      <c r="X123" s="56"/>
      <c r="Y123" s="56"/>
    </row>
    <row r="124" spans="3:25" ht="19" thickTop="1" thickBot="1" x14ac:dyDescent="0.25">
      <c r="C124" s="20" t="s">
        <v>24</v>
      </c>
      <c r="D124" s="48">
        <f t="shared" ref="D124:R124" si="57">SUM(D110:D123)</f>
        <v>285554</v>
      </c>
      <c r="E124" s="48">
        <f t="shared" si="57"/>
        <v>295472</v>
      </c>
      <c r="F124" s="48">
        <f t="shared" si="57"/>
        <v>305053</v>
      </c>
      <c r="G124" s="48">
        <f t="shared" si="57"/>
        <v>323589.99999999994</v>
      </c>
      <c r="H124" s="48">
        <f t="shared" si="57"/>
        <v>344047.00000000012</v>
      </c>
      <c r="I124" s="48">
        <f t="shared" si="57"/>
        <v>363129.61544850498</v>
      </c>
      <c r="J124" s="48">
        <f t="shared" ref="J124" si="58">SUM(J110:J123)</f>
        <v>368995.1361147819</v>
      </c>
      <c r="K124" s="48">
        <f t="shared" si="57"/>
        <v>408368.7487991025</v>
      </c>
      <c r="L124" s="48">
        <f t="shared" si="57"/>
        <v>469498.98465402814</v>
      </c>
      <c r="M124" s="48">
        <f t="shared" si="57"/>
        <v>519972.3712449728</v>
      </c>
      <c r="N124" s="48">
        <f t="shared" si="57"/>
        <v>569200.04613441799</v>
      </c>
      <c r="O124" s="48">
        <f t="shared" si="57"/>
        <v>622506.6209634624</v>
      </c>
      <c r="P124" s="62">
        <f t="shared" si="57"/>
        <v>678946.29411645851</v>
      </c>
      <c r="Q124" s="62">
        <f t="shared" si="57"/>
        <v>734594.72353743296</v>
      </c>
      <c r="R124" s="63">
        <f t="shared" si="57"/>
        <v>787031.25827624102</v>
      </c>
      <c r="S124" s="43"/>
      <c r="T124" s="56"/>
      <c r="U124" s="56"/>
      <c r="V124" s="56"/>
      <c r="W124" s="56"/>
      <c r="X124" s="56"/>
      <c r="Y124" s="56"/>
    </row>
    <row r="125" spans="3:25" ht="19" thickTop="1" thickBot="1" x14ac:dyDescent="0.25">
      <c r="C125" s="31" t="s">
        <v>96</v>
      </c>
      <c r="D125" s="48">
        <f>SUM('[1]12_13 fleet'!$D$68:$D$82)</f>
        <v>285554</v>
      </c>
      <c r="E125" s="48">
        <f>SUM('[2]13_14 fleet'!$D$69:$D$83)</f>
        <v>295472</v>
      </c>
      <c r="F125" s="48">
        <f>SUM('[3]14_15 fleet'!$D$69:$D$83)</f>
        <v>305053</v>
      </c>
      <c r="G125" s="48">
        <f>SUM('[4]15_16 fleet'!$D$69:$D$83)</f>
        <v>323590</v>
      </c>
      <c r="H125" s="48">
        <f>SUM('[5]16_17 fleet_v2'!$D$69:$D$83)</f>
        <v>344047</v>
      </c>
      <c r="I125" s="48">
        <f>SUM('[6]17_18 fleet_v3'!$D$70:$D$84)</f>
        <v>9724</v>
      </c>
      <c r="J125" s="48">
        <f>SUM('[7]18_19 fleet_v3'!$D$70:$D$84)</f>
        <v>10664</v>
      </c>
      <c r="K125" s="62"/>
      <c r="L125" s="62"/>
      <c r="M125" s="62"/>
      <c r="N125" s="62"/>
      <c r="O125" s="62"/>
      <c r="P125" s="62"/>
      <c r="Q125" s="62"/>
      <c r="R125" s="63"/>
      <c r="S125" s="56"/>
    </row>
    <row r="126" spans="3:25" ht="14" thickTop="1" x14ac:dyDescent="0.15">
      <c r="O126" s="121"/>
    </row>
    <row r="127" spans="3:25" ht="14" thickBot="1" x14ac:dyDescent="0.2">
      <c r="O127" s="121"/>
    </row>
    <row r="128" spans="3:25" ht="17" thickTop="1" x14ac:dyDescent="0.2">
      <c r="C128" s="32" t="s">
        <v>122</v>
      </c>
      <c r="D128" s="33"/>
      <c r="E128" s="33"/>
      <c r="F128" s="33"/>
      <c r="G128" s="33"/>
      <c r="H128" s="33"/>
      <c r="I128" s="33"/>
      <c r="J128" s="33"/>
      <c r="K128" s="34"/>
      <c r="L128" s="34"/>
      <c r="M128" s="34"/>
      <c r="N128" s="34"/>
      <c r="O128" s="34"/>
      <c r="P128" s="34"/>
      <c r="Q128" s="34"/>
      <c r="R128" s="35"/>
      <c r="S128" s="121"/>
    </row>
    <row r="129" spans="3:19" ht="14" thickBot="1" x14ac:dyDescent="0.2">
      <c r="C129" s="36"/>
      <c r="D129" s="37" t="s">
        <v>25</v>
      </c>
      <c r="E129" s="37" t="s">
        <v>37</v>
      </c>
      <c r="F129" s="37" t="s">
        <v>38</v>
      </c>
      <c r="G129" s="37" t="s">
        <v>177</v>
      </c>
      <c r="H129" s="37" t="s">
        <v>178</v>
      </c>
      <c r="I129" s="37" t="s">
        <v>26</v>
      </c>
      <c r="J129" s="37"/>
      <c r="K129" s="37" t="s">
        <v>27</v>
      </c>
      <c r="L129" s="37" t="s">
        <v>28</v>
      </c>
      <c r="M129" s="37" t="s">
        <v>29</v>
      </c>
      <c r="N129" s="37" t="s">
        <v>30</v>
      </c>
      <c r="O129" s="37" t="s">
        <v>31</v>
      </c>
      <c r="P129" s="37" t="s">
        <v>174</v>
      </c>
      <c r="Q129" s="37" t="s">
        <v>175</v>
      </c>
      <c r="R129" s="38" t="s">
        <v>176</v>
      </c>
      <c r="S129" s="65"/>
    </row>
    <row r="130" spans="3:19" ht="15" thickTop="1" thickBot="1" x14ac:dyDescent="0.2">
      <c r="C130" s="70"/>
      <c r="D130" s="65" t="s">
        <v>39</v>
      </c>
      <c r="E130" s="65" t="s">
        <v>39</v>
      </c>
      <c r="F130" s="65" t="s">
        <v>39</v>
      </c>
      <c r="G130" s="65" t="s">
        <v>39</v>
      </c>
      <c r="H130" s="65" t="s">
        <v>39</v>
      </c>
      <c r="I130" s="65" t="s">
        <v>39</v>
      </c>
      <c r="J130" s="65" t="s">
        <v>39</v>
      </c>
      <c r="K130" s="65" t="s">
        <v>32</v>
      </c>
      <c r="L130" s="65" t="s">
        <v>32</v>
      </c>
      <c r="M130" s="65" t="s">
        <v>32</v>
      </c>
      <c r="N130" s="65" t="s">
        <v>32</v>
      </c>
      <c r="O130" s="65" t="s">
        <v>32</v>
      </c>
      <c r="P130" s="65" t="s">
        <v>32</v>
      </c>
      <c r="Q130" s="65" t="s">
        <v>32</v>
      </c>
      <c r="R130" s="66" t="s">
        <v>32</v>
      </c>
      <c r="S130" s="65"/>
    </row>
    <row r="131" spans="3:19" ht="17" thickTop="1" x14ac:dyDescent="0.2">
      <c r="C131" s="24" t="s">
        <v>0</v>
      </c>
      <c r="D131" s="52">
        <f>D7*(('[1]12_13 fleet'!$D257+'[1]12_13 fleet'!$D272)/'Original 2012-13 Data'!$C6)/1000000</f>
        <v>4.4043644080415794</v>
      </c>
      <c r="E131" s="53">
        <f>$E$7*(('[2]13_14 fleet'!$D259+'[2]13_14 fleet'!$D274)/'Original 2013-14 Data'!$C$6)/1000000</f>
        <v>4.5083345300155786</v>
      </c>
      <c r="F131" s="53">
        <f>F7*(('[3]14_15 fleet'!$D259+'[3]14_15 fleet'!$D274)/'Original 2014-15 Data'!$C6)/1000000</f>
        <v>4.2156135588657904</v>
      </c>
      <c r="G131" s="53">
        <f>G7*(('[4]15_16 fleet'!$D259+'[4]15_16 fleet'!$D274)/'Original 2015-16 Data'!$C6)/1000000</f>
        <v>4.1778978535648497</v>
      </c>
      <c r="H131" s="53">
        <f>H7*(('[5]16_17 fleet_v2'!$D259+'[5]16_17 fleet_v2'!$D274)/'Original 2016-17 Data'!$C6)/1000000</f>
        <v>4.5016576279815252</v>
      </c>
      <c r="I131" s="53">
        <f>I7*(('[6]17_18 fleet_v3'!$D309+'[6]17_18 fleet_v3'!$D324)/'Original 2017-18 Data'!$C6)/1000000</f>
        <v>5.0634286652398206</v>
      </c>
      <c r="J131" s="53">
        <f>J7*(('[7]18_19 fleet_v3'!$D309+'[7]18_19 fleet_v3'!$D324)/'Original 2018-19 Data'!$C6)/1000000</f>
        <v>5.8800664560434086</v>
      </c>
      <c r="K131" s="53">
        <f>$J131*(Taxi_Household_Share*('Taxi-Vehicle Share Supporting D'!K116/'Taxi-Vehicle Share Supporting D'!$J116)+Taxi_Tourist_Share*('Taxi-Vehicle Share Supporting D'!K137/'Taxi-Vehicle Share Supporting D'!$J137)+Taxi_Commercial_Share*('Taxi-Vehicle Share Supporting D'!K200/'Taxi-Vehicle Share Supporting D'!$J200))+'Taxi-Vehicle Share Supporting D'!K95*($J49/($J49+'Van+Ute'!$J49))+'Taxi-Vehicle Share Supporting D'!K158</f>
        <v>6.7417730230992969</v>
      </c>
      <c r="L131" s="53">
        <f>$J131*(Taxi_Household_Share*('Taxi-Vehicle Share Supporting D'!L116/'Taxi-Vehicle Share Supporting D'!$J116)+Taxi_Tourist_Share*('Taxi-Vehicle Share Supporting D'!L137/'Taxi-Vehicle Share Supporting D'!$J137)+Taxi_Commercial_Share*('Taxi-Vehicle Share Supporting D'!L200/'Taxi-Vehicle Share Supporting D'!$J200))+'Taxi-Vehicle Share Supporting D'!L95*($J49/($J49+'Van+Ute'!$J49))+'Taxi-Vehicle Share Supporting D'!L158</f>
        <v>74.039792090766952</v>
      </c>
      <c r="M131" s="53">
        <f>$J131*(Taxi_Household_Share*('Taxi-Vehicle Share Supporting D'!M116/'Taxi-Vehicle Share Supporting D'!$J116)+Taxi_Tourist_Share*('Taxi-Vehicle Share Supporting D'!M137/'Taxi-Vehicle Share Supporting D'!$J137)+Taxi_Commercial_Share*('Taxi-Vehicle Share Supporting D'!M200/'Taxi-Vehicle Share Supporting D'!$J200))+'Taxi-Vehicle Share Supporting D'!M95*($J49/($J49+'Van+Ute'!$J49))+'Taxi-Vehicle Share Supporting D'!M158</f>
        <v>144.37464910408696</v>
      </c>
      <c r="N131" s="53">
        <f>$J131*(Taxi_Household_Share*('Taxi-Vehicle Share Supporting D'!N116/'Taxi-Vehicle Share Supporting D'!$J116)+Taxi_Tourist_Share*('Taxi-Vehicle Share Supporting D'!N137/'Taxi-Vehicle Share Supporting D'!$J137)+Taxi_Commercial_Share*('Taxi-Vehicle Share Supporting D'!N200/'Taxi-Vehicle Share Supporting D'!$J200))+'Taxi-Vehicle Share Supporting D'!N95*($J49/($J49+'Van+Ute'!$J49))+'Taxi-Vehicle Share Supporting D'!N158</f>
        <v>215.74983520882867</v>
      </c>
      <c r="O131" s="53">
        <f>$J131*(Taxi_Household_Share*('Taxi-Vehicle Share Supporting D'!O116/'Taxi-Vehicle Share Supporting D'!$J116)+Taxi_Tourist_Share*('Taxi-Vehicle Share Supporting D'!O137/'Taxi-Vehicle Share Supporting D'!$J137)+Taxi_Commercial_Share*('Taxi-Vehicle Share Supporting D'!O200/'Taxi-Vehicle Share Supporting D'!$J200))+'Taxi-Vehicle Share Supporting D'!O95*($J49/($J49+'Van+Ute'!$J49))+'Taxi-Vehicle Share Supporting D'!O158</f>
        <v>287.65994971995116</v>
      </c>
      <c r="P131" s="156">
        <f>$J131*(Taxi_Household_Share*('Taxi-Vehicle Share Supporting D'!P116/'Taxi-Vehicle Share Supporting D'!$J116)+Taxi_Tourist_Share*('Taxi-Vehicle Share Supporting D'!P137/'Taxi-Vehicle Share Supporting D'!$J137)+Taxi_Commercial_Share*('Taxi-Vehicle Share Supporting D'!P200/'Taxi-Vehicle Share Supporting D'!$J200))+'Taxi-Vehicle Share Supporting D'!P95*($J49/($J49+'Van+Ute'!$J49))+'Taxi-Vehicle Share Supporting D'!P158</f>
        <v>359.70646881689999</v>
      </c>
      <c r="Q131" s="156">
        <f>$J131*(Taxi_Household_Share*('Taxi-Vehicle Share Supporting D'!Q116/'Taxi-Vehicle Share Supporting D'!$J116)+Taxi_Tourist_Share*('Taxi-Vehicle Share Supporting D'!Q137/'Taxi-Vehicle Share Supporting D'!$J137)+Taxi_Commercial_Share*('Taxi-Vehicle Share Supporting D'!Q200/'Taxi-Vehicle Share Supporting D'!$J200))+'Taxi-Vehicle Share Supporting D'!Q95*($J49/($J49+'Van+Ute'!$J49))+'Taxi-Vehicle Share Supporting D'!Q158</f>
        <v>431.27384829150373</v>
      </c>
      <c r="R131" s="157">
        <f>$J131*(Taxi_Household_Share*('Taxi-Vehicle Share Supporting D'!R116/'Taxi-Vehicle Share Supporting D'!$J116)+Taxi_Tourist_Share*('Taxi-Vehicle Share Supporting D'!R137/'Taxi-Vehicle Share Supporting D'!$J137)+Taxi_Commercial_Share*('Taxi-Vehicle Share Supporting D'!R200/'Taxi-Vehicle Share Supporting D'!$J200))+'Taxi-Vehicle Share Supporting D'!R95*($J49/($J49+'Van+Ute'!$J49))+'Taxi-Vehicle Share Supporting D'!R158</f>
        <v>502.21122967608335</v>
      </c>
      <c r="S131" s="56"/>
    </row>
    <row r="132" spans="3:19" ht="16" x14ac:dyDescent="0.2">
      <c r="C132" s="24" t="s">
        <v>1</v>
      </c>
      <c r="D132" s="55">
        <f>D8*(('[1]12_13 fleet'!$D258+'[1]12_13 fleet'!$D273)/'Original 2012-13 Data'!$C7)/1000000</f>
        <v>125.50004487820677</v>
      </c>
      <c r="E132" s="56">
        <f>E8*(('[2]13_14 fleet'!$D260+'[2]13_14 fleet'!$D275)/'Original 2013-14 Data'!$C7)/1000000</f>
        <v>128.68620800416673</v>
      </c>
      <c r="F132" s="56">
        <f>F8*(('[3]14_15 fleet'!$D260+'[3]14_15 fleet'!$D275)/'Original 2014-15 Data'!$C7)/1000000</f>
        <v>131.88375276671914</v>
      </c>
      <c r="G132" s="56">
        <f>G8*(('[4]15_16 fleet'!$D260+'[4]15_16 fleet'!$D275)/'Original 2015-16 Data'!$C7)/1000000</f>
        <v>146.61613042163253</v>
      </c>
      <c r="H132" s="56">
        <f>H8*(('[5]16_17 fleet_v2'!$D260+'[5]16_17 fleet_v2'!$D275)/'Original 2016-17 Data'!$C7)/1000000</f>
        <v>171.41464682643965</v>
      </c>
      <c r="I132" s="56">
        <f>I8*(('[6]17_18 fleet_v3'!$D310+'[6]17_18 fleet_v3'!$D325)/'Original 2017-18 Data'!$C7)/1000000</f>
        <v>242.87716865223837</v>
      </c>
      <c r="J132" s="56">
        <f>J8*(('[7]18_19 fleet_v3'!$D310+'[7]18_19 fleet_v3'!$D325)/'Original 2018-19 Data'!$C7)/1000000</f>
        <v>286.97806715718872</v>
      </c>
      <c r="K132" s="56">
        <f>$J132*(Taxi_Household_Share*('Taxi-Vehicle Share Supporting D'!K117/'Taxi-Vehicle Share Supporting D'!$J117)+Taxi_Tourist_Share*('Taxi-Vehicle Share Supporting D'!K138/'Taxi-Vehicle Share Supporting D'!$J138)+Taxi_Commercial_Share*('Taxi-Vehicle Share Supporting D'!K201/'Taxi-Vehicle Share Supporting D'!$J201))+'Taxi-Vehicle Share Supporting D'!K96*($J50/($J50+'Van+Ute'!$J50))+'Taxi-Vehicle Share Supporting D'!K159</f>
        <v>341.30316898767921</v>
      </c>
      <c r="L132" s="56">
        <f>$J132*(Taxi_Household_Share*('Taxi-Vehicle Share Supporting D'!L117/'Taxi-Vehicle Share Supporting D'!$J117)+Taxi_Tourist_Share*('Taxi-Vehicle Share Supporting D'!L138/'Taxi-Vehicle Share Supporting D'!$J138)+Taxi_Commercial_Share*('Taxi-Vehicle Share Supporting D'!L201/'Taxi-Vehicle Share Supporting D'!$J201))+'Taxi-Vehicle Share Supporting D'!L96*($J50/($J50+'Van+Ute'!$J50))+'Taxi-Vehicle Share Supporting D'!L159</f>
        <v>889.63041442143231</v>
      </c>
      <c r="M132" s="56">
        <f>$J132*(Taxi_Household_Share*('Taxi-Vehicle Share Supporting D'!M117/'Taxi-Vehicle Share Supporting D'!$J117)+Taxi_Tourist_Share*('Taxi-Vehicle Share Supporting D'!M138/'Taxi-Vehicle Share Supporting D'!$J138)+Taxi_Commercial_Share*('Taxi-Vehicle Share Supporting D'!M201/'Taxi-Vehicle Share Supporting D'!$J201))+'Taxi-Vehicle Share Supporting D'!M96*($J50/($J50+'Van+Ute'!$J50))+'Taxi-Vehicle Share Supporting D'!M159</f>
        <v>1493.3765424823337</v>
      </c>
      <c r="N132" s="56">
        <f>$J132*(Taxi_Household_Share*('Taxi-Vehicle Share Supporting D'!N117/'Taxi-Vehicle Share Supporting D'!$J117)+Taxi_Tourist_Share*('Taxi-Vehicle Share Supporting D'!N138/'Taxi-Vehicle Share Supporting D'!$J138)+Taxi_Commercial_Share*('Taxi-Vehicle Share Supporting D'!N201/'Taxi-Vehicle Share Supporting D'!$J201))+'Taxi-Vehicle Share Supporting D'!N96*($J50/($J50+'Van+Ute'!$J50))+'Taxi-Vehicle Share Supporting D'!N159</f>
        <v>2142.804328098729</v>
      </c>
      <c r="O132" s="56">
        <f>$J132*(Taxi_Household_Share*('Taxi-Vehicle Share Supporting D'!O117/'Taxi-Vehicle Share Supporting D'!$J117)+Taxi_Tourist_Share*('Taxi-Vehicle Share Supporting D'!O138/'Taxi-Vehicle Share Supporting D'!$J138)+Taxi_Commercial_Share*('Taxi-Vehicle Share Supporting D'!O201/'Taxi-Vehicle Share Supporting D'!$J201))+'Taxi-Vehicle Share Supporting D'!O96*($J50/($J50+'Van+Ute'!$J50))+'Taxi-Vehicle Share Supporting D'!O159</f>
        <v>2840.783562276828</v>
      </c>
      <c r="P132" s="159">
        <f>$J132*(Taxi_Household_Share*('Taxi-Vehicle Share Supporting D'!P117/'Taxi-Vehicle Share Supporting D'!$J117)+Taxi_Tourist_Share*('Taxi-Vehicle Share Supporting D'!P138/'Taxi-Vehicle Share Supporting D'!$J138)+Taxi_Commercial_Share*('Taxi-Vehicle Share Supporting D'!P201/'Taxi-Vehicle Share Supporting D'!$J201))+'Taxi-Vehicle Share Supporting D'!P96*($J50/($J50+'Van+Ute'!$J50))+'Taxi-Vehicle Share Supporting D'!P159</f>
        <v>3577.8878060818547</v>
      </c>
      <c r="Q132" s="159">
        <f>$J132*(Taxi_Household_Share*('Taxi-Vehicle Share Supporting D'!Q117/'Taxi-Vehicle Share Supporting D'!$J117)+Taxi_Tourist_Share*('Taxi-Vehicle Share Supporting D'!Q138/'Taxi-Vehicle Share Supporting D'!$J138)+Taxi_Commercial_Share*('Taxi-Vehicle Share Supporting D'!Q201/'Taxi-Vehicle Share Supporting D'!$J201))+'Taxi-Vehicle Share Supporting D'!Q96*($J50/($J50+'Van+Ute'!$J50))+'Taxi-Vehicle Share Supporting D'!Q159</f>
        <v>4359.1251150316666</v>
      </c>
      <c r="R132" s="160">
        <f>$J132*(Taxi_Household_Share*('Taxi-Vehicle Share Supporting D'!R117/'Taxi-Vehicle Share Supporting D'!$J117)+Taxi_Tourist_Share*('Taxi-Vehicle Share Supporting D'!R138/'Taxi-Vehicle Share Supporting D'!$J138)+Taxi_Commercial_Share*('Taxi-Vehicle Share Supporting D'!R201/'Taxi-Vehicle Share Supporting D'!$J201))+'Taxi-Vehicle Share Supporting D'!R96*($J50/($J50+'Van+Ute'!$J50))+'Taxi-Vehicle Share Supporting D'!R159</f>
        <v>5184.2178936880719</v>
      </c>
      <c r="S132" s="56"/>
    </row>
    <row r="133" spans="3:19" ht="16" x14ac:dyDescent="0.2">
      <c r="C133" s="24" t="s">
        <v>2</v>
      </c>
      <c r="D133" s="55">
        <f>D9*(('[1]12_13 fleet'!$D259+'[1]12_13 fleet'!$D274)/'Original 2012-13 Data'!$C8)/1000000</f>
        <v>13.024773190456441</v>
      </c>
      <c r="E133" s="56">
        <f>E9*(('[2]13_14 fleet'!$D261+'[2]13_14 fleet'!$D276)/'Original 2013-14 Data'!$C8)/1000000</f>
        <v>12.093344491396108</v>
      </c>
      <c r="F133" s="56">
        <f>F9*(('[3]14_15 fleet'!$D261+'[3]14_15 fleet'!$D276)/'Original 2014-15 Data'!$C8)/1000000</f>
        <v>11.659786885631881</v>
      </c>
      <c r="G133" s="56">
        <f>G9*(('[4]15_16 fleet'!$D261+'[4]15_16 fleet'!$D276)/'Original 2015-16 Data'!$C8)/1000000</f>
        <v>12.602472926258594</v>
      </c>
      <c r="H133" s="56">
        <f>H9*(('[5]16_17 fleet_v2'!$D261+'[5]16_17 fleet_v2'!$D276)/'Original 2016-17 Data'!$C8)/1000000</f>
        <v>14.392572112659755</v>
      </c>
      <c r="I133" s="56">
        <f>I9*(('[6]17_18 fleet_v3'!$D311+'[6]17_18 fleet_v3'!$D326)/'Original 2017-18 Data'!$C8)/1000000</f>
        <v>19.14536110692789</v>
      </c>
      <c r="J133" s="56">
        <f>J9*(('[7]18_19 fleet_v3'!$D311+'[7]18_19 fleet_v3'!$D326)/'Original 2018-19 Data'!$C8)/1000000</f>
        <v>23.955818078368466</v>
      </c>
      <c r="K133" s="56">
        <f>$J133*(Taxi_Household_Share*('Taxi-Vehicle Share Supporting D'!K118/'Taxi-Vehicle Share Supporting D'!$J118)+Taxi_Tourist_Share*('Taxi-Vehicle Share Supporting D'!K139/'Taxi-Vehicle Share Supporting D'!$J139)+Taxi_Commercial_Share*('Taxi-Vehicle Share Supporting D'!K202/'Taxi-Vehicle Share Supporting D'!$J202))+'Taxi-Vehicle Share Supporting D'!K97*($J51/($J51+'Van+Ute'!$J51))+'Taxi-Vehicle Share Supporting D'!K160</f>
        <v>27.709070698215225</v>
      </c>
      <c r="L133" s="56">
        <f>$J133*(Taxi_Household_Share*('Taxi-Vehicle Share Supporting D'!L118/'Taxi-Vehicle Share Supporting D'!$J118)+Taxi_Tourist_Share*('Taxi-Vehicle Share Supporting D'!L139/'Taxi-Vehicle Share Supporting D'!$J139)+Taxi_Commercial_Share*('Taxi-Vehicle Share Supporting D'!L202/'Taxi-Vehicle Share Supporting D'!$J202))+'Taxi-Vehicle Share Supporting D'!L97*($J51/($J51+'Van+Ute'!$J51))+'Taxi-Vehicle Share Supporting D'!L160</f>
        <v>248.23151859627856</v>
      </c>
      <c r="M133" s="56">
        <f>$J133*(Taxi_Household_Share*('Taxi-Vehicle Share Supporting D'!M118/'Taxi-Vehicle Share Supporting D'!$J118)+Taxi_Tourist_Share*('Taxi-Vehicle Share Supporting D'!M139/'Taxi-Vehicle Share Supporting D'!$J139)+Taxi_Commercial_Share*('Taxi-Vehicle Share Supporting D'!M202/'Taxi-Vehicle Share Supporting D'!$J202))+'Taxi-Vehicle Share Supporting D'!M97*($J51/($J51+'Van+Ute'!$J51))+'Taxi-Vehicle Share Supporting D'!M160</f>
        <v>485.19490801501092</v>
      </c>
      <c r="N133" s="56">
        <f>$J133*(Taxi_Household_Share*('Taxi-Vehicle Share Supporting D'!N118/'Taxi-Vehicle Share Supporting D'!$J118)+Taxi_Tourist_Share*('Taxi-Vehicle Share Supporting D'!N139/'Taxi-Vehicle Share Supporting D'!$J139)+Taxi_Commercial_Share*('Taxi-Vehicle Share Supporting D'!N202/'Taxi-Vehicle Share Supporting D'!$J202))+'Taxi-Vehicle Share Supporting D'!N97*($J51/($J51+'Van+Ute'!$J51))+'Taxi-Vehicle Share Supporting D'!N160</f>
        <v>732.9498162532642</v>
      </c>
      <c r="O133" s="56">
        <f>$J133*(Taxi_Household_Share*('Taxi-Vehicle Share Supporting D'!O118/'Taxi-Vehicle Share Supporting D'!$J118)+Taxi_Tourist_Share*('Taxi-Vehicle Share Supporting D'!O139/'Taxi-Vehicle Share Supporting D'!$J139)+Taxi_Commercial_Share*('Taxi-Vehicle Share Supporting D'!O202/'Taxi-Vehicle Share Supporting D'!$J202))+'Taxi-Vehicle Share Supporting D'!O97*($J51/($J51+'Van+Ute'!$J51))+'Taxi-Vehicle Share Supporting D'!O160</f>
        <v>991.06073072194738</v>
      </c>
      <c r="P133" s="159">
        <f>$J133*(Taxi_Household_Share*('Taxi-Vehicle Share Supporting D'!P118/'Taxi-Vehicle Share Supporting D'!$J118)+Taxi_Tourist_Share*('Taxi-Vehicle Share Supporting D'!P139/'Taxi-Vehicle Share Supporting D'!$J139)+Taxi_Commercial_Share*('Taxi-Vehicle Share Supporting D'!P202/'Taxi-Vehicle Share Supporting D'!$J202))+'Taxi-Vehicle Share Supporting D'!P97*($J51/($J51+'Van+Ute'!$J51))+'Taxi-Vehicle Share Supporting D'!P160</f>
        <v>1257.7510267710195</v>
      </c>
      <c r="Q133" s="159">
        <f>$J133*(Taxi_Household_Share*('Taxi-Vehicle Share Supporting D'!Q118/'Taxi-Vehicle Share Supporting D'!$J118)+Taxi_Tourist_Share*('Taxi-Vehicle Share Supporting D'!Q139/'Taxi-Vehicle Share Supporting D'!$J139)+Taxi_Commercial_Share*('Taxi-Vehicle Share Supporting D'!Q202/'Taxi-Vehicle Share Supporting D'!$J202))+'Taxi-Vehicle Share Supporting D'!Q97*($J51/($J51+'Van+Ute'!$J51))+'Taxi-Vehicle Share Supporting D'!Q160</f>
        <v>1531.2108420408304</v>
      </c>
      <c r="R133" s="160">
        <f>$J133*(Taxi_Household_Share*('Taxi-Vehicle Share Supporting D'!R118/'Taxi-Vehicle Share Supporting D'!$J118)+Taxi_Tourist_Share*('Taxi-Vehicle Share Supporting D'!R139/'Taxi-Vehicle Share Supporting D'!$J139)+Taxi_Commercial_Share*('Taxi-Vehicle Share Supporting D'!R202/'Taxi-Vehicle Share Supporting D'!$J202))+'Taxi-Vehicle Share Supporting D'!R97*($J51/($J51+'Van+Ute'!$J51))+'Taxi-Vehicle Share Supporting D'!R160</f>
        <v>1811.0080113427912</v>
      </c>
      <c r="S133" s="56"/>
    </row>
    <row r="134" spans="3:19" ht="16" x14ac:dyDescent="0.2">
      <c r="C134" s="24" t="s">
        <v>3</v>
      </c>
      <c r="D134" s="55">
        <f>D10*(('[1]12_13 fleet'!$D260+'[1]12_13 fleet'!$D275)/'Original 2012-13 Data'!$C9)/1000000</f>
        <v>7.8534960616182063</v>
      </c>
      <c r="E134" s="56">
        <f>E10*(('[2]13_14 fleet'!$D262+'[2]13_14 fleet'!$D277)/'Original 2013-14 Data'!$C9)/1000000</f>
        <v>7.6193443387215849</v>
      </c>
      <c r="F134" s="56">
        <f>F10*(('[3]14_15 fleet'!$D262+'[3]14_15 fleet'!$D277)/'Original 2014-15 Data'!$C9)/1000000</f>
        <v>7.6111611636259378</v>
      </c>
      <c r="G134" s="56">
        <f>G10*(('[4]15_16 fleet'!$D262+'[4]15_16 fleet'!$D277)/'Original 2015-16 Data'!$C9)/1000000</f>
        <v>7.8517701774184525</v>
      </c>
      <c r="H134" s="56">
        <f>H10*(('[5]16_17 fleet_v2'!$D262+'[5]16_17 fleet_v2'!$D277)/'Original 2016-17 Data'!$C9)/1000000</f>
        <v>9.7032753273639667</v>
      </c>
      <c r="I134" s="56">
        <f>I10*(('[6]17_18 fleet_v3'!$D312+'[6]17_18 fleet_v3'!$D327)/'Original 2017-18 Data'!$C9)/1000000</f>
        <v>11.798919618437491</v>
      </c>
      <c r="J134" s="56">
        <f>J10*(('[7]18_19 fleet_v3'!$D312+'[7]18_19 fleet_v3'!$D327)/'Original 2018-19 Data'!$C9)/1000000</f>
        <v>13.292079662727522</v>
      </c>
      <c r="K134" s="56">
        <f>$J134*(Taxi_Household_Share*('Taxi-Vehicle Share Supporting D'!K119/'Taxi-Vehicle Share Supporting D'!$J119)+Taxi_Tourist_Share*('Taxi-Vehicle Share Supporting D'!K140/'Taxi-Vehicle Share Supporting D'!$J140)+Taxi_Commercial_Share*('Taxi-Vehicle Share Supporting D'!K203/'Taxi-Vehicle Share Supporting D'!$J203))+'Taxi-Vehicle Share Supporting D'!K98*($J52/($J52+'Van+Ute'!$J52))+'Taxi-Vehicle Share Supporting D'!K161</f>
        <v>15.327033963297451</v>
      </c>
      <c r="L134" s="56">
        <f>$J134*(Taxi_Household_Share*('Taxi-Vehicle Share Supporting D'!L119/'Taxi-Vehicle Share Supporting D'!$J119)+Taxi_Tourist_Share*('Taxi-Vehicle Share Supporting D'!L140/'Taxi-Vehicle Share Supporting D'!$J140)+Taxi_Commercial_Share*('Taxi-Vehicle Share Supporting D'!L203/'Taxi-Vehicle Share Supporting D'!$J203))+'Taxi-Vehicle Share Supporting D'!L98*($J52/($J52+'Van+Ute'!$J52))+'Taxi-Vehicle Share Supporting D'!L161</f>
        <v>120.39151311195801</v>
      </c>
      <c r="M134" s="56">
        <f>$J134*(Taxi_Household_Share*('Taxi-Vehicle Share Supporting D'!M119/'Taxi-Vehicle Share Supporting D'!$J119)+Taxi_Tourist_Share*('Taxi-Vehicle Share Supporting D'!M140/'Taxi-Vehicle Share Supporting D'!$J140)+Taxi_Commercial_Share*('Taxi-Vehicle Share Supporting D'!M203/'Taxi-Vehicle Share Supporting D'!$J203))+'Taxi-Vehicle Share Supporting D'!M98*($J52/($J52+'Van+Ute'!$J52))+'Taxi-Vehicle Share Supporting D'!M161</f>
        <v>231.86923574605265</v>
      </c>
      <c r="N134" s="56">
        <f>$J134*(Taxi_Household_Share*('Taxi-Vehicle Share Supporting D'!N119/'Taxi-Vehicle Share Supporting D'!$J119)+Taxi_Tourist_Share*('Taxi-Vehicle Share Supporting D'!N140/'Taxi-Vehicle Share Supporting D'!$J140)+Taxi_Commercial_Share*('Taxi-Vehicle Share Supporting D'!N203/'Taxi-Vehicle Share Supporting D'!$J203))+'Taxi-Vehicle Share Supporting D'!N98*($J52/($J52+'Van+Ute'!$J52))+'Taxi-Vehicle Share Supporting D'!N161</f>
        <v>346.86496629193545</v>
      </c>
      <c r="O134" s="56">
        <f>$J134*(Taxi_Household_Share*('Taxi-Vehicle Share Supporting D'!O119/'Taxi-Vehicle Share Supporting D'!$J119)+Taxi_Tourist_Share*('Taxi-Vehicle Share Supporting D'!O140/'Taxi-Vehicle Share Supporting D'!$J140)+Taxi_Commercial_Share*('Taxi-Vehicle Share Supporting D'!O203/'Taxi-Vehicle Share Supporting D'!$J203))+'Taxi-Vehicle Share Supporting D'!O98*($J52/($J52+'Van+Ute'!$J52))+'Taxi-Vehicle Share Supporting D'!O161</f>
        <v>465.18266547832161</v>
      </c>
      <c r="P134" s="159">
        <f>$J134*(Taxi_Household_Share*('Taxi-Vehicle Share Supporting D'!P119/'Taxi-Vehicle Share Supporting D'!$J119)+Taxi_Tourist_Share*('Taxi-Vehicle Share Supporting D'!P140/'Taxi-Vehicle Share Supporting D'!$J140)+Taxi_Commercial_Share*('Taxi-Vehicle Share Supporting D'!P203/'Taxi-Vehicle Share Supporting D'!$J203))+'Taxi-Vehicle Share Supporting D'!P98*($J52/($J52+'Van+Ute'!$J52))+'Taxi-Vehicle Share Supporting D'!P161</f>
        <v>585.82652222211925</v>
      </c>
      <c r="Q134" s="159">
        <f>$J134*(Taxi_Household_Share*('Taxi-Vehicle Share Supporting D'!Q119/'Taxi-Vehicle Share Supporting D'!$J119)+Taxi_Tourist_Share*('Taxi-Vehicle Share Supporting D'!Q140/'Taxi-Vehicle Share Supporting D'!$J140)+Taxi_Commercial_Share*('Taxi-Vehicle Share Supporting D'!Q203/'Taxi-Vehicle Share Supporting D'!$J203))+'Taxi-Vehicle Share Supporting D'!Q98*($J52/($J52+'Van+Ute'!$J52))+'Taxi-Vehicle Share Supporting D'!Q161</f>
        <v>707.9866297008474</v>
      </c>
      <c r="R134" s="160">
        <f>$J134*(Taxi_Household_Share*('Taxi-Vehicle Share Supporting D'!R119/'Taxi-Vehicle Share Supporting D'!$J119)+Taxi_Tourist_Share*('Taxi-Vehicle Share Supporting D'!R140/'Taxi-Vehicle Share Supporting D'!$J140)+Taxi_Commercial_Share*('Taxi-Vehicle Share Supporting D'!R203/'Taxi-Vehicle Share Supporting D'!$J203))+'Taxi-Vehicle Share Supporting D'!R98*($J52/($J52+'Van+Ute'!$J52))+'Taxi-Vehicle Share Supporting D'!R161</f>
        <v>831.42910872774837</v>
      </c>
      <c r="S134" s="56"/>
    </row>
    <row r="135" spans="3:19" ht="16" x14ac:dyDescent="0.2">
      <c r="C135" s="24" t="s">
        <v>4</v>
      </c>
      <c r="D135" s="55">
        <f>D11*(('[1]12_13 fleet'!$D261+'[1]12_13 fleet'!$D276)/'Original 2012-13 Data'!$C10)/1000000</f>
        <v>1.0386914659164255</v>
      </c>
      <c r="E135" s="56">
        <f>E11*(('[2]13_14 fleet'!$D263+'[2]13_14 fleet'!$D278)/'Original 2013-14 Data'!$C10)/1000000</f>
        <v>1.0940104564315674</v>
      </c>
      <c r="F135" s="56">
        <f>F11*(('[3]14_15 fleet'!$D263+'[3]14_15 fleet'!$D278)/'Original 2014-15 Data'!$C10)/1000000</f>
        <v>1.058447387962798</v>
      </c>
      <c r="G135" s="56">
        <f>G11*(('[4]15_16 fleet'!$D263+'[4]15_16 fleet'!$D278)/'Original 2015-16 Data'!$C10)/1000000</f>
        <v>1.0888881139198701</v>
      </c>
      <c r="H135" s="56">
        <f>H11*(('[5]16_17 fleet_v2'!$D263+'[5]16_17 fleet_v2'!$D278)/'Original 2016-17 Data'!$C10)/1000000</f>
        <v>1.0421925887306627</v>
      </c>
      <c r="I135" s="56">
        <f>I11*(('[6]17_18 fleet_v3'!$D313+'[6]17_18 fleet_v3'!$D328)/'Original 2017-18 Data'!$C10)/1000000</f>
        <v>0.96640419101137454</v>
      </c>
      <c r="J135" s="56">
        <f>J11*(('[7]18_19 fleet_v3'!$D313+'[7]18_19 fleet_v3'!$D328)/'Original 2018-19 Data'!$C10)/1000000</f>
        <v>0.91588607192337279</v>
      </c>
      <c r="K135" s="56">
        <f>$J135*(Taxi_Household_Share*('Taxi-Vehicle Share Supporting D'!K120/'Taxi-Vehicle Share Supporting D'!$J120)+Taxi_Tourist_Share*('Taxi-Vehicle Share Supporting D'!K141/'Taxi-Vehicle Share Supporting D'!$J141)+Taxi_Commercial_Share*('Taxi-Vehicle Share Supporting D'!K204/'Taxi-Vehicle Share Supporting D'!$J204))+'Taxi-Vehicle Share Supporting D'!K99*($J53/($J53+'Van+Ute'!$J53))+'Taxi-Vehicle Share Supporting D'!K162</f>
        <v>1.0353670618076951</v>
      </c>
      <c r="L135" s="56">
        <f>$J135*(Taxi_Household_Share*('Taxi-Vehicle Share Supporting D'!L120/'Taxi-Vehicle Share Supporting D'!$J120)+Taxi_Tourist_Share*('Taxi-Vehicle Share Supporting D'!L141/'Taxi-Vehicle Share Supporting D'!$J141)+Taxi_Commercial_Share*('Taxi-Vehicle Share Supporting D'!L204/'Taxi-Vehicle Share Supporting D'!$J204))+'Taxi-Vehicle Share Supporting D'!L99*($J53/($J53+'Van+Ute'!$J53))+'Taxi-Vehicle Share Supporting D'!L162</f>
        <v>12.70222144572822</v>
      </c>
      <c r="M135" s="56">
        <f>$J135*(Taxi_Household_Share*('Taxi-Vehicle Share Supporting D'!M120/'Taxi-Vehicle Share Supporting D'!$J120)+Taxi_Tourist_Share*('Taxi-Vehicle Share Supporting D'!M141/'Taxi-Vehicle Share Supporting D'!$J141)+Taxi_Commercial_Share*('Taxi-Vehicle Share Supporting D'!M204/'Taxi-Vehicle Share Supporting D'!$J204))+'Taxi-Vehicle Share Supporting D'!M99*($J53/($J53+'Van+Ute'!$J53))+'Taxi-Vehicle Share Supporting D'!M162</f>
        <v>24.559131076392855</v>
      </c>
      <c r="N135" s="56">
        <f>$J135*(Taxi_Household_Share*('Taxi-Vehicle Share Supporting D'!N120/'Taxi-Vehicle Share Supporting D'!$J120)+Taxi_Tourist_Share*('Taxi-Vehicle Share Supporting D'!N141/'Taxi-Vehicle Share Supporting D'!$J141)+Taxi_Commercial_Share*('Taxi-Vehicle Share Supporting D'!N204/'Taxi-Vehicle Share Supporting D'!$J204))+'Taxi-Vehicle Share Supporting D'!N99*($J53/($J53+'Van+Ute'!$J53))+'Taxi-Vehicle Share Supporting D'!N162</f>
        <v>36.218046454747345</v>
      </c>
      <c r="O135" s="56">
        <f>$J135*(Taxi_Household_Share*('Taxi-Vehicle Share Supporting D'!O120/'Taxi-Vehicle Share Supporting D'!$J120)+Taxi_Tourist_Share*('Taxi-Vehicle Share Supporting D'!O141/'Taxi-Vehicle Share Supporting D'!$J141)+Taxi_Commercial_Share*('Taxi-Vehicle Share Supporting D'!O204/'Taxi-Vehicle Share Supporting D'!$J204))+'Taxi-Vehicle Share Supporting D'!O99*($J53/($J53+'Van+Ute'!$J53))+'Taxi-Vehicle Share Supporting D'!O162</f>
        <v>47.663946844216028</v>
      </c>
      <c r="P135" s="159">
        <f>$J135*(Taxi_Household_Share*('Taxi-Vehicle Share Supporting D'!P120/'Taxi-Vehicle Share Supporting D'!$J120)+Taxi_Tourist_Share*('Taxi-Vehicle Share Supporting D'!P141/'Taxi-Vehicle Share Supporting D'!$J141)+Taxi_Commercial_Share*('Taxi-Vehicle Share Supporting D'!P204/'Taxi-Vehicle Share Supporting D'!$J204))+'Taxi-Vehicle Share Supporting D'!P99*($J53/($J53+'Van+Ute'!$J53))+'Taxi-Vehicle Share Supporting D'!P162</f>
        <v>58.809159244210186</v>
      </c>
      <c r="Q135" s="159">
        <f>$J135*(Taxi_Household_Share*('Taxi-Vehicle Share Supporting D'!Q120/'Taxi-Vehicle Share Supporting D'!$J120)+Taxi_Tourist_Share*('Taxi-Vehicle Share Supporting D'!Q141/'Taxi-Vehicle Share Supporting D'!$J141)+Taxi_Commercial_Share*('Taxi-Vehicle Share Supporting D'!Q204/'Taxi-Vehicle Share Supporting D'!$J204))+'Taxi-Vehicle Share Supporting D'!Q99*($J53/($J53+'Van+Ute'!$J53))+'Taxi-Vehicle Share Supporting D'!Q162</f>
        <v>69.556950194106093</v>
      </c>
      <c r="R135" s="160">
        <f>$J135*(Taxi_Household_Share*('Taxi-Vehicle Share Supporting D'!R120/'Taxi-Vehicle Share Supporting D'!$J120)+Taxi_Tourist_Share*('Taxi-Vehicle Share Supporting D'!R141/'Taxi-Vehicle Share Supporting D'!$J141)+Taxi_Commercial_Share*('Taxi-Vehicle Share Supporting D'!R204/'Taxi-Vehicle Share Supporting D'!$J204))+'Taxi-Vehicle Share Supporting D'!R99*($J53/($J53+'Van+Ute'!$J53))+'Taxi-Vehicle Share Supporting D'!R162</f>
        <v>79.894028337230893</v>
      </c>
      <c r="S135" s="56"/>
    </row>
    <row r="136" spans="3:19" ht="16" x14ac:dyDescent="0.2">
      <c r="C136" s="24" t="s">
        <v>5</v>
      </c>
      <c r="D136" s="55">
        <f>D12*(('[1]12_13 fleet'!$D262+'[1]12_13 fleet'!$D277)/'Original 2012-13 Data'!$C11)/1000000</f>
        <v>4.9682297678799188</v>
      </c>
      <c r="E136" s="56">
        <f>E12*(('[2]13_14 fleet'!$D264+'[2]13_14 fleet'!$D279)/'Original 2013-14 Data'!$C11)/1000000</f>
        <v>4.8118020460864983</v>
      </c>
      <c r="F136" s="56">
        <f>F12*(('[3]14_15 fleet'!$D264+'[3]14_15 fleet'!$D279)/'Original 2014-15 Data'!$C11)/1000000</f>
        <v>5.1180066908698345</v>
      </c>
      <c r="G136" s="56">
        <f>G12*(('[4]15_16 fleet'!$D264+'[4]15_16 fleet'!$D279)/'Original 2015-16 Data'!$C11)/1000000</f>
        <v>5.5925669427783271</v>
      </c>
      <c r="H136" s="56">
        <f>H12*(('[5]16_17 fleet_v2'!$D264+'[5]16_17 fleet_v2'!$D279)/'Original 2016-17 Data'!$C11)/1000000</f>
        <v>6.600006505389028</v>
      </c>
      <c r="I136" s="56">
        <f>I12*(('[6]17_18 fleet_v3'!$D314+'[6]17_18 fleet_v3'!$D329)/'Original 2017-18 Data'!$C11)/1000000</f>
        <v>6.9647220185582528</v>
      </c>
      <c r="J136" s="56">
        <f>J12*(('[7]18_19 fleet_v3'!$D314+'[7]18_19 fleet_v3'!$D329)/'Original 2018-19 Data'!$C11)/1000000</f>
        <v>7.5703703259138599</v>
      </c>
      <c r="K136" s="56">
        <f>$J136*(Taxi_Household_Share*('Taxi-Vehicle Share Supporting D'!K121/'Taxi-Vehicle Share Supporting D'!$J121)+Taxi_Tourist_Share*('Taxi-Vehicle Share Supporting D'!K142/'Taxi-Vehicle Share Supporting D'!$J142)+Taxi_Commercial_Share*('Taxi-Vehicle Share Supporting D'!K205/'Taxi-Vehicle Share Supporting D'!$J205))+'Taxi-Vehicle Share Supporting D'!K100*($J54/($J54+'Van+Ute'!$J54))+'Taxi-Vehicle Share Supporting D'!K163</f>
        <v>8.5583709548216635</v>
      </c>
      <c r="L136" s="56">
        <f>$J136*(Taxi_Household_Share*('Taxi-Vehicle Share Supporting D'!L121/'Taxi-Vehicle Share Supporting D'!$J121)+Taxi_Tourist_Share*('Taxi-Vehicle Share Supporting D'!L142/'Taxi-Vehicle Share Supporting D'!$J142)+Taxi_Commercial_Share*('Taxi-Vehicle Share Supporting D'!L205/'Taxi-Vehicle Share Supporting D'!$J205))+'Taxi-Vehicle Share Supporting D'!L100*($J54/($J54+'Van+Ute'!$J54))+'Taxi-Vehicle Share Supporting D'!L163</f>
        <v>61.551601072114238</v>
      </c>
      <c r="M136" s="56">
        <f>$J136*(Taxi_Household_Share*('Taxi-Vehicle Share Supporting D'!M121/'Taxi-Vehicle Share Supporting D'!$J121)+Taxi_Tourist_Share*('Taxi-Vehicle Share Supporting D'!M142/'Taxi-Vehicle Share Supporting D'!$J142)+Taxi_Commercial_Share*('Taxi-Vehicle Share Supporting D'!M205/'Taxi-Vehicle Share Supporting D'!$J205))+'Taxi-Vehicle Share Supporting D'!M100*($J54/($J54+'Van+Ute'!$J54))+'Taxi-Vehicle Share Supporting D'!M163</f>
        <v>115.51109555083542</v>
      </c>
      <c r="N136" s="56">
        <f>$J136*(Taxi_Household_Share*('Taxi-Vehicle Share Supporting D'!N121/'Taxi-Vehicle Share Supporting D'!$J121)+Taxi_Tourist_Share*('Taxi-Vehicle Share Supporting D'!N142/'Taxi-Vehicle Share Supporting D'!$J142)+Taxi_Commercial_Share*('Taxi-Vehicle Share Supporting D'!N205/'Taxi-Vehicle Share Supporting D'!$J205))+'Taxi-Vehicle Share Supporting D'!N100*($J54/($J54+'Van+Ute'!$J54))+'Taxi-Vehicle Share Supporting D'!N163</f>
        <v>168.99039485010937</v>
      </c>
      <c r="O136" s="56">
        <f>$J136*(Taxi_Household_Share*('Taxi-Vehicle Share Supporting D'!O121/'Taxi-Vehicle Share Supporting D'!$J121)+Taxi_Tourist_Share*('Taxi-Vehicle Share Supporting D'!O142/'Taxi-Vehicle Share Supporting D'!$J142)+Taxi_Commercial_Share*('Taxi-Vehicle Share Supporting D'!O205/'Taxi-Vehicle Share Supporting D'!$J205))+'Taxi-Vehicle Share Supporting D'!O100*($J54/($J54+'Van+Ute'!$J54))+'Taxi-Vehicle Share Supporting D'!O163</f>
        <v>221.73562154347121</v>
      </c>
      <c r="P136" s="159">
        <f>$J136*(Taxi_Household_Share*('Taxi-Vehicle Share Supporting D'!P121/'Taxi-Vehicle Share Supporting D'!$J121)+Taxi_Tourist_Share*('Taxi-Vehicle Share Supporting D'!P142/'Taxi-Vehicle Share Supporting D'!$J142)+Taxi_Commercial_Share*('Taxi-Vehicle Share Supporting D'!P205/'Taxi-Vehicle Share Supporting D'!$J205))+'Taxi-Vehicle Share Supporting D'!P100*($J54/($J54+'Van+Ute'!$J54))+'Taxi-Vehicle Share Supporting D'!P163</f>
        <v>273.31056255811899</v>
      </c>
      <c r="Q136" s="159">
        <f>$J136*(Taxi_Household_Share*('Taxi-Vehicle Share Supporting D'!Q121/'Taxi-Vehicle Share Supporting D'!$J121)+Taxi_Tourist_Share*('Taxi-Vehicle Share Supporting D'!Q142/'Taxi-Vehicle Share Supporting D'!$J142)+Taxi_Commercial_Share*('Taxi-Vehicle Share Supporting D'!Q205/'Taxi-Vehicle Share Supporting D'!$J205))+'Taxi-Vehicle Share Supporting D'!Q100*($J54/($J54+'Van+Ute'!$J54))+'Taxi-Vehicle Share Supporting D'!Q163</f>
        <v>323.3734753288183</v>
      </c>
      <c r="R136" s="160">
        <f>$J136*(Taxi_Household_Share*('Taxi-Vehicle Share Supporting D'!R121/'Taxi-Vehicle Share Supporting D'!$J121)+Taxi_Tourist_Share*('Taxi-Vehicle Share Supporting D'!R142/'Taxi-Vehicle Share Supporting D'!$J142)+Taxi_Commercial_Share*('Taxi-Vehicle Share Supporting D'!R205/'Taxi-Vehicle Share Supporting D'!$J205))+'Taxi-Vehicle Share Supporting D'!R100*($J54/($J54+'Van+Ute'!$J54))+'Taxi-Vehicle Share Supporting D'!R163</f>
        <v>371.85944146904251</v>
      </c>
      <c r="S136" s="56"/>
    </row>
    <row r="137" spans="3:19" ht="16" x14ac:dyDescent="0.2">
      <c r="C137" s="24" t="s">
        <v>6</v>
      </c>
      <c r="D137" s="55">
        <f>D13*(('[1]12_13 fleet'!$D263+'[1]12_13 fleet'!$D278)/'Original 2012-13 Data'!$C12)/1000000</f>
        <v>2.9741262112277385</v>
      </c>
      <c r="E137" s="56">
        <f>E13*(('[2]13_14 fleet'!$D265+'[2]13_14 fleet'!$D280)/'Original 2013-14 Data'!$C12)/1000000</f>
        <v>3.21142605893656</v>
      </c>
      <c r="F137" s="56">
        <f>F13*(('[3]14_15 fleet'!$D265+'[3]14_15 fleet'!$D280)/'Original 2014-15 Data'!$C12)/1000000</f>
        <v>3.0398365671850045</v>
      </c>
      <c r="G137" s="56">
        <f>G13*(('[4]15_16 fleet'!$D265+'[4]15_16 fleet'!$D280)/'Original 2015-16 Data'!$C12)/1000000</f>
        <v>3.1589092859591887</v>
      </c>
      <c r="H137" s="56">
        <f>H13*(('[5]16_17 fleet_v2'!$D265+'[5]16_17 fleet_v2'!$D280)/'Original 2016-17 Data'!$C12)/1000000</f>
        <v>3.5220969826324331</v>
      </c>
      <c r="I137" s="56">
        <f>I13*(('[6]17_18 fleet_v3'!$D315+'[6]17_18 fleet_v3'!$D330)/'Original 2017-18 Data'!$C12)/1000000</f>
        <v>3.5552669180090497</v>
      </c>
      <c r="J137" s="56">
        <f>J13*(('[7]18_19 fleet_v3'!$D315+'[7]18_19 fleet_v3'!$D330)/'Original 2018-19 Data'!$C12)/1000000</f>
        <v>3.6268625186312407</v>
      </c>
      <c r="K137" s="56">
        <f>$J137*(Taxi_Household_Share*('Taxi-Vehicle Share Supporting D'!K122/'Taxi-Vehicle Share Supporting D'!$J122)+Taxi_Tourist_Share*('Taxi-Vehicle Share Supporting D'!K143/'Taxi-Vehicle Share Supporting D'!$J143)+Taxi_Commercial_Share*('Taxi-Vehicle Share Supporting D'!K206/'Taxi-Vehicle Share Supporting D'!$J206))+'Taxi-Vehicle Share Supporting D'!K101*($J55/($J55+'Van+Ute'!$J55))+'Taxi-Vehicle Share Supporting D'!K164</f>
        <v>4.126422387118442</v>
      </c>
      <c r="L137" s="56">
        <f>$J137*(Taxi_Household_Share*('Taxi-Vehicle Share Supporting D'!L122/'Taxi-Vehicle Share Supporting D'!$J122)+Taxi_Tourist_Share*('Taxi-Vehicle Share Supporting D'!L143/'Taxi-Vehicle Share Supporting D'!$J143)+Taxi_Commercial_Share*('Taxi-Vehicle Share Supporting D'!L206/'Taxi-Vehicle Share Supporting D'!$J206))+'Taxi-Vehicle Share Supporting D'!L101*($J55/($J55+'Van+Ute'!$J55))+'Taxi-Vehicle Share Supporting D'!L164</f>
        <v>43.798303709461422</v>
      </c>
      <c r="M137" s="56">
        <f>$J137*(Taxi_Household_Share*('Taxi-Vehicle Share Supporting D'!M122/'Taxi-Vehicle Share Supporting D'!$J122)+Taxi_Tourist_Share*('Taxi-Vehicle Share Supporting D'!M143/'Taxi-Vehicle Share Supporting D'!$J143)+Taxi_Commercial_Share*('Taxi-Vehicle Share Supporting D'!M206/'Taxi-Vehicle Share Supporting D'!$J206))+'Taxi-Vehicle Share Supporting D'!M101*($J55/($J55+'Van+Ute'!$J55))+'Taxi-Vehicle Share Supporting D'!M164</f>
        <v>85.078353421864819</v>
      </c>
      <c r="N137" s="56">
        <f>$J137*(Taxi_Household_Share*('Taxi-Vehicle Share Supporting D'!N122/'Taxi-Vehicle Share Supporting D'!$J122)+Taxi_Tourist_Share*('Taxi-Vehicle Share Supporting D'!N143/'Taxi-Vehicle Share Supporting D'!$J143)+Taxi_Commercial_Share*('Taxi-Vehicle Share Supporting D'!N206/'Taxi-Vehicle Share Supporting D'!$J206))+'Taxi-Vehicle Share Supporting D'!N101*($J55/($J55+'Van+Ute'!$J55))+'Taxi-Vehicle Share Supporting D'!N164</f>
        <v>127.0425574958677</v>
      </c>
      <c r="O137" s="56">
        <f>$J137*(Taxi_Household_Share*('Taxi-Vehicle Share Supporting D'!O122/'Taxi-Vehicle Share Supporting D'!$J122)+Taxi_Tourist_Share*('Taxi-Vehicle Share Supporting D'!O143/'Taxi-Vehicle Share Supporting D'!$J143)+Taxi_Commercial_Share*('Taxi-Vehicle Share Supporting D'!O206/'Taxi-Vehicle Share Supporting D'!$J206))+'Taxi-Vehicle Share Supporting D'!O101*($J55/($J55+'Van+Ute'!$J55))+'Taxi-Vehicle Share Supporting D'!O164</f>
        <v>169.64467897411686</v>
      </c>
      <c r="P137" s="159">
        <f>$J137*(Taxi_Household_Share*('Taxi-Vehicle Share Supporting D'!P122/'Taxi-Vehicle Share Supporting D'!$J122)+Taxi_Tourist_Share*('Taxi-Vehicle Share Supporting D'!P143/'Taxi-Vehicle Share Supporting D'!$J143)+Taxi_Commercial_Share*('Taxi-Vehicle Share Supporting D'!P206/'Taxi-Vehicle Share Supporting D'!$J206))+'Taxi-Vehicle Share Supporting D'!P101*($J55/($J55+'Van+Ute'!$J55))+'Taxi-Vehicle Share Supporting D'!P164</f>
        <v>212.47814134513413</v>
      </c>
      <c r="Q137" s="159">
        <f>$J137*(Taxi_Household_Share*('Taxi-Vehicle Share Supporting D'!Q122/'Taxi-Vehicle Share Supporting D'!$J122)+Taxi_Tourist_Share*('Taxi-Vehicle Share Supporting D'!Q143/'Taxi-Vehicle Share Supporting D'!$J143)+Taxi_Commercial_Share*('Taxi-Vehicle Share Supporting D'!Q206/'Taxi-Vehicle Share Supporting D'!$J206))+'Taxi-Vehicle Share Supporting D'!Q101*($J55/($J55+'Van+Ute'!$J55))+'Taxi-Vehicle Share Supporting D'!Q164</f>
        <v>255.18482867002177</v>
      </c>
      <c r="R137" s="160">
        <f>$J137*(Taxi_Household_Share*('Taxi-Vehicle Share Supporting D'!R122/'Taxi-Vehicle Share Supporting D'!$J122)+Taxi_Tourist_Share*('Taxi-Vehicle Share Supporting D'!R143/'Taxi-Vehicle Share Supporting D'!$J143)+Taxi_Commercial_Share*('Taxi-Vehicle Share Supporting D'!R206/'Taxi-Vehicle Share Supporting D'!$J206))+'Taxi-Vehicle Share Supporting D'!R101*($J55/($J55+'Van+Ute'!$J55))+'Taxi-Vehicle Share Supporting D'!R164</f>
        <v>297.6743208073824</v>
      </c>
      <c r="S137" s="56"/>
    </row>
    <row r="138" spans="3:19" ht="16" x14ac:dyDescent="0.2">
      <c r="C138" s="24" t="s">
        <v>7</v>
      </c>
      <c r="D138" s="55">
        <f>D14*(('[1]12_13 fleet'!$D264+'[1]12_13 fleet'!$D279)/'Original 2012-13 Data'!$C13)/1000000</f>
        <v>5.7204030860473782</v>
      </c>
      <c r="E138" s="56">
        <f>E14*(('[2]13_14 fleet'!$D266+'[2]13_14 fleet'!$D281)/'Original 2013-14 Data'!$C13)/1000000</f>
        <v>5.3954913312601098</v>
      </c>
      <c r="F138" s="56">
        <f>F14*(('[3]14_15 fleet'!$D266+'[3]14_15 fleet'!$D281)/'Original 2014-15 Data'!$C13)/1000000</f>
        <v>5.1963250401497838</v>
      </c>
      <c r="G138" s="56">
        <f>G14*(('[4]15_16 fleet'!$D266+'[4]15_16 fleet'!$D281)/'Original 2015-16 Data'!$C13)/1000000</f>
        <v>5.4761196976938251</v>
      </c>
      <c r="H138" s="56">
        <f>H14*(('[5]16_17 fleet_v2'!$D266+'[5]16_17 fleet_v2'!$D281)/'Original 2016-17 Data'!$C13)/1000000</f>
        <v>6.3621550769599597</v>
      </c>
      <c r="I138" s="56">
        <f>I14*(('[6]17_18 fleet_v3'!$D316+'[6]17_18 fleet_v3'!$D331)/'Original 2017-18 Data'!$C13)/1000000</f>
        <v>6.9408726773440916</v>
      </c>
      <c r="J138" s="56">
        <f>J14*(('[7]18_19 fleet_v3'!$D316+'[7]18_19 fleet_v3'!$D331)/'Original 2018-19 Data'!$C13)/1000000</f>
        <v>7.2003101612196785</v>
      </c>
      <c r="K138" s="56">
        <f>$J138*(Taxi_Household_Share*('Taxi-Vehicle Share Supporting D'!K123/'Taxi-Vehicle Share Supporting D'!$J123)+Taxi_Tourist_Share*('Taxi-Vehicle Share Supporting D'!K144/'Taxi-Vehicle Share Supporting D'!$J144)+Taxi_Commercial_Share*('Taxi-Vehicle Share Supporting D'!K207/'Taxi-Vehicle Share Supporting D'!$J207))+'Taxi-Vehicle Share Supporting D'!K102*($J56/($J56+'Van+Ute'!$J56))+'Taxi-Vehicle Share Supporting D'!K165</f>
        <v>8.1149997346207794</v>
      </c>
      <c r="L138" s="56">
        <f>$J138*(Taxi_Household_Share*('Taxi-Vehicle Share Supporting D'!L123/'Taxi-Vehicle Share Supporting D'!$J123)+Taxi_Tourist_Share*('Taxi-Vehicle Share Supporting D'!L144/'Taxi-Vehicle Share Supporting D'!$J144)+Taxi_Commercial_Share*('Taxi-Vehicle Share Supporting D'!L207/'Taxi-Vehicle Share Supporting D'!$J207))+'Taxi-Vehicle Share Supporting D'!L102*($J56/($J56+'Van+Ute'!$J56))+'Taxi-Vehicle Share Supporting D'!L165</f>
        <v>90.89143760819951</v>
      </c>
      <c r="M138" s="56">
        <f>$J138*(Taxi_Household_Share*('Taxi-Vehicle Share Supporting D'!M123/'Taxi-Vehicle Share Supporting D'!$J123)+Taxi_Tourist_Share*('Taxi-Vehicle Share Supporting D'!M144/'Taxi-Vehicle Share Supporting D'!$J144)+Taxi_Commercial_Share*('Taxi-Vehicle Share Supporting D'!M207/'Taxi-Vehicle Share Supporting D'!$J207))+'Taxi-Vehicle Share Supporting D'!M102*($J56/($J56+'Van+Ute'!$J56))+'Taxi-Vehicle Share Supporting D'!M165</f>
        <v>174.94368761876603</v>
      </c>
      <c r="N138" s="56">
        <f>$J138*(Taxi_Household_Share*('Taxi-Vehicle Share Supporting D'!N123/'Taxi-Vehicle Share Supporting D'!$J123)+Taxi_Tourist_Share*('Taxi-Vehicle Share Supporting D'!N144/'Taxi-Vehicle Share Supporting D'!$J144)+Taxi_Commercial_Share*('Taxi-Vehicle Share Supporting D'!N207/'Taxi-Vehicle Share Supporting D'!$J207))+'Taxi-Vehicle Share Supporting D'!N102*($J56/($J56+'Van+Ute'!$J56))+'Taxi-Vehicle Share Supporting D'!N165</f>
        <v>258.02554315573616</v>
      </c>
      <c r="O138" s="56">
        <f>$J138*(Taxi_Household_Share*('Taxi-Vehicle Share Supporting D'!O123/'Taxi-Vehicle Share Supporting D'!$J123)+Taxi_Tourist_Share*('Taxi-Vehicle Share Supporting D'!O144/'Taxi-Vehicle Share Supporting D'!$J144)+Taxi_Commercial_Share*('Taxi-Vehicle Share Supporting D'!O207/'Taxi-Vehicle Share Supporting D'!$J207))+'Taxi-Vehicle Share Supporting D'!O102*($J56/($J56+'Van+Ute'!$J56))+'Taxi-Vehicle Share Supporting D'!O165</f>
        <v>339.71741554798524</v>
      </c>
      <c r="P138" s="159">
        <f>$J138*(Taxi_Household_Share*('Taxi-Vehicle Share Supporting D'!P123/'Taxi-Vehicle Share Supporting D'!$J123)+Taxi_Tourist_Share*('Taxi-Vehicle Share Supporting D'!P144/'Taxi-Vehicle Share Supporting D'!$J144)+Taxi_Commercial_Share*('Taxi-Vehicle Share Supporting D'!P207/'Taxi-Vehicle Share Supporting D'!$J207))+'Taxi-Vehicle Share Supporting D'!P102*($J56/($J56+'Van+Ute'!$J56))+'Taxi-Vehicle Share Supporting D'!P165</f>
        <v>419.45782257570352</v>
      </c>
      <c r="Q138" s="159">
        <f>$J138*(Taxi_Household_Share*('Taxi-Vehicle Share Supporting D'!Q123/'Taxi-Vehicle Share Supporting D'!$J123)+Taxi_Tourist_Share*('Taxi-Vehicle Share Supporting D'!Q144/'Taxi-Vehicle Share Supporting D'!$J144)+Taxi_Commercial_Share*('Taxi-Vehicle Share Supporting D'!Q207/'Taxi-Vehicle Share Supporting D'!$J207))+'Taxi-Vehicle Share Supporting D'!Q102*($J56/($J56+'Van+Ute'!$J56))+'Taxi-Vehicle Share Supporting D'!Q165</f>
        <v>496.55968107289982</v>
      </c>
      <c r="R138" s="160">
        <f>$J138*(Taxi_Household_Share*('Taxi-Vehicle Share Supporting D'!R123/'Taxi-Vehicle Share Supporting D'!$J123)+Taxi_Tourist_Share*('Taxi-Vehicle Share Supporting D'!R144/'Taxi-Vehicle Share Supporting D'!$J144)+Taxi_Commercial_Share*('Taxi-Vehicle Share Supporting D'!R207/'Taxi-Vehicle Share Supporting D'!$J207))+'Taxi-Vehicle Share Supporting D'!R102*($J56/($J56+'Van+Ute'!$J56))+'Taxi-Vehicle Share Supporting D'!R165</f>
        <v>570.91998789805268</v>
      </c>
      <c r="S138" s="56"/>
    </row>
    <row r="139" spans="3:19" ht="16" x14ac:dyDescent="0.2">
      <c r="C139" s="24" t="s">
        <v>8</v>
      </c>
      <c r="D139" s="55">
        <f>D15*(('[1]12_13 fleet'!$D265+'[1]12_13 fleet'!$D280)/'Original 2012-13 Data'!$C14)/1000000</f>
        <v>46.73105519553264</v>
      </c>
      <c r="E139" s="56">
        <f>E15*(('[2]13_14 fleet'!$D267+'[2]13_14 fleet'!$D282)/'Original 2013-14 Data'!$C14)/1000000</f>
        <v>47.695912235624945</v>
      </c>
      <c r="F139" s="56">
        <f>F15*(('[3]14_15 fleet'!$D267+'[3]14_15 fleet'!$D282)/'Original 2014-15 Data'!$C14)/1000000</f>
        <v>50.031835643936702</v>
      </c>
      <c r="G139" s="56">
        <f>G15*(('[4]15_16 fleet'!$D267+'[4]15_16 fleet'!$D282)/'Original 2015-16 Data'!$C14)/1000000</f>
        <v>50.754784031948986</v>
      </c>
      <c r="H139" s="56">
        <f>H15*(('[5]16_17 fleet_v2'!$D267+'[5]16_17 fleet_v2'!$D282)/'Original 2016-17 Data'!$C14)/1000000</f>
        <v>51.424565979716277</v>
      </c>
      <c r="I139" s="56">
        <f>I15*(('[6]17_18 fleet_v3'!$D317+'[6]17_18 fleet_v3'!$D332)/'Original 2017-18 Data'!$C14)/1000000</f>
        <v>73.892471139707851</v>
      </c>
      <c r="J139" s="56">
        <f>J15*(('[7]18_19 fleet_v3'!$D317+'[7]18_19 fleet_v3'!$D332)/'Original 2018-19 Data'!$C14)/1000000</f>
        <v>83.66681070203559</v>
      </c>
      <c r="K139" s="56">
        <f>$J139*(Taxi_Household_Share*('Taxi-Vehicle Share Supporting D'!K124/'Taxi-Vehicle Share Supporting D'!$J124)+Taxi_Tourist_Share*('Taxi-Vehicle Share Supporting D'!K145/'Taxi-Vehicle Share Supporting D'!$J145)+Taxi_Commercial_Share*('Taxi-Vehicle Share Supporting D'!K208/'Taxi-Vehicle Share Supporting D'!$J208))+'Taxi-Vehicle Share Supporting D'!K103*($J57/($J57+'Van+Ute'!$J57))+'Taxi-Vehicle Share Supporting D'!K166</f>
        <v>95.493206822429201</v>
      </c>
      <c r="L139" s="56">
        <f>$J139*(Taxi_Household_Share*('Taxi-Vehicle Share Supporting D'!L124/'Taxi-Vehicle Share Supporting D'!$J124)+Taxi_Tourist_Share*('Taxi-Vehicle Share Supporting D'!L145/'Taxi-Vehicle Share Supporting D'!$J145)+Taxi_Commercial_Share*('Taxi-Vehicle Share Supporting D'!L208/'Taxi-Vehicle Share Supporting D'!$J208))+'Taxi-Vehicle Share Supporting D'!L103*($J57/($J57+'Van+Ute'!$J57))+'Taxi-Vehicle Share Supporting D'!L166</f>
        <v>243.72955182273091</v>
      </c>
      <c r="M139" s="56">
        <f>$J139*(Taxi_Household_Share*('Taxi-Vehicle Share Supporting D'!M124/'Taxi-Vehicle Share Supporting D'!$J124)+Taxi_Tourist_Share*('Taxi-Vehicle Share Supporting D'!M145/'Taxi-Vehicle Share Supporting D'!$J145)+Taxi_Commercial_Share*('Taxi-Vehicle Share Supporting D'!M208/'Taxi-Vehicle Share Supporting D'!$J208))+'Taxi-Vehicle Share Supporting D'!M103*($J57/($J57+'Van+Ute'!$J57))+'Taxi-Vehicle Share Supporting D'!M166</f>
        <v>396.73202800711829</v>
      </c>
      <c r="N139" s="56">
        <f>$J139*(Taxi_Household_Share*('Taxi-Vehicle Share Supporting D'!N124/'Taxi-Vehicle Share Supporting D'!$J124)+Taxi_Tourist_Share*('Taxi-Vehicle Share Supporting D'!N145/'Taxi-Vehicle Share Supporting D'!$J145)+Taxi_Commercial_Share*('Taxi-Vehicle Share Supporting D'!N208/'Taxi-Vehicle Share Supporting D'!$J208))+'Taxi-Vehicle Share Supporting D'!N103*($J57/($J57+'Van+Ute'!$J57))+'Taxi-Vehicle Share Supporting D'!N166</f>
        <v>551.95747914319099</v>
      </c>
      <c r="O139" s="56">
        <f>$J139*(Taxi_Household_Share*('Taxi-Vehicle Share Supporting D'!O124/'Taxi-Vehicle Share Supporting D'!$J124)+Taxi_Tourist_Share*('Taxi-Vehicle Share Supporting D'!O145/'Taxi-Vehicle Share Supporting D'!$J145)+Taxi_Commercial_Share*('Taxi-Vehicle Share Supporting D'!O208/'Taxi-Vehicle Share Supporting D'!$J208))+'Taxi-Vehicle Share Supporting D'!O103*($J57/($J57+'Van+Ute'!$J57))+'Taxi-Vehicle Share Supporting D'!O166</f>
        <v>709.47399081246124</v>
      </c>
      <c r="P139" s="159">
        <f>$J139*(Taxi_Household_Share*('Taxi-Vehicle Share Supporting D'!P124/'Taxi-Vehicle Share Supporting D'!$J124)+Taxi_Tourist_Share*('Taxi-Vehicle Share Supporting D'!P145/'Taxi-Vehicle Share Supporting D'!$J145)+Taxi_Commercial_Share*('Taxi-Vehicle Share Supporting D'!P208/'Taxi-Vehicle Share Supporting D'!$J208))+'Taxi-Vehicle Share Supporting D'!P103*($J57/($J57+'Van+Ute'!$J57))+'Taxi-Vehicle Share Supporting D'!P166</f>
        <v>865.88791666631346</v>
      </c>
      <c r="Q139" s="159">
        <f>$J139*(Taxi_Household_Share*('Taxi-Vehicle Share Supporting D'!Q124/'Taxi-Vehicle Share Supporting D'!$J124)+Taxi_Tourist_Share*('Taxi-Vehicle Share Supporting D'!Q145/'Taxi-Vehicle Share Supporting D'!$J145)+Taxi_Commercial_Share*('Taxi-Vehicle Share Supporting D'!Q208/'Taxi-Vehicle Share Supporting D'!$J208))+'Taxi-Vehicle Share Supporting D'!Q103*($J57/($J57+'Van+Ute'!$J57))+'Taxi-Vehicle Share Supporting D'!Q166</f>
        <v>1022.1777464794681</v>
      </c>
      <c r="R139" s="160">
        <f>$J139*(Taxi_Household_Share*('Taxi-Vehicle Share Supporting D'!R124/'Taxi-Vehicle Share Supporting D'!$J124)+Taxi_Tourist_Share*('Taxi-Vehicle Share Supporting D'!R145/'Taxi-Vehicle Share Supporting D'!$J145)+Taxi_Commercial_Share*('Taxi-Vehicle Share Supporting D'!R208/'Taxi-Vehicle Share Supporting D'!$J208))+'Taxi-Vehicle Share Supporting D'!R103*($J57/($J57+'Van+Ute'!$J57))+'Taxi-Vehicle Share Supporting D'!R166</f>
        <v>1178.1373249915205</v>
      </c>
      <c r="S139" s="56"/>
    </row>
    <row r="140" spans="3:19" ht="16" x14ac:dyDescent="0.2">
      <c r="C140" s="24" t="s">
        <v>9</v>
      </c>
      <c r="D140" s="55">
        <f>D16*(('[1]12_13 fleet'!$D266+'[1]12_13 fleet'!$D281)/'Original 2012-13 Data'!$C15)/1000000</f>
        <v>4.2639144470841748</v>
      </c>
      <c r="E140" s="56">
        <f>E16*(('[2]13_14 fleet'!$D268+'[2]13_14 fleet'!$D283)/'Original 2013-14 Data'!$C15)/1000000</f>
        <v>3.7661043874597167</v>
      </c>
      <c r="F140" s="56">
        <f>F16*(('[3]14_15 fleet'!$D268+'[3]14_15 fleet'!$D283)/'Original 2014-15 Data'!$C15)/1000000</f>
        <v>3.0653566928419487</v>
      </c>
      <c r="G140" s="56">
        <f>G16*(('[4]15_16 fleet'!$D268+'[4]15_16 fleet'!$D283)/'Original 2015-16 Data'!$C15)/1000000</f>
        <v>3.3904120010962453</v>
      </c>
      <c r="H140" s="56">
        <f>H16*(('[5]16_17 fleet_v2'!$D268+'[5]16_17 fleet_v2'!$D283)/'Original 2016-17 Data'!$C15)/1000000</f>
        <v>4.4995744586774338</v>
      </c>
      <c r="I140" s="56">
        <f>I16*(('[6]17_18 fleet_v3'!$D318+'[6]17_18 fleet_v3'!$D333)/'Original 2017-18 Data'!$C15)/1000000</f>
        <v>5.199288680714008</v>
      </c>
      <c r="J140" s="56">
        <f>J16*(('[7]18_19 fleet_v3'!$D318+'[7]18_19 fleet_v3'!$D333)/'Original 2018-19 Data'!$C15)/1000000</f>
        <v>4.9306512050631461</v>
      </c>
      <c r="K140" s="56">
        <f>$J140*(Taxi_Household_Share*('Taxi-Vehicle Share Supporting D'!K125/'Taxi-Vehicle Share Supporting D'!$J125)+Taxi_Tourist_Share*('Taxi-Vehicle Share Supporting D'!K146/'Taxi-Vehicle Share Supporting D'!$J146)+Taxi_Commercial_Share*('Taxi-Vehicle Share Supporting D'!K209/'Taxi-Vehicle Share Supporting D'!$J209))+'Taxi-Vehicle Share Supporting D'!K104*($J58/($J58+'Van+Ute'!$J58))+'Taxi-Vehicle Share Supporting D'!K167</f>
        <v>5.6067831534187391</v>
      </c>
      <c r="L140" s="56">
        <f>$J140*(Taxi_Household_Share*('Taxi-Vehicle Share Supporting D'!L125/'Taxi-Vehicle Share Supporting D'!$J125)+Taxi_Tourist_Share*('Taxi-Vehicle Share Supporting D'!L146/'Taxi-Vehicle Share Supporting D'!$J146)+Taxi_Commercial_Share*('Taxi-Vehicle Share Supporting D'!L209/'Taxi-Vehicle Share Supporting D'!$J209))+'Taxi-Vehicle Share Supporting D'!L104*($J58/($J58+'Van+Ute'!$J58))+'Taxi-Vehicle Share Supporting D'!L167</f>
        <v>55.042502054434969</v>
      </c>
      <c r="M140" s="56">
        <f>$J140*(Taxi_Household_Share*('Taxi-Vehicle Share Supporting D'!M125/'Taxi-Vehicle Share Supporting D'!$J125)+Taxi_Tourist_Share*('Taxi-Vehicle Share Supporting D'!M146/'Taxi-Vehicle Share Supporting D'!$J146)+Taxi_Commercial_Share*('Taxi-Vehicle Share Supporting D'!M209/'Taxi-Vehicle Share Supporting D'!$J209))+'Taxi-Vehicle Share Supporting D'!M104*($J58/($J58+'Van+Ute'!$J58))+'Taxi-Vehicle Share Supporting D'!M167</f>
        <v>106.17080521533151</v>
      </c>
      <c r="N140" s="56">
        <f>$J140*(Taxi_Household_Share*('Taxi-Vehicle Share Supporting D'!N125/'Taxi-Vehicle Share Supporting D'!$J125)+Taxi_Tourist_Share*('Taxi-Vehicle Share Supporting D'!N146/'Taxi-Vehicle Share Supporting D'!$J146)+Taxi_Commercial_Share*('Taxi-Vehicle Share Supporting D'!N209/'Taxi-Vehicle Share Supporting D'!$J209))+'Taxi-Vehicle Share Supporting D'!N104*($J58/($J58+'Van+Ute'!$J58))+'Taxi-Vehicle Share Supporting D'!N167</f>
        <v>157.51845771969056</v>
      </c>
      <c r="O140" s="56">
        <f>$J140*(Taxi_Household_Share*('Taxi-Vehicle Share Supporting D'!O125/'Taxi-Vehicle Share Supporting D'!$J125)+Taxi_Tourist_Share*('Taxi-Vehicle Share Supporting D'!O146/'Taxi-Vehicle Share Supporting D'!$J146)+Taxi_Commercial_Share*('Taxi-Vehicle Share Supporting D'!O209/'Taxi-Vehicle Share Supporting D'!$J209))+'Taxi-Vehicle Share Supporting D'!O104*($J58/($J58+'Van+Ute'!$J58))+'Taxi-Vehicle Share Supporting D'!O167</f>
        <v>208.51256763374673</v>
      </c>
      <c r="P140" s="159">
        <f>$J140*(Taxi_Household_Share*('Taxi-Vehicle Share Supporting D'!P125/'Taxi-Vehicle Share Supporting D'!$J125)+Taxi_Tourist_Share*('Taxi-Vehicle Share Supporting D'!P146/'Taxi-Vehicle Share Supporting D'!$J146)+Taxi_Commercial_Share*('Taxi-Vehicle Share Supporting D'!P209/'Taxi-Vehicle Share Supporting D'!$J209))+'Taxi-Vehicle Share Supporting D'!P104*($J58/($J58+'Van+Ute'!$J58))+'Taxi-Vehicle Share Supporting D'!P167</f>
        <v>258.97314425117452</v>
      </c>
      <c r="Q140" s="159">
        <f>$J140*(Taxi_Household_Share*('Taxi-Vehicle Share Supporting D'!Q125/'Taxi-Vehicle Share Supporting D'!$J125)+Taxi_Tourist_Share*('Taxi-Vehicle Share Supporting D'!Q146/'Taxi-Vehicle Share Supporting D'!$J146)+Taxi_Commercial_Share*('Taxi-Vehicle Share Supporting D'!Q209/'Taxi-Vehicle Share Supporting D'!$J209))+'Taxi-Vehicle Share Supporting D'!Q104*($J58/($J58+'Van+Ute'!$J58))+'Taxi-Vehicle Share Supporting D'!Q167</f>
        <v>308.48723932578457</v>
      </c>
      <c r="R140" s="160">
        <f>$J140*(Taxi_Household_Share*('Taxi-Vehicle Share Supporting D'!R125/'Taxi-Vehicle Share Supporting D'!$J125)+Taxi_Tourist_Share*('Taxi-Vehicle Share Supporting D'!R146/'Taxi-Vehicle Share Supporting D'!$J146)+Taxi_Commercial_Share*('Taxi-Vehicle Share Supporting D'!R209/'Taxi-Vehicle Share Supporting D'!$J209))+'Taxi-Vehicle Share Supporting D'!R104*($J58/($J58+'Van+Ute'!$J58))+'Taxi-Vehicle Share Supporting D'!R167</f>
        <v>356.97051282993152</v>
      </c>
      <c r="S140" s="56"/>
    </row>
    <row r="141" spans="3:19" ht="16" x14ac:dyDescent="0.2">
      <c r="C141" s="24" t="s">
        <v>10</v>
      </c>
      <c r="D141" s="55">
        <f>D17*(('[1]12_13 fleet'!$D267+'[1]12_13 fleet'!$D282)/'Original 2012-13 Data'!$C16)/1000000</f>
        <v>1.1442225342133525</v>
      </c>
      <c r="E141" s="56">
        <f>E17*(('[2]13_14 fleet'!$D269+'[2]13_14 fleet'!$D284)/'Original 2013-14 Data'!$C16)/1000000</f>
        <v>1.0540488829695094</v>
      </c>
      <c r="F141" s="56">
        <f>F17*(('[3]14_15 fleet'!$D269+'[3]14_15 fleet'!$D284)/'Original 2014-15 Data'!$C16)/1000000</f>
        <v>1.1981472473156056</v>
      </c>
      <c r="G141" s="56">
        <f>G17*(('[4]15_16 fleet'!$D269+'[4]15_16 fleet'!$D284)/'Original 2015-16 Data'!$C16)/1000000</f>
        <v>1.2527801593547454</v>
      </c>
      <c r="H141" s="56">
        <f>H17*(('[5]16_17 fleet_v2'!$D269+'[5]16_17 fleet_v2'!$D284)/'Original 2016-17 Data'!$C16)/1000000</f>
        <v>1.3930143884497399</v>
      </c>
      <c r="I141" s="56">
        <f>I17*(('[6]17_18 fleet_v3'!$D319+'[6]17_18 fleet_v3'!$D334)/'Original 2017-18 Data'!$C16)/1000000</f>
        <v>1.5881742025174355</v>
      </c>
      <c r="J141" s="56">
        <f>J17*(('[7]18_19 fleet_v3'!$D319+'[7]18_19 fleet_v3'!$D334)/'Original 2018-19 Data'!$C16)/1000000</f>
        <v>1.6853801997410134</v>
      </c>
      <c r="K141" s="56">
        <f>$J141*(Taxi_Household_Share*('Taxi-Vehicle Share Supporting D'!K126/'Taxi-Vehicle Share Supporting D'!$J126)+Taxi_Tourist_Share*('Taxi-Vehicle Share Supporting D'!K147/'Taxi-Vehicle Share Supporting D'!$J147)+Taxi_Commercial_Share*('Taxi-Vehicle Share Supporting D'!K210/'Taxi-Vehicle Share Supporting D'!$J210))+'Taxi-Vehicle Share Supporting D'!K105*($J59/($J59+'Van+Ute'!$J59))+'Taxi-Vehicle Share Supporting D'!K168</f>
        <v>1.8816347645472371</v>
      </c>
      <c r="L141" s="56">
        <f>$J141*(Taxi_Household_Share*('Taxi-Vehicle Share Supporting D'!L126/'Taxi-Vehicle Share Supporting D'!$J126)+Taxi_Tourist_Share*('Taxi-Vehicle Share Supporting D'!L147/'Taxi-Vehicle Share Supporting D'!$J147)+Taxi_Commercial_Share*('Taxi-Vehicle Share Supporting D'!L210/'Taxi-Vehicle Share Supporting D'!$J210))+'Taxi-Vehicle Share Supporting D'!L105*($J59/($J59+'Van+Ute'!$J59))+'Taxi-Vehicle Share Supporting D'!L168</f>
        <v>19.208274903617724</v>
      </c>
      <c r="M141" s="56">
        <f>$J141*(Taxi_Household_Share*('Taxi-Vehicle Share Supporting D'!M126/'Taxi-Vehicle Share Supporting D'!$J126)+Taxi_Tourist_Share*('Taxi-Vehicle Share Supporting D'!M147/'Taxi-Vehicle Share Supporting D'!$J147)+Taxi_Commercial_Share*('Taxi-Vehicle Share Supporting D'!M210/'Taxi-Vehicle Share Supporting D'!$J210))+'Taxi-Vehicle Share Supporting D'!M105*($J59/($J59+'Van+Ute'!$J59))+'Taxi-Vehicle Share Supporting D'!M168</f>
        <v>36.178162215239475</v>
      </c>
      <c r="N141" s="56">
        <f>$J141*(Taxi_Household_Share*('Taxi-Vehicle Share Supporting D'!N126/'Taxi-Vehicle Share Supporting D'!$J126)+Taxi_Tourist_Share*('Taxi-Vehicle Share Supporting D'!N147/'Taxi-Vehicle Share Supporting D'!$J147)+Taxi_Commercial_Share*('Taxi-Vehicle Share Supporting D'!N210/'Taxi-Vehicle Share Supporting D'!$J210))+'Taxi-Vehicle Share Supporting D'!N105*($J59/($J59+'Van+Ute'!$J59))+'Taxi-Vehicle Share Supporting D'!N168</f>
        <v>52.317784507171325</v>
      </c>
      <c r="O141" s="56">
        <f>$J141*(Taxi_Household_Share*('Taxi-Vehicle Share Supporting D'!O126/'Taxi-Vehicle Share Supporting D'!$J126)+Taxi_Tourist_Share*('Taxi-Vehicle Share Supporting D'!O147/'Taxi-Vehicle Share Supporting D'!$J147)+Taxi_Commercial_Share*('Taxi-Vehicle Share Supporting D'!O210/'Taxi-Vehicle Share Supporting D'!$J210))+'Taxi-Vehicle Share Supporting D'!O105*($J59/($J59+'Van+Ute'!$J59))+'Taxi-Vehicle Share Supporting D'!O168</f>
        <v>67.638562069152115</v>
      </c>
      <c r="P141" s="159">
        <f>$J141*(Taxi_Household_Share*('Taxi-Vehicle Share Supporting D'!P126/'Taxi-Vehicle Share Supporting D'!$J126)+Taxi_Tourist_Share*('Taxi-Vehicle Share Supporting D'!P147/'Taxi-Vehicle Share Supporting D'!$J147)+Taxi_Commercial_Share*('Taxi-Vehicle Share Supporting D'!P210/'Taxi-Vehicle Share Supporting D'!$J210))+'Taxi-Vehicle Share Supporting D'!P105*($J59/($J59+'Van+Ute'!$J59))+'Taxi-Vehicle Share Supporting D'!P168</f>
        <v>82.026756127078329</v>
      </c>
      <c r="Q141" s="159">
        <f>$J141*(Taxi_Household_Share*('Taxi-Vehicle Share Supporting D'!Q126/'Taxi-Vehicle Share Supporting D'!$J126)+Taxi_Tourist_Share*('Taxi-Vehicle Share Supporting D'!Q147/'Taxi-Vehicle Share Supporting D'!$J147)+Taxi_Commercial_Share*('Taxi-Vehicle Share Supporting D'!Q210/'Taxi-Vehicle Share Supporting D'!$J210))+'Taxi-Vehicle Share Supporting D'!Q105*($J59/($J59+'Van+Ute'!$J59))+'Taxi-Vehicle Share Supporting D'!Q168</f>
        <v>95.394181653146148</v>
      </c>
      <c r="R141" s="160">
        <f>$J141*(Taxi_Household_Share*('Taxi-Vehicle Share Supporting D'!R126/'Taxi-Vehicle Share Supporting D'!$J126)+Taxi_Tourist_Share*('Taxi-Vehicle Share Supporting D'!R147/'Taxi-Vehicle Share Supporting D'!$J147)+Taxi_Commercial_Share*('Taxi-Vehicle Share Supporting D'!R210/'Taxi-Vehicle Share Supporting D'!$J210))+'Taxi-Vehicle Share Supporting D'!R105*($J59/($J59+'Van+Ute'!$J59))+'Taxi-Vehicle Share Supporting D'!R168</f>
        <v>107.76438116484529</v>
      </c>
      <c r="S141" s="56"/>
    </row>
    <row r="142" spans="3:19" ht="16" x14ac:dyDescent="0.2">
      <c r="C142" s="24" t="s">
        <v>11</v>
      </c>
      <c r="D142" s="55">
        <f>D18*(('[1]12_13 fleet'!$D268+'[1]12_13 fleet'!$D283)/'Original 2012-13 Data'!$C17)/1000000</f>
        <v>24.862057792989166</v>
      </c>
      <c r="E142" s="56">
        <f>E18*(('[2]13_14 fleet'!$D270+'[2]13_14 fleet'!$D285)/'Original 2013-14 Data'!$C17)/1000000</f>
        <v>26.303948770777119</v>
      </c>
      <c r="F142" s="56">
        <f>F18*(('[3]14_15 fleet'!$D270+'[3]14_15 fleet'!$D285)/'Original 2014-15 Data'!$C17)/1000000</f>
        <v>26.789571187121513</v>
      </c>
      <c r="G142" s="56">
        <f>G18*(('[4]15_16 fleet'!$D270+'[4]15_16 fleet'!$D285)/'Original 2015-16 Data'!$C17)/1000000</f>
        <v>27.744235891513373</v>
      </c>
      <c r="H142" s="56">
        <f>H18*(('[5]16_17 fleet_v2'!$D270+'[5]16_17 fleet_v2'!$D285)/'Original 2016-17 Data'!$C17)/1000000</f>
        <v>30.216206847380992</v>
      </c>
      <c r="I142" s="56">
        <f>I18*(('[6]17_18 fleet_v3'!$D320+'[6]17_18 fleet_v3'!$D335)/'Original 2017-18 Data'!$C17)/1000000</f>
        <v>47.007845786148287</v>
      </c>
      <c r="J142" s="56">
        <f>J18*(('[7]18_19 fleet_v3'!$D320+'[7]18_19 fleet_v3'!$D335)/'Original 2018-19 Data'!$C17)/1000000</f>
        <v>54.837245240299822</v>
      </c>
      <c r="K142" s="56">
        <f>$J142*(Taxi_Household_Share*('Taxi-Vehicle Share Supporting D'!K127/'Taxi-Vehicle Share Supporting D'!$J127)+Taxi_Tourist_Share*('Taxi-Vehicle Share Supporting D'!K148/'Taxi-Vehicle Share Supporting D'!$J148)+Taxi_Commercial_Share*('Taxi-Vehicle Share Supporting D'!K211/'Taxi-Vehicle Share Supporting D'!$J211))+'Taxi-Vehicle Share Supporting D'!K106*($J60/($J60+'Van+Ute'!$J60))+'Taxi-Vehicle Share Supporting D'!K169</f>
        <v>63.824756748728163</v>
      </c>
      <c r="L142" s="56">
        <f>$J142*(Taxi_Household_Share*('Taxi-Vehicle Share Supporting D'!L127/'Taxi-Vehicle Share Supporting D'!$J127)+Taxi_Tourist_Share*('Taxi-Vehicle Share Supporting D'!L148/'Taxi-Vehicle Share Supporting D'!$J148)+Taxi_Commercial_Share*('Taxi-Vehicle Share Supporting D'!L211/'Taxi-Vehicle Share Supporting D'!$J211))+'Taxi-Vehicle Share Supporting D'!L106*($J60/($J60+'Van+Ute'!$J60))+'Taxi-Vehicle Share Supporting D'!L169</f>
        <v>290.66230815219382</v>
      </c>
      <c r="M142" s="56">
        <f>$J142*(Taxi_Household_Share*('Taxi-Vehicle Share Supporting D'!M127/'Taxi-Vehicle Share Supporting D'!$J127)+Taxi_Tourist_Share*('Taxi-Vehicle Share Supporting D'!M148/'Taxi-Vehicle Share Supporting D'!$J148)+Taxi_Commercial_Share*('Taxi-Vehicle Share Supporting D'!M211/'Taxi-Vehicle Share Supporting D'!$J211))+'Taxi-Vehicle Share Supporting D'!M106*($J60/($J60+'Van+Ute'!$J60))+'Taxi-Vehicle Share Supporting D'!M169</f>
        <v>535.30702437647165</v>
      </c>
      <c r="N142" s="56">
        <f>$J142*(Taxi_Household_Share*('Taxi-Vehicle Share Supporting D'!N127/'Taxi-Vehicle Share Supporting D'!$J127)+Taxi_Tourist_Share*('Taxi-Vehicle Share Supporting D'!N148/'Taxi-Vehicle Share Supporting D'!$J148)+Taxi_Commercial_Share*('Taxi-Vehicle Share Supporting D'!N211/'Taxi-Vehicle Share Supporting D'!$J211))+'Taxi-Vehicle Share Supporting D'!N106*($J60/($J60+'Van+Ute'!$J60))+'Taxi-Vehicle Share Supporting D'!N169</f>
        <v>793.06171051636215</v>
      </c>
      <c r="O142" s="56">
        <f>$J142*(Taxi_Household_Share*('Taxi-Vehicle Share Supporting D'!O127/'Taxi-Vehicle Share Supporting D'!$J127)+Taxi_Tourist_Share*('Taxi-Vehicle Share Supporting D'!O148/'Taxi-Vehicle Share Supporting D'!$J148)+Taxi_Commercial_Share*('Taxi-Vehicle Share Supporting D'!O211/'Taxi-Vehicle Share Supporting D'!$J211))+'Taxi-Vehicle Share Supporting D'!O106*($J60/($J60+'Van+Ute'!$J60))+'Taxi-Vehicle Share Supporting D'!O169</f>
        <v>1063.6921078053228</v>
      </c>
      <c r="P142" s="159">
        <f>$J142*(Taxi_Household_Share*('Taxi-Vehicle Share Supporting D'!P127/'Taxi-Vehicle Share Supporting D'!$J127)+Taxi_Tourist_Share*('Taxi-Vehicle Share Supporting D'!P148/'Taxi-Vehicle Share Supporting D'!$J148)+Taxi_Commercial_Share*('Taxi-Vehicle Share Supporting D'!P211/'Taxi-Vehicle Share Supporting D'!$J211))+'Taxi-Vehicle Share Supporting D'!P106*($J60/($J60+'Van+Ute'!$J60))+'Taxi-Vehicle Share Supporting D'!P169</f>
        <v>1344.4769720202664</v>
      </c>
      <c r="Q142" s="159">
        <f>$J142*(Taxi_Household_Share*('Taxi-Vehicle Share Supporting D'!Q127/'Taxi-Vehicle Share Supporting D'!$J127)+Taxi_Tourist_Share*('Taxi-Vehicle Share Supporting D'!Q148/'Taxi-Vehicle Share Supporting D'!$J148)+Taxi_Commercial_Share*('Taxi-Vehicle Share Supporting D'!Q211/'Taxi-Vehicle Share Supporting D'!$J211))+'Taxi-Vehicle Share Supporting D'!Q106*($J60/($J60+'Van+Ute'!$J60))+'Taxi-Vehicle Share Supporting D'!Q169</f>
        <v>1634.7743781922486</v>
      </c>
      <c r="R142" s="160">
        <f>$J142*(Taxi_Household_Share*('Taxi-Vehicle Share Supporting D'!R127/'Taxi-Vehicle Share Supporting D'!$J127)+Taxi_Tourist_Share*('Taxi-Vehicle Share Supporting D'!R148/'Taxi-Vehicle Share Supporting D'!$J148)+Taxi_Commercial_Share*('Taxi-Vehicle Share Supporting D'!R211/'Taxi-Vehicle Share Supporting D'!$J211))+'Taxi-Vehicle Share Supporting D'!R106*($J60/($J60+'Van+Ute'!$J60))+'Taxi-Vehicle Share Supporting D'!R169</f>
        <v>1934.294917187593</v>
      </c>
      <c r="S142" s="56"/>
    </row>
    <row r="143" spans="3:19" ht="16" x14ac:dyDescent="0.2">
      <c r="C143" s="24" t="s">
        <v>12</v>
      </c>
      <c r="D143" s="55">
        <f>D19*(('[1]12_13 fleet'!$D269+'[1]12_13 fleet'!$D284)/'Original 2012-13 Data'!$C18)/1000000</f>
        <v>17.766310419074774</v>
      </c>
      <c r="E143" s="56">
        <f>E19*(('[2]13_14 fleet'!$D271+'[2]13_14 fleet'!$D286)/'Original 2013-14 Data'!$C18)/1000000</f>
        <v>18.072894877182335</v>
      </c>
      <c r="F143" s="56">
        <f>F19*(('[3]14_15 fleet'!$D271+'[3]14_15 fleet'!$D286)/'Original 2014-15 Data'!$C18)/1000000</f>
        <v>18.185270146652563</v>
      </c>
      <c r="G143" s="56">
        <f>G19*(('[4]15_16 fleet'!$D271+'[4]15_16 fleet'!$D286)/'Original 2015-16 Data'!$C18)/1000000</f>
        <v>18.159673241310536</v>
      </c>
      <c r="H143" s="56">
        <f>H19*(('[5]16_17 fleet_v2'!$D271+'[5]16_17 fleet_v2'!$D286)/'Original 2016-17 Data'!$C18)/1000000</f>
        <v>20.602668986680616</v>
      </c>
      <c r="I143" s="56">
        <f>I19*(('[6]17_18 fleet_v3'!$D321+'[6]17_18 fleet_v3'!$D336)/'Original 2017-18 Data'!$C18)/1000000</f>
        <v>23.901814892277038</v>
      </c>
      <c r="J143" s="56">
        <f>J19*(('[7]18_19 fleet_v3'!$D321+'[7]18_19 fleet_v3'!$D336)/'Original 2018-19 Data'!$C18)/1000000</f>
        <v>26.481572530101296</v>
      </c>
      <c r="K143" s="56">
        <f>$J143*(Taxi_Household_Share*('Taxi-Vehicle Share Supporting D'!K128/'Taxi-Vehicle Share Supporting D'!$J128)+Taxi_Tourist_Share*('Taxi-Vehicle Share Supporting D'!K149/'Taxi-Vehicle Share Supporting D'!$J149)+Taxi_Commercial_Share*('Taxi-Vehicle Share Supporting D'!K212/'Taxi-Vehicle Share Supporting D'!$J212))+'Taxi-Vehicle Share Supporting D'!K107*($J61/($J61+'Van+Ute'!$J61))+'Taxi-Vehicle Share Supporting D'!K170</f>
        <v>30.460553563289452</v>
      </c>
      <c r="L143" s="56">
        <f>$J143*(Taxi_Household_Share*('Taxi-Vehicle Share Supporting D'!L128/'Taxi-Vehicle Share Supporting D'!$J128)+Taxi_Tourist_Share*('Taxi-Vehicle Share Supporting D'!L149/'Taxi-Vehicle Share Supporting D'!$J149)+Taxi_Commercial_Share*('Taxi-Vehicle Share Supporting D'!L212/'Taxi-Vehicle Share Supporting D'!$J212))+'Taxi-Vehicle Share Supporting D'!L107*($J61/($J61+'Van+Ute'!$J61))+'Taxi-Vehicle Share Supporting D'!L170</f>
        <v>118.01255584513089</v>
      </c>
      <c r="M143" s="56">
        <f>$J143*(Taxi_Household_Share*('Taxi-Vehicle Share Supporting D'!M128/'Taxi-Vehicle Share Supporting D'!$J128)+Taxi_Tourist_Share*('Taxi-Vehicle Share Supporting D'!M149/'Taxi-Vehicle Share Supporting D'!$J149)+Taxi_Commercial_Share*('Taxi-Vehicle Share Supporting D'!M212/'Taxi-Vehicle Share Supporting D'!$J212))+'Taxi-Vehicle Share Supporting D'!M107*($J61/($J61+'Van+Ute'!$J61))+'Taxi-Vehicle Share Supporting D'!M170</f>
        <v>209.54954614714529</v>
      </c>
      <c r="N143" s="56">
        <f>$J143*(Taxi_Household_Share*('Taxi-Vehicle Share Supporting D'!N128/'Taxi-Vehicle Share Supporting D'!$J128)+Taxi_Tourist_Share*('Taxi-Vehicle Share Supporting D'!N149/'Taxi-Vehicle Share Supporting D'!$J149)+Taxi_Commercial_Share*('Taxi-Vehicle Share Supporting D'!N212/'Taxi-Vehicle Share Supporting D'!$J212))+'Taxi-Vehicle Share Supporting D'!N107*($J61/($J61+'Van+Ute'!$J61))+'Taxi-Vehicle Share Supporting D'!N170</f>
        <v>303.30535377218024</v>
      </c>
      <c r="O143" s="56">
        <f>$J143*(Taxi_Household_Share*('Taxi-Vehicle Share Supporting D'!O128/'Taxi-Vehicle Share Supporting D'!$J128)+Taxi_Tourist_Share*('Taxi-Vehicle Share Supporting D'!O149/'Taxi-Vehicle Share Supporting D'!$J149)+Taxi_Commercial_Share*('Taxi-Vehicle Share Supporting D'!O212/'Taxi-Vehicle Share Supporting D'!$J212))+'Taxi-Vehicle Share Supporting D'!O107*($J61/($J61+'Van+Ute'!$J61))+'Taxi-Vehicle Share Supporting D'!O170</f>
        <v>399.15356318721035</v>
      </c>
      <c r="P143" s="159">
        <f>$J143*(Taxi_Household_Share*('Taxi-Vehicle Share Supporting D'!P128/'Taxi-Vehicle Share Supporting D'!$J128)+Taxi_Tourist_Share*('Taxi-Vehicle Share Supporting D'!P149/'Taxi-Vehicle Share Supporting D'!$J149)+Taxi_Commercial_Share*('Taxi-Vehicle Share Supporting D'!P212/'Taxi-Vehicle Share Supporting D'!$J212))+'Taxi-Vehicle Share Supporting D'!P107*($J61/($J61+'Van+Ute'!$J61))+'Taxi-Vehicle Share Supporting D'!P170</f>
        <v>495.72006775912604</v>
      </c>
      <c r="Q143" s="159">
        <f>$J143*(Taxi_Household_Share*('Taxi-Vehicle Share Supporting D'!Q128/'Taxi-Vehicle Share Supporting D'!$J128)+Taxi_Tourist_Share*('Taxi-Vehicle Share Supporting D'!Q149/'Taxi-Vehicle Share Supporting D'!$J149)+Taxi_Commercial_Share*('Taxi-Vehicle Share Supporting D'!Q212/'Taxi-Vehicle Share Supporting D'!$J212))+'Taxi-Vehicle Share Supporting D'!Q107*($J61/($J61+'Van+Ute'!$J61))+'Taxi-Vehicle Share Supporting D'!Q170</f>
        <v>592.89724131830769</v>
      </c>
      <c r="R143" s="160">
        <f>$J143*(Taxi_Household_Share*('Taxi-Vehicle Share Supporting D'!R128/'Taxi-Vehicle Share Supporting D'!$J128)+Taxi_Tourist_Share*('Taxi-Vehicle Share Supporting D'!R149/'Taxi-Vehicle Share Supporting D'!$J149)+Taxi_Commercial_Share*('Taxi-Vehicle Share Supporting D'!R212/'Taxi-Vehicle Share Supporting D'!$J212))+'Taxi-Vehicle Share Supporting D'!R107*($J61/($J61+'Van+Ute'!$J61))+'Taxi-Vehicle Share Supporting D'!R170</f>
        <v>690.5316313569574</v>
      </c>
      <c r="S143" s="56"/>
    </row>
    <row r="144" spans="3:19" ht="17" thickBot="1" x14ac:dyDescent="0.25">
      <c r="C144" s="25" t="s">
        <v>13</v>
      </c>
      <c r="D144" s="58">
        <f>D20*(('[1]12_13 fleet'!$D270+'[1]12_13 fleet'!$D285)/'Original 2012-13 Data'!$C19)/1000000</f>
        <v>2.5661029971918534</v>
      </c>
      <c r="E144" s="59">
        <f>E20*(('[2]13_14 fleet'!$D272+'[2]13_14 fleet'!$D287)/'Original 2013-14 Data'!$C19)/1000000</f>
        <v>2.5744664490356262</v>
      </c>
      <c r="F144" s="59">
        <f>F20*(('[3]14_15 fleet'!$D272+'[3]14_15 fleet'!$D287)/'Original 2014-15 Data'!$C19)/1000000</f>
        <v>2.5363372542740827</v>
      </c>
      <c r="G144" s="59">
        <f>G20*(('[4]15_16 fleet'!$D272+'[4]15_16 fleet'!$D287)/'Original 2015-16 Data'!$C19)/1000000</f>
        <v>2.8248514415350829</v>
      </c>
      <c r="H144" s="59">
        <f>H20*(('[5]16_17 fleet_v2'!$D272+'[5]16_17 fleet_v2'!$D287)/'Original 2016-17 Data'!$C19)/1000000</f>
        <v>3.0957175275153377</v>
      </c>
      <c r="I144" s="59">
        <f>I20*(('[6]17_18 fleet_v3'!$D322+'[6]17_18 fleet_v3'!$D337)/'Original 2017-18 Data'!$C19)/1000000</f>
        <v>3.0481773559588072</v>
      </c>
      <c r="J144" s="59">
        <f>J20*(('[7]18_19 fleet_v3'!$D322+'[7]18_19 fleet_v3'!$D337)/'Original 2018-19 Data'!$C19)/1000000</f>
        <v>3.5591315491082316</v>
      </c>
      <c r="K144" s="59">
        <f>$J144*(Taxi_Household_Share*('Taxi-Vehicle Share Supporting D'!K129/'Taxi-Vehicle Share Supporting D'!$J129)+Taxi_Tourist_Share*('Taxi-Vehicle Share Supporting D'!K150/'Taxi-Vehicle Share Supporting D'!$J150)+Taxi_Commercial_Share*('Taxi-Vehicle Share Supporting D'!K213/'Taxi-Vehicle Share Supporting D'!$J213))+'Taxi-Vehicle Share Supporting D'!K108*($J62/($J62+'Van+Ute'!$J62))+'Taxi-Vehicle Share Supporting D'!K171</f>
        <v>3.9932664838613947</v>
      </c>
      <c r="L144" s="59">
        <f>$J144*(Taxi_Household_Share*('Taxi-Vehicle Share Supporting D'!L129/'Taxi-Vehicle Share Supporting D'!$J129)+Taxi_Tourist_Share*('Taxi-Vehicle Share Supporting D'!L150/'Taxi-Vehicle Share Supporting D'!$J150)+Taxi_Commercial_Share*('Taxi-Vehicle Share Supporting D'!L213/'Taxi-Vehicle Share Supporting D'!$J213))+'Taxi-Vehicle Share Supporting D'!L108*($J62/($J62+'Van+Ute'!$J62))+'Taxi-Vehicle Share Supporting D'!L171</f>
        <v>41.403897009204506</v>
      </c>
      <c r="M144" s="59">
        <f>$J144*(Taxi_Household_Share*('Taxi-Vehicle Share Supporting D'!M129/'Taxi-Vehicle Share Supporting D'!$J129)+Taxi_Tourist_Share*('Taxi-Vehicle Share Supporting D'!M150/'Taxi-Vehicle Share Supporting D'!$J150)+Taxi_Commercial_Share*('Taxi-Vehicle Share Supporting D'!M213/'Taxi-Vehicle Share Supporting D'!$J213))+'Taxi-Vehicle Share Supporting D'!M108*($J62/($J62+'Van+Ute'!$J62))+'Taxi-Vehicle Share Supporting D'!M171</f>
        <v>78.96910127677387</v>
      </c>
      <c r="N144" s="59">
        <f>$J144*(Taxi_Household_Share*('Taxi-Vehicle Share Supporting D'!N129/'Taxi-Vehicle Share Supporting D'!$J129)+Taxi_Tourist_Share*('Taxi-Vehicle Share Supporting D'!N150/'Taxi-Vehicle Share Supporting D'!$J150)+Taxi_Commercial_Share*('Taxi-Vehicle Share Supporting D'!N213/'Taxi-Vehicle Share Supporting D'!$J213))+'Taxi-Vehicle Share Supporting D'!N108*($J62/($J62+'Van+Ute'!$J62))+'Taxi-Vehicle Share Supporting D'!N171</f>
        <v>115.68724717279095</v>
      </c>
      <c r="O144" s="59">
        <f>$J144*(Taxi_Household_Share*('Taxi-Vehicle Share Supporting D'!O129/'Taxi-Vehicle Share Supporting D'!$J129)+Taxi_Tourist_Share*('Taxi-Vehicle Share Supporting D'!O150/'Taxi-Vehicle Share Supporting D'!$J150)+Taxi_Commercial_Share*('Taxi-Vehicle Share Supporting D'!O213/'Taxi-Vehicle Share Supporting D'!$J213))+'Taxi-Vehicle Share Supporting D'!O108*($J62/($J62+'Van+Ute'!$J62))+'Taxi-Vehicle Share Supporting D'!O171</f>
        <v>151.44003451237</v>
      </c>
      <c r="P144" s="162">
        <f>$J144*(Taxi_Household_Share*('Taxi-Vehicle Share Supporting D'!P129/'Taxi-Vehicle Share Supporting D'!$J129)+Taxi_Tourist_Share*('Taxi-Vehicle Share Supporting D'!P150/'Taxi-Vehicle Share Supporting D'!$J150)+Taxi_Commercial_Share*('Taxi-Vehicle Share Supporting D'!P213/'Taxi-Vehicle Share Supporting D'!$J213))+'Taxi-Vehicle Share Supporting D'!P108*($J62/($J62+'Van+Ute'!$J62))+'Taxi-Vehicle Share Supporting D'!P171</f>
        <v>185.95369601332914</v>
      </c>
      <c r="Q144" s="162">
        <f>$J144*(Taxi_Household_Share*('Taxi-Vehicle Share Supporting D'!Q129/'Taxi-Vehicle Share Supporting D'!$J129)+Taxi_Tourist_Share*('Taxi-Vehicle Share Supporting D'!Q150/'Taxi-Vehicle Share Supporting D'!$J150)+Taxi_Commercial_Share*('Taxi-Vehicle Share Supporting D'!Q213/'Taxi-Vehicle Share Supporting D'!$J213))+'Taxi-Vehicle Share Supporting D'!Q108*($J62/($J62+'Van+Ute'!$J62))+'Taxi-Vehicle Share Supporting D'!Q171</f>
        <v>218.9543584559905</v>
      </c>
      <c r="R144" s="163">
        <f>$J144*(Taxi_Household_Share*('Taxi-Vehicle Share Supporting D'!R129/'Taxi-Vehicle Share Supporting D'!$J129)+Taxi_Tourist_Share*('Taxi-Vehicle Share Supporting D'!R150/'Taxi-Vehicle Share Supporting D'!$J150)+Taxi_Commercial_Share*('Taxi-Vehicle Share Supporting D'!R213/'Taxi-Vehicle Share Supporting D'!$J213))+'Taxi-Vehicle Share Supporting D'!R108*($J62/($J62+'Van+Ute'!$J62))+'Taxi-Vehicle Share Supporting D'!R171</f>
        <v>250.4199029734649</v>
      </c>
      <c r="S144" s="56"/>
    </row>
    <row r="145" spans="3:19" ht="19" thickTop="1" thickBot="1" x14ac:dyDescent="0.25">
      <c r="C145" s="31" t="s">
        <v>24</v>
      </c>
      <c r="D145" s="61">
        <f t="shared" ref="D145:R145" si="59">SUM(D131:D144)</f>
        <v>262.81779245548046</v>
      </c>
      <c r="E145" s="62">
        <f t="shared" si="59"/>
        <v>266.88733686006401</v>
      </c>
      <c r="F145" s="62">
        <f t="shared" si="59"/>
        <v>271.58944823315261</v>
      </c>
      <c r="G145" s="62">
        <f t="shared" si="59"/>
        <v>290.69149218598466</v>
      </c>
      <c r="H145" s="62">
        <f t="shared" si="59"/>
        <v>328.77035123657737</v>
      </c>
      <c r="I145" s="62">
        <f t="shared" si="59"/>
        <v>451.94991590508977</v>
      </c>
      <c r="J145" s="62">
        <f t="shared" ref="J145" si="60">SUM(J131:J144)</f>
        <v>524.58025185836539</v>
      </c>
      <c r="K145" s="62">
        <f t="shared" si="59"/>
        <v>614.17640834693384</v>
      </c>
      <c r="L145" s="62">
        <f t="shared" si="59"/>
        <v>2309.2958918432519</v>
      </c>
      <c r="M145" s="62">
        <f t="shared" si="59"/>
        <v>4117.8142702534233</v>
      </c>
      <c r="N145" s="62">
        <f t="shared" si="59"/>
        <v>6002.4935206406035</v>
      </c>
      <c r="O145" s="62">
        <f t="shared" si="59"/>
        <v>7963.3593971271002</v>
      </c>
      <c r="P145" s="125">
        <f t="shared" si="59"/>
        <v>9978.2660624523487</v>
      </c>
      <c r="Q145" s="125">
        <f t="shared" si="59"/>
        <v>12046.956515755641</v>
      </c>
      <c r="R145" s="126">
        <f t="shared" si="59"/>
        <v>14167.332692450718</v>
      </c>
      <c r="S145" s="56"/>
    </row>
    <row r="146" spans="3:19" ht="14" thickTop="1" x14ac:dyDescent="0.15">
      <c r="O146" s="121"/>
    </row>
    <row r="147" spans="3:19" ht="14" thickBot="1" x14ac:dyDescent="0.2">
      <c r="O147" s="121"/>
    </row>
    <row r="148" spans="3:19" ht="17" thickTop="1" x14ac:dyDescent="0.2">
      <c r="C148" s="32" t="s">
        <v>123</v>
      </c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5"/>
      <c r="S148" s="121"/>
    </row>
    <row r="149" spans="3:19" ht="14" thickBot="1" x14ac:dyDescent="0.2">
      <c r="C149" s="18"/>
      <c r="D149" s="65" t="s">
        <v>25</v>
      </c>
      <c r="E149" s="65" t="s">
        <v>37</v>
      </c>
      <c r="F149" s="65" t="s">
        <v>38</v>
      </c>
      <c r="G149" s="37" t="s">
        <v>177</v>
      </c>
      <c r="H149" s="37" t="s">
        <v>178</v>
      </c>
      <c r="I149" s="65" t="s">
        <v>26</v>
      </c>
      <c r="J149" s="65"/>
      <c r="K149" s="65" t="s">
        <v>27</v>
      </c>
      <c r="L149" s="65" t="s">
        <v>28</v>
      </c>
      <c r="M149" s="65" t="s">
        <v>29</v>
      </c>
      <c r="N149" s="65" t="s">
        <v>30</v>
      </c>
      <c r="O149" s="65" t="s">
        <v>31</v>
      </c>
      <c r="P149" s="37" t="s">
        <v>174</v>
      </c>
      <c r="Q149" s="37" t="s">
        <v>175</v>
      </c>
      <c r="R149" s="38" t="s">
        <v>176</v>
      </c>
      <c r="S149" s="65"/>
    </row>
    <row r="150" spans="3:19" ht="15" thickTop="1" thickBot="1" x14ac:dyDescent="0.2">
      <c r="C150" s="70"/>
      <c r="D150" s="71" t="s">
        <v>39</v>
      </c>
      <c r="E150" s="71" t="s">
        <v>39</v>
      </c>
      <c r="F150" s="71" t="s">
        <v>39</v>
      </c>
      <c r="G150" s="65" t="s">
        <v>39</v>
      </c>
      <c r="H150" s="65" t="s">
        <v>39</v>
      </c>
      <c r="I150" s="71" t="s">
        <v>39</v>
      </c>
      <c r="J150" s="71" t="s">
        <v>39</v>
      </c>
      <c r="K150" s="71" t="s">
        <v>32</v>
      </c>
      <c r="L150" s="71" t="s">
        <v>32</v>
      </c>
      <c r="M150" s="71" t="s">
        <v>32</v>
      </c>
      <c r="N150" s="71" t="s">
        <v>32</v>
      </c>
      <c r="O150" s="71" t="s">
        <v>32</v>
      </c>
      <c r="P150" s="65" t="s">
        <v>32</v>
      </c>
      <c r="Q150" s="65" t="s">
        <v>32</v>
      </c>
      <c r="R150" s="66" t="s">
        <v>32</v>
      </c>
      <c r="S150" s="65"/>
    </row>
    <row r="151" spans="3:19" ht="17" thickTop="1" x14ac:dyDescent="0.2">
      <c r="C151" s="24" t="s">
        <v>0</v>
      </c>
      <c r="D151" s="42">
        <f>('[1]12_13 fleet'!$D39+'[1]12_13 fleet'!$D54)*'Light Vehicle Supporting Data'!D$164</f>
        <v>123.03149404685699</v>
      </c>
      <c r="E151" s="43">
        <f>('[2]13_14 fleet'!$D40+'[2]13_14 fleet'!$D55)*'Light Vehicle Supporting Data'!E$164</f>
        <v>143.03603830645162</v>
      </c>
      <c r="F151" s="43">
        <f>('[3]14_15 fleet'!$D40+'[3]14_15 fleet'!$D55)*'Light Vehicle Supporting Data'!F$164</f>
        <v>141.03322337417532</v>
      </c>
      <c r="G151" s="40">
        <f>('[4]15_16 fleet'!$D40+'[4]15_16 fleet'!$D55)*'Light Vehicle Supporting Data'!G$164</f>
        <v>150.03042287800423</v>
      </c>
      <c r="H151" s="40">
        <f>('[5]16_17 fleet_v2'!$D40+'[5]16_17 fleet_v2'!$D55)*'Light Vehicle Supporting Data'!H$164</f>
        <v>136.02628527251642</v>
      </c>
      <c r="I151" s="43">
        <f>('[6]17_18 fleet_v3'!$D65+'[6]17_18 fleet_v3'!$D80)*'Light Vehicle Supporting Data'!I$164</f>
        <v>152.02435723951285</v>
      </c>
      <c r="J151" s="43">
        <f>('[7]18_19 fleet_v3'!$D65+'[7]18_19 fleet_v3'!$D80)*'Light Vehicle Supporting Data'!J$164</f>
        <v>168.76520743191654</v>
      </c>
      <c r="K151" s="43">
        <f t="shared" ref="K151:R164" si="61">$J151*(K131/$J131)</f>
        <v>193.49725572112692</v>
      </c>
      <c r="L151" s="43">
        <f t="shared" si="61"/>
        <v>2125.0339539227161</v>
      </c>
      <c r="M151" s="43">
        <f t="shared" si="61"/>
        <v>4143.7316714199942</v>
      </c>
      <c r="N151" s="43">
        <f t="shared" si="61"/>
        <v>6192.2881254168915</v>
      </c>
      <c r="O151" s="43">
        <f t="shared" si="61"/>
        <v>8256.1976887942583</v>
      </c>
      <c r="P151" s="53">
        <f t="shared" si="61"/>
        <v>10324.022233132086</v>
      </c>
      <c r="Q151" s="53">
        <f t="shared" si="61"/>
        <v>12378.094875453429</v>
      </c>
      <c r="R151" s="54">
        <f t="shared" si="61"/>
        <v>14414.085790444064</v>
      </c>
      <c r="S151" s="56"/>
    </row>
    <row r="152" spans="3:19" ht="16" x14ac:dyDescent="0.2">
      <c r="C152" s="24" t="s">
        <v>1</v>
      </c>
      <c r="D152" s="42">
        <f>('[1]12_13 fleet'!$D40+'[1]12_13 fleet'!$D55)*'Light Vehicle Supporting Data'!D$164</f>
        <v>3589.9189604404046</v>
      </c>
      <c r="E152" s="43">
        <f>('[2]13_14 fleet'!$D41+'[2]13_14 fleet'!$D56)*'Light Vehicle Supporting Data'!E$164</f>
        <v>3696.9314516129034</v>
      </c>
      <c r="F152" s="43">
        <f>('[3]14_15 fleet'!$D41+'[3]14_15 fleet'!$D56)*'Light Vehicle Supporting Data'!F$164</f>
        <v>4125.9719604147031</v>
      </c>
      <c r="G152" s="43">
        <f>('[4]15_16 fleet'!$D41+'[4]15_16 fleet'!$D56)*'Light Vehicle Supporting Data'!G$164</f>
        <v>5169.0481695568396</v>
      </c>
      <c r="H152" s="43">
        <f>('[5]16_17 fleet_v2'!$D41+'[5]16_17 fleet_v2'!$D56)*'Light Vehicle Supporting Data'!H$164</f>
        <v>5343.0324700425199</v>
      </c>
      <c r="I152" s="43">
        <f>('[6]17_18 fleet_v3'!$D66+'[6]17_18 fleet_v3'!$D81)*'Light Vehicle Supporting Data'!I$164</f>
        <v>9136.1396481732063</v>
      </c>
      <c r="J152" s="43">
        <f>('[7]18_19 fleet_v3'!$D66+'[7]18_19 fleet_v3'!$D81)*'Light Vehicle Supporting Data'!J$164</f>
        <v>9999.0764825655388</v>
      </c>
      <c r="K152" s="43">
        <f t="shared" si="61"/>
        <v>11891.907016645009</v>
      </c>
      <c r="L152" s="43">
        <f t="shared" si="61"/>
        <v>30997.081564926655</v>
      </c>
      <c r="M152" s="43">
        <f t="shared" si="61"/>
        <v>52033.196869261461</v>
      </c>
      <c r="N152" s="43">
        <f t="shared" si="61"/>
        <v>74660.982200064042</v>
      </c>
      <c r="O152" s="43">
        <f t="shared" si="61"/>
        <v>98980.428682246231</v>
      </c>
      <c r="P152" s="56">
        <f t="shared" si="61"/>
        <v>124663.09419895652</v>
      </c>
      <c r="Q152" s="56">
        <f t="shared" si="61"/>
        <v>151883.47267806905</v>
      </c>
      <c r="R152" s="57">
        <f t="shared" si="61"/>
        <v>180631.89195876269</v>
      </c>
      <c r="S152" s="56"/>
    </row>
    <row r="153" spans="3:19" ht="16" x14ac:dyDescent="0.2">
      <c r="C153" s="24" t="s">
        <v>2</v>
      </c>
      <c r="D153" s="42">
        <f>('[1]12_13 fleet'!$D41+'[1]12_13 fleet'!$D56)*'Light Vehicle Supporting Data'!D$164</f>
        <v>342.0875688132121</v>
      </c>
      <c r="E153" s="43">
        <f>('[2]13_14 fleet'!$D42+'[2]13_14 fleet'!$D57)*'Light Vehicle Supporting Data'!E$164</f>
        <v>329.08291330645159</v>
      </c>
      <c r="F153" s="43">
        <f>('[3]14_15 fleet'!$D42+'[3]14_15 fleet'!$D57)*'Light Vehicle Supporting Data'!F$164</f>
        <v>330.07775683317624</v>
      </c>
      <c r="G153" s="43">
        <f>('[4]15_16 fleet'!$D42+'[4]15_16 fleet'!$D57)*'Light Vehicle Supporting Data'!G$164</f>
        <v>360.07301490721017</v>
      </c>
      <c r="H153" s="43">
        <f>('[5]16_17 fleet_v2'!$D42+'[5]16_17 fleet_v2'!$D57)*'Light Vehicle Supporting Data'!H$164</f>
        <v>428.08272129880169</v>
      </c>
      <c r="I153" s="43">
        <f>('[6]17_18 fleet_v3'!$D67+'[6]17_18 fleet_v3'!$D82)*'Light Vehicle Supporting Data'!I$164</f>
        <v>654.22895805142082</v>
      </c>
      <c r="J153" s="43">
        <f>('[7]18_19 fleet_v3'!$D67+'[7]18_19 fleet_v3'!$D82)*'Light Vehicle Supporting Data'!J$164</f>
        <v>753.67816238228556</v>
      </c>
      <c r="K153" s="43">
        <f t="shared" si="61"/>
        <v>871.75989635725227</v>
      </c>
      <c r="L153" s="43">
        <f t="shared" si="61"/>
        <v>7809.6550144510484</v>
      </c>
      <c r="M153" s="43">
        <f t="shared" si="61"/>
        <v>15264.801455484276</v>
      </c>
      <c r="N153" s="43">
        <f t="shared" si="61"/>
        <v>23059.461748501319</v>
      </c>
      <c r="O153" s="43">
        <f t="shared" si="61"/>
        <v>31179.934156130206</v>
      </c>
      <c r="P153" s="56">
        <f t="shared" si="61"/>
        <v>39570.323981011599</v>
      </c>
      <c r="Q153" s="56">
        <f t="shared" si="61"/>
        <v>48173.690828418672</v>
      </c>
      <c r="R153" s="57">
        <f t="shared" si="61"/>
        <v>56976.438274129323</v>
      </c>
      <c r="S153" s="56"/>
    </row>
    <row r="154" spans="3:19" ht="16" x14ac:dyDescent="0.2">
      <c r="C154" s="24" t="s">
        <v>3</v>
      </c>
      <c r="D154" s="42">
        <f>('[1]12_13 fleet'!$D42+'[1]12_13 fleet'!$D57)*'Light Vehicle Supporting Data'!D$164</f>
        <v>316.08091153501471</v>
      </c>
      <c r="E154" s="43">
        <f>('[2]13_14 fleet'!$D43+'[2]13_14 fleet'!$D58)*'Light Vehicle Supporting Data'!E$164</f>
        <v>288.07258064516128</v>
      </c>
      <c r="F154" s="43">
        <f>('[3]14_15 fleet'!$D43+'[3]14_15 fleet'!$D58)*'Light Vehicle Supporting Data'!F$164</f>
        <v>297.06998114985862</v>
      </c>
      <c r="G154" s="43">
        <f>('[4]15_16 fleet'!$D43+'[4]15_16 fleet'!$D58)*'Light Vehicle Supporting Data'!G$164</f>
        <v>313.06348240543554</v>
      </c>
      <c r="H154" s="43">
        <f>('[5]16_17 fleet_v2'!$D43+'[5]16_17 fleet_v2'!$D58)*'Light Vehicle Supporting Data'!H$164</f>
        <v>347.0670660997294</v>
      </c>
      <c r="I154" s="43">
        <f>('[6]17_18 fleet_v3'!$D68+'[6]17_18 fleet_v3'!$D83)*'Light Vehicle Supporting Data'!I$164</f>
        <v>552.52990527740189</v>
      </c>
      <c r="J154" s="43">
        <f>('[7]18_19 fleet_v3'!$D68+'[7]18_19 fleet_v3'!$D83)*'Light Vehicle Supporting Data'!J$164</f>
        <v>595.39526597098495</v>
      </c>
      <c r="K154" s="43">
        <f t="shared" si="61"/>
        <v>686.54745492634459</v>
      </c>
      <c r="L154" s="43">
        <f t="shared" si="61"/>
        <v>5392.7255018598635</v>
      </c>
      <c r="M154" s="43">
        <f t="shared" si="61"/>
        <v>10386.17348003326</v>
      </c>
      <c r="N154" s="43">
        <f t="shared" si="61"/>
        <v>15537.204418095218</v>
      </c>
      <c r="O154" s="43">
        <f t="shared" si="61"/>
        <v>20837.037082632378</v>
      </c>
      <c r="P154" s="56">
        <f t="shared" si="61"/>
        <v>26241.065872435702</v>
      </c>
      <c r="Q154" s="56">
        <f t="shared" si="61"/>
        <v>31713.012439780949</v>
      </c>
      <c r="R154" s="57">
        <f t="shared" si="61"/>
        <v>37242.400578977366</v>
      </c>
      <c r="S154" s="56"/>
    </row>
    <row r="155" spans="3:19" ht="16" x14ac:dyDescent="0.2">
      <c r="C155" s="24" t="s">
        <v>4</v>
      </c>
      <c r="D155" s="42">
        <f>('[1]12_13 fleet'!$D43+'[1]12_13 fleet'!$D58)*'Light Vehicle Supporting Data'!D$164</f>
        <v>41.010498015619</v>
      </c>
      <c r="E155" s="43">
        <f>('[2]13_14 fleet'!$D44+'[2]13_14 fleet'!$D59)*'Light Vehicle Supporting Data'!E$164</f>
        <v>44.011088709677416</v>
      </c>
      <c r="F155" s="43">
        <f>('[3]14_15 fleet'!$D44+'[3]14_15 fleet'!$D59)*'Light Vehicle Supporting Data'!F$164</f>
        <v>38.008953817153632</v>
      </c>
      <c r="G155" s="43">
        <f>('[4]15_16 fleet'!$D44+'[4]15_16 fleet'!$D59)*'Light Vehicle Supporting Data'!G$164</f>
        <v>36.007301490721019</v>
      </c>
      <c r="H155" s="43">
        <f>('[5]16_17 fleet_v2'!$D44+'[5]16_17 fleet_v2'!$D59)*'Light Vehicle Supporting Data'!H$164</f>
        <v>37.007151140316964</v>
      </c>
      <c r="I155" s="43">
        <f>('[6]17_18 fleet_v3'!$D69+'[6]17_18 fleet_v3'!$D84)*'Light Vehicle Supporting Data'!I$164</f>
        <v>38.792422192151555</v>
      </c>
      <c r="J155" s="43">
        <f>('[7]18_19 fleet_v3'!$D69+'[7]18_19 fleet_v3'!$D84)*'Light Vehicle Supporting Data'!J$164</f>
        <v>34.591626368032578</v>
      </c>
      <c r="K155" s="43">
        <f t="shared" si="61"/>
        <v>39.104241950756439</v>
      </c>
      <c r="L155" s="43">
        <f t="shared" si="61"/>
        <v>479.74361851787461</v>
      </c>
      <c r="M155" s="43">
        <f t="shared" si="61"/>
        <v>927.56109319805853</v>
      </c>
      <c r="N155" s="43">
        <f t="shared" si="61"/>
        <v>1367.900625578555</v>
      </c>
      <c r="O155" s="43">
        <f t="shared" si="61"/>
        <v>1800.1949052445361</v>
      </c>
      <c r="P155" s="56">
        <f t="shared" si="61"/>
        <v>2221.1326560756429</v>
      </c>
      <c r="Q155" s="56">
        <f t="shared" si="61"/>
        <v>2627.0604021322793</v>
      </c>
      <c r="R155" s="57">
        <f t="shared" si="61"/>
        <v>3017.4761490528695</v>
      </c>
      <c r="S155" s="56"/>
    </row>
    <row r="156" spans="3:19" ht="16" x14ac:dyDescent="0.2">
      <c r="C156" s="24" t="s">
        <v>5</v>
      </c>
      <c r="D156" s="42">
        <f>('[1]12_13 fleet'!$D44+'[1]12_13 fleet'!$D59)*'Light Vehicle Supporting Data'!D$164</f>
        <v>173.04429650492895</v>
      </c>
      <c r="E156" s="43">
        <f>('[2]13_14 fleet'!$D45+'[2]13_14 fleet'!$D60)*'Light Vehicle Supporting Data'!E$164</f>
        <v>178.04485887096774</v>
      </c>
      <c r="F156" s="43">
        <f>('[3]14_15 fleet'!$D45+'[3]14_15 fleet'!$D60)*'Light Vehicle Supporting Data'!F$164</f>
        <v>183.04311969839773</v>
      </c>
      <c r="G156" s="43">
        <f>('[4]15_16 fleet'!$D45+'[4]15_16 fleet'!$D60)*'Light Vehicle Supporting Data'!G$164</f>
        <v>206.04178075245918</v>
      </c>
      <c r="H156" s="43">
        <f>('[5]16_17 fleet_v2'!$D45+'[5]16_17 fleet_v2'!$D60)*'Light Vehicle Supporting Data'!H$164</f>
        <v>253.04889833784304</v>
      </c>
      <c r="I156" s="43">
        <f>('[6]17_18 fleet_v3'!$D70+'[6]17_18 fleet_v3'!$D85)*'Light Vehicle Supporting Data'!I$164</f>
        <v>257.9171853856563</v>
      </c>
      <c r="J156" s="43">
        <f>('[7]18_19 fleet_v3'!$D70+'[7]18_19 fleet_v3'!$D85)*'Light Vehicle Supporting Data'!J$164</f>
        <v>250.5272333927208</v>
      </c>
      <c r="K156" s="43">
        <f t="shared" si="61"/>
        <v>283.22326456351573</v>
      </c>
      <c r="L156" s="43">
        <f t="shared" si="61"/>
        <v>2036.9350062974274</v>
      </c>
      <c r="M156" s="43">
        <f t="shared" si="61"/>
        <v>3822.6234581225294</v>
      </c>
      <c r="N156" s="43">
        <f t="shared" si="61"/>
        <v>5592.4207494605889</v>
      </c>
      <c r="O156" s="43">
        <f t="shared" si="61"/>
        <v>7337.9252821684631</v>
      </c>
      <c r="P156" s="56">
        <f t="shared" si="61"/>
        <v>9044.7014012393247</v>
      </c>
      <c r="Q156" s="56">
        <f t="shared" si="61"/>
        <v>10701.439776255396</v>
      </c>
      <c r="R156" s="57">
        <f t="shared" si="61"/>
        <v>12305.992054748742</v>
      </c>
      <c r="S156" s="56"/>
    </row>
    <row r="157" spans="3:19" ht="16" x14ac:dyDescent="0.2">
      <c r="C157" s="24" t="s">
        <v>6</v>
      </c>
      <c r="D157" s="42">
        <f>('[1]12_13 fleet'!$D45+'[1]12_13 fleet'!$D60)*'Light Vehicle Supporting Data'!D$164</f>
        <v>83.021252080399435</v>
      </c>
      <c r="E157" s="43">
        <f>('[2]13_14 fleet'!$D46+'[2]13_14 fleet'!$D61)*'Light Vehicle Supporting Data'!E$164</f>
        <v>89.022429435483872</v>
      </c>
      <c r="F157" s="43">
        <f>('[3]14_15 fleet'!$D46+'[3]14_15 fleet'!$D61)*'Light Vehicle Supporting Data'!F$164</f>
        <v>86.020263901979263</v>
      </c>
      <c r="G157" s="43">
        <f>('[4]15_16 fleet'!$D46+'[4]15_16 fleet'!$D61)*'Light Vehicle Supporting Data'!G$164</f>
        <v>82.01663117330898</v>
      </c>
      <c r="H157" s="43">
        <f>('[5]16_17 fleet_v2'!$D46+'[5]16_17 fleet_v2'!$D61)*'Light Vehicle Supporting Data'!H$164</f>
        <v>92.017781213761111</v>
      </c>
      <c r="I157" s="43">
        <f>('[6]17_18 fleet_v3'!$D71+'[6]17_18 fleet_v3'!$D86)*'Light Vehicle Supporting Data'!I$164</f>
        <v>98.553721244925569</v>
      </c>
      <c r="J157" s="43">
        <f>('[7]18_19 fleet_v3'!$D71+'[7]18_19 fleet_v3'!$D86)*'Light Vehicle Supporting Data'!J$164</f>
        <v>102.72664800203614</v>
      </c>
      <c r="K157" s="43">
        <f t="shared" si="61"/>
        <v>116.87609825067567</v>
      </c>
      <c r="L157" s="43">
        <f t="shared" si="61"/>
        <v>1240.5358364524145</v>
      </c>
      <c r="M157" s="43">
        <f t="shared" si="61"/>
        <v>2409.7450674416782</v>
      </c>
      <c r="N157" s="43">
        <f t="shared" si="61"/>
        <v>3598.3321722604724</v>
      </c>
      <c r="O157" s="43">
        <f t="shared" si="61"/>
        <v>4804.9875430539887</v>
      </c>
      <c r="P157" s="56">
        <f t="shared" si="61"/>
        <v>6018.1953746418649</v>
      </c>
      <c r="Q157" s="56">
        <f t="shared" si="61"/>
        <v>7227.8124510047219</v>
      </c>
      <c r="R157" s="57">
        <f t="shared" si="61"/>
        <v>8431.2777271650048</v>
      </c>
      <c r="S157" s="56"/>
    </row>
    <row r="158" spans="3:19" ht="16" x14ac:dyDescent="0.2">
      <c r="C158" s="24" t="s">
        <v>7</v>
      </c>
      <c r="D158" s="42">
        <f>('[1]12_13 fleet'!$D46+'[1]12_13 fleet'!$D61)*'Light Vehicle Supporting Data'!D$164</f>
        <v>156.03994366918448</v>
      </c>
      <c r="E158" s="43">
        <f>('[2]13_14 fleet'!$D47+'[2]13_14 fleet'!$D62)*'Light Vehicle Supporting Data'!E$164</f>
        <v>150.03780241935485</v>
      </c>
      <c r="F158" s="43">
        <f>('[3]14_15 fleet'!$D47+'[3]14_15 fleet'!$D62)*'Light Vehicle Supporting Data'!F$164</f>
        <v>149.03510838831292</v>
      </c>
      <c r="G158" s="43">
        <f>('[4]15_16 fleet'!$D47+'[4]15_16 fleet'!$D62)*'Light Vehicle Supporting Data'!G$164</f>
        <v>159.03224825068449</v>
      </c>
      <c r="H158" s="43">
        <f>('[5]16_17 fleet_v2'!$D47+'[5]16_17 fleet_v2'!$D62)*'Light Vehicle Supporting Data'!H$164</f>
        <v>168.03247004252029</v>
      </c>
      <c r="I158" s="43">
        <f>('[6]17_18 fleet_v3'!$D72+'[6]17_18 fleet_v3'!$D87)*'Light Vehicle Supporting Data'!I$164</f>
        <v>214.93098782138026</v>
      </c>
      <c r="J158" s="43">
        <f>('[7]18_19 fleet_v3'!$D72+'[7]18_19 fleet_v3'!$D87)*'Light Vehicle Supporting Data'!J$164</f>
        <v>229.56261135148893</v>
      </c>
      <c r="K158" s="43">
        <f t="shared" si="61"/>
        <v>258.72503940588922</v>
      </c>
      <c r="L158" s="43">
        <f t="shared" si="61"/>
        <v>2897.8301350416809</v>
      </c>
      <c r="M158" s="43">
        <f t="shared" si="61"/>
        <v>5577.6110848008493</v>
      </c>
      <c r="N158" s="43">
        <f t="shared" si="61"/>
        <v>8226.4536049074122</v>
      </c>
      <c r="O158" s="43">
        <f t="shared" si="61"/>
        <v>10830.980233990931</v>
      </c>
      <c r="P158" s="56">
        <f t="shared" si="61"/>
        <v>13373.289614787498</v>
      </c>
      <c r="Q158" s="56">
        <f t="shared" si="61"/>
        <v>15831.475940148677</v>
      </c>
      <c r="R158" s="57">
        <f t="shared" si="61"/>
        <v>18202.255230688079</v>
      </c>
      <c r="S158" s="56"/>
    </row>
    <row r="159" spans="3:19" ht="16" x14ac:dyDescent="0.2">
      <c r="C159" s="24" t="s">
        <v>8</v>
      </c>
      <c r="D159" s="42">
        <f>('[1]12_13 fleet'!$D47+'[1]12_13 fleet'!$D62)*'Light Vehicle Supporting Data'!D$164</f>
        <v>1306.3344002048393</v>
      </c>
      <c r="E159" s="43">
        <f>('[2]13_14 fleet'!$D48+'[2]13_14 fleet'!$D63)*'Light Vehicle Supporting Data'!E$164</f>
        <v>1327.3344254032259</v>
      </c>
      <c r="F159" s="43">
        <f>('[3]14_15 fleet'!$D48+'[3]14_15 fleet'!$D63)*'Light Vehicle Supporting Data'!F$164</f>
        <v>1370.3228086710651</v>
      </c>
      <c r="G159" s="43">
        <f>('[4]15_16 fleet'!$D48+'[4]15_16 fleet'!$D63)*'Light Vehicle Supporting Data'!G$164</f>
        <v>1575.3194402190445</v>
      </c>
      <c r="H159" s="43">
        <f>('[5]16_17 fleet_v2'!$D48+'[5]16_17 fleet_v2'!$D63)*'Light Vehicle Supporting Data'!H$164</f>
        <v>1555.3005411673753</v>
      </c>
      <c r="I159" s="43">
        <f>('[6]17_18 fleet_v3'!$D73+'[6]17_18 fleet_v3'!$D88)*'Light Vehicle Supporting Data'!I$164</f>
        <v>2672.4833558863329</v>
      </c>
      <c r="J159" s="43">
        <f>('[7]18_19 fleet_v3'!$D73+'[7]18_19 fleet_v3'!$D88)*'Light Vehicle Supporting Data'!J$164</f>
        <v>2972.7834054466784</v>
      </c>
      <c r="K159" s="43">
        <f t="shared" si="61"/>
        <v>3392.9896238736196</v>
      </c>
      <c r="L159" s="43">
        <f t="shared" si="61"/>
        <v>8660.0070087043787</v>
      </c>
      <c r="M159" s="43">
        <f t="shared" si="61"/>
        <v>14096.370823419873</v>
      </c>
      <c r="N159" s="43">
        <f t="shared" si="61"/>
        <v>19611.719638180708</v>
      </c>
      <c r="O159" s="43">
        <f t="shared" si="61"/>
        <v>25208.472616394349</v>
      </c>
      <c r="P159" s="56">
        <f t="shared" si="61"/>
        <v>30766.049381392113</v>
      </c>
      <c r="Q159" s="56">
        <f t="shared" si="61"/>
        <v>36319.216863337584</v>
      </c>
      <c r="R159" s="57">
        <f t="shared" si="61"/>
        <v>41860.650115433658</v>
      </c>
      <c r="S159" s="56"/>
    </row>
    <row r="160" spans="3:19" ht="16" x14ac:dyDescent="0.2">
      <c r="C160" s="24" t="s">
        <v>9</v>
      </c>
      <c r="D160" s="42">
        <f>('[1]12_13 fleet'!$D48+'[1]12_13 fleet'!$D63)*'Light Vehicle Supporting Data'!D$164</f>
        <v>166.04250416079887</v>
      </c>
      <c r="E160" s="43">
        <f>('[2]13_14 fleet'!$D49+'[2]13_14 fleet'!$D64)*'Light Vehicle Supporting Data'!E$164</f>
        <v>146.03679435483872</v>
      </c>
      <c r="F160" s="43">
        <f>('[3]14_15 fleet'!$D49+'[3]14_15 fleet'!$D64)*'Light Vehicle Supporting Data'!F$164</f>
        <v>150.03534401508011</v>
      </c>
      <c r="G160" s="43">
        <f>('[4]15_16 fleet'!$D49+'[4]15_16 fleet'!$D64)*'Light Vehicle Supporting Data'!G$164</f>
        <v>154.03123415475102</v>
      </c>
      <c r="H160" s="43">
        <f>('[5]16_17 fleet_v2'!$D49+'[5]16_17 fleet_v2'!$D64)*'Light Vehicle Supporting Data'!H$164</f>
        <v>183.03536915345958</v>
      </c>
      <c r="I160" s="43">
        <f>('[6]17_18 fleet_v3'!$D74+'[6]17_18 fleet_v3'!$D89)*'Light Vehicle Supporting Data'!I$164</f>
        <v>224.36698240866036</v>
      </c>
      <c r="J160" s="43">
        <f>('[7]18_19 fleet_v3'!$D74+'[7]18_19 fleet_v3'!$D89)*'Light Vehicle Supporting Data'!J$164</f>
        <v>238.99669127004327</v>
      </c>
      <c r="K160" s="43">
        <f t="shared" si="61"/>
        <v>271.76990758536868</v>
      </c>
      <c r="L160" s="43">
        <f t="shared" si="61"/>
        <v>2667.9996866795291</v>
      </c>
      <c r="M160" s="43">
        <f t="shared" si="61"/>
        <v>5146.2717804666772</v>
      </c>
      <c r="N160" s="43">
        <f t="shared" si="61"/>
        <v>7635.1760940437716</v>
      </c>
      <c r="O160" s="43">
        <f t="shared" si="61"/>
        <v>10106.943622682873</v>
      </c>
      <c r="P160" s="56">
        <f t="shared" si="61"/>
        <v>12552.849923814003</v>
      </c>
      <c r="Q160" s="56">
        <f t="shared" si="61"/>
        <v>14952.878723642807</v>
      </c>
      <c r="R160" s="57">
        <f t="shared" si="61"/>
        <v>17302.941923719296</v>
      </c>
      <c r="S160" s="56"/>
    </row>
    <row r="161" spans="3:19" ht="16" x14ac:dyDescent="0.2">
      <c r="C161" s="24" t="s">
        <v>10</v>
      </c>
      <c r="D161" s="42">
        <f>('[1]12_13 fleet'!$D49+'[1]12_13 fleet'!$D64)*'Light Vehicle Supporting Data'!D$164</f>
        <v>29.007425425681731</v>
      </c>
      <c r="E161" s="43">
        <f>('[2]13_14 fleet'!$D50+'[2]13_14 fleet'!$D65)*'Light Vehicle Supporting Data'!E$164</f>
        <v>27.006804435483872</v>
      </c>
      <c r="F161" s="43">
        <f>('[3]14_15 fleet'!$D50+'[3]14_15 fleet'!$D65)*'Light Vehicle Supporting Data'!F$164</f>
        <v>29.006833176248822</v>
      </c>
      <c r="G161" s="43">
        <f>('[4]15_16 fleet'!$D50+'[4]15_16 fleet'!$D65)*'Light Vehicle Supporting Data'!G$164</f>
        <v>32.006490213974239</v>
      </c>
      <c r="H161" s="43">
        <f>('[5]16_17 fleet_v2'!$D50+'[5]16_17 fleet_v2'!$D65)*'Light Vehicle Supporting Data'!H$164</f>
        <v>35.006764592191722</v>
      </c>
      <c r="I161" s="43">
        <f>('[6]17_18 fleet_v3'!$D75+'[6]17_18 fleet_v3'!$D90)*'Light Vehicle Supporting Data'!I$164</f>
        <v>36.695534506089309</v>
      </c>
      <c r="J161" s="43">
        <f>('[7]18_19 fleet_v3'!$D75+'[7]18_19 fleet_v3'!$D90)*'Light Vehicle Supporting Data'!J$164</f>
        <v>38.784550776278955</v>
      </c>
      <c r="K161" s="43">
        <f t="shared" si="61"/>
        <v>43.30082854848321</v>
      </c>
      <c r="L161" s="43">
        <f t="shared" si="61"/>
        <v>442.02745080223769</v>
      </c>
      <c r="M161" s="43">
        <f t="shared" si="61"/>
        <v>832.5443538763717</v>
      </c>
      <c r="N161" s="43">
        <f t="shared" si="61"/>
        <v>1203.9549117953413</v>
      </c>
      <c r="O161" s="43">
        <f t="shared" si="61"/>
        <v>1556.5219322077262</v>
      </c>
      <c r="P161" s="56">
        <f t="shared" si="61"/>
        <v>1887.6280191929338</v>
      </c>
      <c r="Q161" s="56">
        <f t="shared" si="61"/>
        <v>2195.2438284587442</v>
      </c>
      <c r="R161" s="57">
        <f t="shared" si="61"/>
        <v>2479.9111285420854</v>
      </c>
      <c r="S161" s="56"/>
    </row>
    <row r="162" spans="3:19" ht="16" x14ac:dyDescent="0.2">
      <c r="C162" s="24" t="s">
        <v>11</v>
      </c>
      <c r="D162" s="42">
        <f>('[1]12_13 fleet'!$D50+'[1]12_13 fleet'!$D65)*'Light Vehicle Supporting Data'!D$164</f>
        <v>913.23377288439372</v>
      </c>
      <c r="E162" s="43">
        <f>('[2]13_14 fleet'!$D51+'[2]13_14 fleet'!$D66)*'Light Vehicle Supporting Data'!E$164</f>
        <v>938.2363911290322</v>
      </c>
      <c r="F162" s="43">
        <f>('[3]14_15 fleet'!$D51+'[3]14_15 fleet'!$D66)*'Light Vehicle Supporting Data'!F$164</f>
        <v>991.23350612629599</v>
      </c>
      <c r="G162" s="43">
        <f>('[4]15_16 fleet'!$D51+'[4]15_16 fleet'!$D66)*'Light Vehicle Supporting Data'!G$164</f>
        <v>1010.2048473785619</v>
      </c>
      <c r="H162" s="43">
        <f>('[5]16_17 fleet_v2'!$D51+'[5]16_17 fleet_v2'!$D66)*'Light Vehicle Supporting Data'!H$164</f>
        <v>1099.2124081948202</v>
      </c>
      <c r="I162" s="43">
        <f>('[6]17_18 fleet_v3'!$D76+'[6]17_18 fleet_v3'!$D91)*'Light Vehicle Supporting Data'!I$164</f>
        <v>2123.0987821380245</v>
      </c>
      <c r="J162" s="43">
        <f>('[7]18_19 fleet_v3'!$D76+'[7]18_19 fleet_v3'!$D91)*'Light Vehicle Supporting Data'!J$164</f>
        <v>2432.9443878849579</v>
      </c>
      <c r="K162" s="43">
        <f t="shared" si="61"/>
        <v>2831.6900869014507</v>
      </c>
      <c r="L162" s="43">
        <f t="shared" si="61"/>
        <v>12895.710356888485</v>
      </c>
      <c r="M162" s="43">
        <f t="shared" si="61"/>
        <v>23749.774720540143</v>
      </c>
      <c r="N162" s="43">
        <f t="shared" si="61"/>
        <v>35185.484416515872</v>
      </c>
      <c r="O162" s="43">
        <f t="shared" si="61"/>
        <v>47192.446170155803</v>
      </c>
      <c r="P162" s="56">
        <f t="shared" si="61"/>
        <v>59649.927515202522</v>
      </c>
      <c r="Q162" s="56">
        <f t="shared" si="61"/>
        <v>72529.448396835753</v>
      </c>
      <c r="R162" s="57">
        <f t="shared" si="61"/>
        <v>85818.168703841031</v>
      </c>
      <c r="S162" s="56"/>
    </row>
    <row r="163" spans="3:19" ht="16" x14ac:dyDescent="0.2">
      <c r="C163" s="24" t="s">
        <v>12</v>
      </c>
      <c r="D163" s="42">
        <f>('[1]12_13 fleet'!$D51+'[1]12_13 fleet'!$D66)*'Light Vehicle Supporting Data'!D$164</f>
        <v>478.1223914991678</v>
      </c>
      <c r="E163" s="43">
        <f>('[2]13_14 fleet'!$D52+'[2]13_14 fleet'!$D67)*'Light Vehicle Supporting Data'!E$164</f>
        <v>486.12247983870969</v>
      </c>
      <c r="F163" s="43">
        <f>('[3]14_15 fleet'!$D52+'[3]14_15 fleet'!$D67)*'Light Vehicle Supporting Data'!F$164</f>
        <v>502.11828463713482</v>
      </c>
      <c r="G163" s="43">
        <f>('[4]15_16 fleet'!$D52+'[4]15_16 fleet'!$D67)*'Light Vehicle Supporting Data'!G$164</f>
        <v>515.10445188114795</v>
      </c>
      <c r="H163" s="43">
        <f>('[5]16_17 fleet_v2'!$D52+'[5]16_17 fleet_v2'!$D67)*'Light Vehicle Supporting Data'!H$164</f>
        <v>573.11074603788165</v>
      </c>
      <c r="I163" s="43">
        <f>('[6]17_18 fleet_v3'!$D77+'[6]17_18 fleet_v3'!$D92)*'Light Vehicle Supporting Data'!I$164</f>
        <v>702.45737483085247</v>
      </c>
      <c r="J163" s="43">
        <f>('[7]18_19 fleet_v3'!$D77+'[7]18_19 fleet_v3'!$D92)*'Light Vehicle Supporting Data'!J$164</f>
        <v>814.47556630185795</v>
      </c>
      <c r="K163" s="43">
        <f t="shared" si="61"/>
        <v>936.85435731309849</v>
      </c>
      <c r="L163" s="43">
        <f t="shared" si="61"/>
        <v>3629.631251823736</v>
      </c>
      <c r="M163" s="43">
        <f t="shared" si="61"/>
        <v>6444.9716901249531</v>
      </c>
      <c r="N163" s="43">
        <f t="shared" si="61"/>
        <v>9328.5547712538701</v>
      </c>
      <c r="O163" s="43">
        <f t="shared" si="61"/>
        <v>12276.492419351958</v>
      </c>
      <c r="P163" s="56">
        <f t="shared" si="61"/>
        <v>15246.522179012198</v>
      </c>
      <c r="Q163" s="56">
        <f t="shared" si="61"/>
        <v>18235.333865941338</v>
      </c>
      <c r="R163" s="57">
        <f t="shared" si="61"/>
        <v>21238.207846588644</v>
      </c>
      <c r="S163" s="56"/>
    </row>
    <row r="164" spans="3:19" ht="17" thickBot="1" x14ac:dyDescent="0.25">
      <c r="C164" s="25" t="s">
        <v>13</v>
      </c>
      <c r="D164" s="45">
        <f>('[1]12_13 fleet'!$D52+'[1]12_13 fleet'!$D67)*'Light Vehicle Supporting Data'!D$164</f>
        <v>96.024580719498147</v>
      </c>
      <c r="E164" s="46">
        <f>('[2]13_14 fleet'!$D53+'[2]13_14 fleet'!$D68)*'Light Vehicle Supporting Data'!E$164</f>
        <v>95.023941532258064</v>
      </c>
      <c r="F164" s="46">
        <f>('[3]14_15 fleet'!$D53+'[3]14_15 fleet'!$D68)*'Light Vehicle Supporting Data'!F$164</f>
        <v>97.022855796418483</v>
      </c>
      <c r="G164" s="46">
        <f>('[4]15_16 fleet'!$D53+'[4]15_16 fleet'!$D68)*'Light Vehicle Supporting Data'!G$164</f>
        <v>101.02048473785619</v>
      </c>
      <c r="H164" s="46">
        <f>('[5]16_17 fleet_v2'!$D53+'[5]16_17 fleet_v2'!$D68)*'Light Vehicle Supporting Data'!H$164</f>
        <v>100.01932740626206</v>
      </c>
      <c r="I164" s="46">
        <f>('[6]17_18 fleet_v3'!$D78+'[6]17_18 fleet_v3'!$D93)*'Light Vehicle Supporting Data'!I$164</f>
        <v>115.32882273342355</v>
      </c>
      <c r="J164" s="46">
        <f>('[7]18_19 fleet_v3'!$D78+'[7]18_19 fleet_v3'!$D93)*'Light Vehicle Supporting Data'!J$164</f>
        <v>118.45011453296004</v>
      </c>
      <c r="K164" s="46">
        <f t="shared" si="61"/>
        <v>132.89839553486789</v>
      </c>
      <c r="L164" s="46">
        <f t="shared" si="61"/>
        <v>1377.9474782492841</v>
      </c>
      <c r="M164" s="46">
        <f t="shared" si="61"/>
        <v>2628.1408713714104</v>
      </c>
      <c r="N164" s="46">
        <f t="shared" si="61"/>
        <v>3850.143634351864</v>
      </c>
      <c r="O164" s="46">
        <f t="shared" si="61"/>
        <v>5040.0186633619023</v>
      </c>
      <c r="P164" s="59">
        <f t="shared" si="61"/>
        <v>6188.6548127519809</v>
      </c>
      <c r="Q164" s="59">
        <f t="shared" si="61"/>
        <v>7286.9374112067098</v>
      </c>
      <c r="R164" s="60">
        <f t="shared" si="61"/>
        <v>8334.1303290606866</v>
      </c>
      <c r="S164" s="56"/>
    </row>
    <row r="165" spans="3:19" ht="19" thickTop="1" thickBot="1" x14ac:dyDescent="0.25">
      <c r="C165" s="20" t="s">
        <v>24</v>
      </c>
      <c r="D165" s="48">
        <f t="shared" ref="D165:R165" si="62">SUM(D151:D164)</f>
        <v>7813</v>
      </c>
      <c r="E165" s="48">
        <f t="shared" si="62"/>
        <v>7938.0000000000009</v>
      </c>
      <c r="F165" s="48">
        <f t="shared" si="62"/>
        <v>8490</v>
      </c>
      <c r="G165" s="48">
        <f t="shared" si="62"/>
        <v>9863</v>
      </c>
      <c r="H165" s="48">
        <f t="shared" si="62"/>
        <v>10350</v>
      </c>
      <c r="I165" s="48">
        <f t="shared" si="62"/>
        <v>16979.548037889039</v>
      </c>
      <c r="J165" s="48">
        <f t="shared" ref="J165" si="63">SUM(J151:J164)</f>
        <v>18750.757953677781</v>
      </c>
      <c r="K165" s="48">
        <f t="shared" si="62"/>
        <v>21951.143467577454</v>
      </c>
      <c r="L165" s="48">
        <f t="shared" si="62"/>
        <v>82652.863864617335</v>
      </c>
      <c r="M165" s="48">
        <f t="shared" si="62"/>
        <v>147463.51841956153</v>
      </c>
      <c r="N165" s="48">
        <f t="shared" si="62"/>
        <v>215050.07711042592</v>
      </c>
      <c r="O165" s="48">
        <f t="shared" si="62"/>
        <v>285408.58099841559</v>
      </c>
      <c r="P165" s="62">
        <f t="shared" si="62"/>
        <v>357747.45716364594</v>
      </c>
      <c r="Q165" s="62">
        <f t="shared" si="62"/>
        <v>432055.11848068621</v>
      </c>
      <c r="R165" s="63">
        <f t="shared" si="62"/>
        <v>508255.82781115355</v>
      </c>
      <c r="S165" s="43"/>
    </row>
    <row r="166" spans="3:19" ht="19" thickTop="1" thickBot="1" x14ac:dyDescent="0.25">
      <c r="C166" s="31" t="s">
        <v>96</v>
      </c>
      <c r="D166" s="48">
        <f>SUM('[1]12_13 fleet'!$D$38:$D$67)</f>
        <v>7813</v>
      </c>
      <c r="E166" s="48">
        <f>SUM('[2]13_14 fleet'!$D$39:$D$68)</f>
        <v>7938</v>
      </c>
      <c r="F166" s="48">
        <f>SUM('[3]14_15 fleet'!$D$39:$D$68)</f>
        <v>8490</v>
      </c>
      <c r="G166" s="48">
        <f>SUM('[4]15_16 fleet'!$D$39:$D$68)</f>
        <v>9863</v>
      </c>
      <c r="H166" s="48">
        <f>SUM('[5]16_17 fleet_v2'!$D$39:$D$68)</f>
        <v>10350</v>
      </c>
      <c r="I166" s="48">
        <f>SUM('[6]17_18 fleet_v3'!$D$40:$D$69)</f>
        <v>7748</v>
      </c>
      <c r="J166" s="48">
        <f>SUM('[7]18_19 fleet_v3'!$D$40:$D$69)</f>
        <v>8237</v>
      </c>
      <c r="K166" s="62"/>
      <c r="L166" s="62"/>
      <c r="M166" s="62"/>
      <c r="N166" s="62"/>
      <c r="O166" s="62"/>
      <c r="P166" s="62"/>
      <c r="Q166" s="62"/>
      <c r="R166" s="63"/>
      <c r="S166" s="56"/>
    </row>
    <row r="167" spans="3:19" ht="14" thickTop="1" x14ac:dyDescent="0.15"/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C3:AB167"/>
  <sheetViews>
    <sheetView topLeftCell="A130" zoomScale="90" zoomScaleNormal="90" workbookViewId="0">
      <selection activeCell="K151" sqref="K151"/>
    </sheetView>
  </sheetViews>
  <sheetFormatPr baseColWidth="10" defaultColWidth="8.83203125" defaultRowHeight="13" x14ac:dyDescent="0.15"/>
  <cols>
    <col min="3" max="3" width="27.6640625" customWidth="1"/>
    <col min="4" max="26" width="17.6640625" customWidth="1"/>
  </cols>
  <sheetData>
    <row r="3" spans="3:26" ht="14" thickBot="1" x14ac:dyDescent="0.2"/>
    <row r="4" spans="3:26" ht="17" thickTop="1" x14ac:dyDescent="0.2">
      <c r="C4" s="32" t="s">
        <v>162</v>
      </c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34"/>
      <c r="Q4" s="34"/>
      <c r="R4" s="35"/>
      <c r="S4" s="121"/>
      <c r="T4" s="32" t="s">
        <v>103</v>
      </c>
      <c r="U4" s="33"/>
      <c r="V4" s="33"/>
      <c r="W4" s="33"/>
      <c r="X4" s="34"/>
      <c r="Y4" s="34"/>
      <c r="Z4" s="35"/>
    </row>
    <row r="5" spans="3:26" ht="14" thickBot="1" x14ac:dyDescent="0.2">
      <c r="C5" s="36"/>
      <c r="D5" s="37" t="s">
        <v>25</v>
      </c>
      <c r="E5" s="37" t="s">
        <v>37</v>
      </c>
      <c r="F5" s="37" t="s">
        <v>38</v>
      </c>
      <c r="G5" s="37" t="s">
        <v>177</v>
      </c>
      <c r="H5" s="37" t="s">
        <v>178</v>
      </c>
      <c r="I5" s="37" t="s">
        <v>26</v>
      </c>
      <c r="J5" s="37"/>
      <c r="K5" s="37" t="s">
        <v>27</v>
      </c>
      <c r="L5" s="37" t="s">
        <v>28</v>
      </c>
      <c r="M5" s="37" t="s">
        <v>29</v>
      </c>
      <c r="N5" s="37" t="s">
        <v>30</v>
      </c>
      <c r="O5" s="37" t="s">
        <v>31</v>
      </c>
      <c r="P5" s="37" t="s">
        <v>174</v>
      </c>
      <c r="Q5" s="37" t="s">
        <v>175</v>
      </c>
      <c r="R5" s="38" t="s">
        <v>176</v>
      </c>
      <c r="S5" s="65"/>
      <c r="T5" s="36"/>
      <c r="U5" s="37" t="s">
        <v>25</v>
      </c>
      <c r="V5" s="37" t="s">
        <v>37</v>
      </c>
      <c r="W5" s="37" t="s">
        <v>38</v>
      </c>
      <c r="X5" s="37" t="s">
        <v>177</v>
      </c>
      <c r="Y5" s="37" t="s">
        <v>178</v>
      </c>
      <c r="Z5" s="38" t="s">
        <v>178</v>
      </c>
    </row>
    <row r="6" spans="3:26" ht="15" thickTop="1" thickBot="1" x14ac:dyDescent="0.2">
      <c r="C6" s="70"/>
      <c r="D6" s="65" t="s">
        <v>39</v>
      </c>
      <c r="E6" s="65" t="s">
        <v>39</v>
      </c>
      <c r="F6" s="65" t="s">
        <v>39</v>
      </c>
      <c r="G6" s="65" t="s">
        <v>39</v>
      </c>
      <c r="H6" s="65" t="s">
        <v>39</v>
      </c>
      <c r="I6" s="65" t="s">
        <v>39</v>
      </c>
      <c r="J6" s="65"/>
      <c r="K6" s="65" t="s">
        <v>32</v>
      </c>
      <c r="L6" s="65" t="s">
        <v>32</v>
      </c>
      <c r="M6" s="65" t="s">
        <v>32</v>
      </c>
      <c r="N6" s="65" t="s">
        <v>32</v>
      </c>
      <c r="O6" s="65" t="s">
        <v>32</v>
      </c>
      <c r="P6" s="65" t="s">
        <v>32</v>
      </c>
      <c r="Q6" s="65" t="s">
        <v>32</v>
      </c>
      <c r="R6" s="66" t="s">
        <v>32</v>
      </c>
      <c r="S6" s="65"/>
      <c r="T6" s="70"/>
      <c r="U6" s="65" t="s">
        <v>39</v>
      </c>
      <c r="V6" s="65" t="s">
        <v>39</v>
      </c>
      <c r="W6" s="65" t="s">
        <v>39</v>
      </c>
      <c r="X6" s="65" t="s">
        <v>39</v>
      </c>
      <c r="Y6" s="71" t="s">
        <v>39</v>
      </c>
      <c r="Z6" s="72" t="s">
        <v>39</v>
      </c>
    </row>
    <row r="7" spans="3:26" ht="17" thickTop="1" x14ac:dyDescent="0.2">
      <c r="C7" s="24" t="s">
        <v>0</v>
      </c>
      <c r="D7" s="52">
        <f>'Scaled 2012-13 Data'!$D6</f>
        <v>311.82149173383903</v>
      </c>
      <c r="E7" s="53">
        <f>'Scaled 2013-14 Data'!$D6</f>
        <v>335.41369774834118</v>
      </c>
      <c r="F7" s="53">
        <f>'Scaled 2014-15 Data'!$D6</f>
        <v>359.47402904530486</v>
      </c>
      <c r="G7" s="53">
        <f>'Scaled 2015-16 Data'!$D6</f>
        <v>380.50854846858238</v>
      </c>
      <c r="H7" s="53">
        <f>'Scaled 2016-17 Data'!$D6</f>
        <v>397.56138070693328</v>
      </c>
      <c r="I7" s="129">
        <f>'Scaled 2017-18 Data'!$D6</f>
        <v>450.15266424773461</v>
      </c>
      <c r="J7" s="129">
        <f>'Scaled 2018-19 Data'!$D6</f>
        <v>486.43489968832654</v>
      </c>
      <c r="K7" s="129">
        <f t="shared" ref="K7:O20" si="0">K49+K90+K131</f>
        <v>555.1080551883166</v>
      </c>
      <c r="L7" s="129">
        <f t="shared" si="0"/>
        <v>593.7671307503839</v>
      </c>
      <c r="M7" s="129">
        <f t="shared" si="0"/>
        <v>623.14535288874993</v>
      </c>
      <c r="N7" s="129">
        <f t="shared" si="0"/>
        <v>647.29608694534784</v>
      </c>
      <c r="O7" s="129">
        <f t="shared" si="0"/>
        <v>670.8096205507087</v>
      </c>
      <c r="P7" s="129">
        <f t="shared" ref="P7:R7" si="1">P49+P90+P131</f>
        <v>693.88417679187137</v>
      </c>
      <c r="Q7" s="129">
        <f t="shared" si="1"/>
        <v>714.35390868439958</v>
      </c>
      <c r="R7" s="197">
        <f t="shared" si="1"/>
        <v>731.47850428651111</v>
      </c>
      <c r="S7" s="56"/>
      <c r="T7" s="24" t="s">
        <v>0</v>
      </c>
      <c r="U7" s="52">
        <f>D49+'Vehicle Share Diversion Support'!D86+D131</f>
        <v>311.82149173383908</v>
      </c>
      <c r="V7" s="53">
        <f>E49+'Vehicle Share Diversion Support'!E86+E131</f>
        <v>335.41369774834124</v>
      </c>
      <c r="W7" s="53">
        <f>F49+'Vehicle Share Diversion Support'!F86+F131</f>
        <v>359.47402904530486</v>
      </c>
      <c r="X7" s="53">
        <f>G49+'Vehicle Share Diversion Support'!G86+G131</f>
        <v>380.50854846858238</v>
      </c>
      <c r="Y7" s="53">
        <f>H49+'Vehicle Share Diversion Support'!H86+H131</f>
        <v>397.56138070693333</v>
      </c>
      <c r="Z7" s="54">
        <f>I49+'Vehicle Share Diversion Support'!I86+I131</f>
        <v>450.15266424773461</v>
      </c>
    </row>
    <row r="8" spans="3:26" ht="16" x14ac:dyDescent="0.2">
      <c r="C8" s="24" t="s">
        <v>1</v>
      </c>
      <c r="D8" s="55">
        <f>'Scaled 2012-13 Data'!$D7</f>
        <v>1368.6272430920972</v>
      </c>
      <c r="E8" s="56">
        <f>'Scaled 2013-14 Data'!$D7</f>
        <v>1426.7194155047903</v>
      </c>
      <c r="F8" s="56">
        <f>'Scaled 2014-15 Data'!$D7</f>
        <v>1503.9178234037272</v>
      </c>
      <c r="G8" s="56">
        <f>'Scaled 2015-16 Data'!$D7</f>
        <v>1649.9989438473494</v>
      </c>
      <c r="H8" s="56">
        <f>'Scaled 2016-17 Data'!$D7</f>
        <v>1831.9769456754079</v>
      </c>
      <c r="I8" s="167">
        <f>'Scaled 2017-18 Data'!$D7</f>
        <v>1890.1778921379525</v>
      </c>
      <c r="J8" s="167">
        <f>'Scaled 2018-19 Data'!$D7</f>
        <v>2072.8153030440685</v>
      </c>
      <c r="K8" s="167">
        <f t="shared" si="0"/>
        <v>2460.5580558724214</v>
      </c>
      <c r="L8" s="167">
        <f t="shared" si="0"/>
        <v>2784.3333086917191</v>
      </c>
      <c r="M8" s="167">
        <f t="shared" si="0"/>
        <v>3075.2030492835283</v>
      </c>
      <c r="N8" s="167">
        <f t="shared" si="0"/>
        <v>3356.4782834444518</v>
      </c>
      <c r="O8" s="167">
        <f t="shared" si="0"/>
        <v>3656.3536289804129</v>
      </c>
      <c r="P8" s="167">
        <f t="shared" ref="P8:R8" si="2">P50+P91+P132</f>
        <v>3974.8828091163487</v>
      </c>
      <c r="Q8" s="167">
        <f t="shared" si="2"/>
        <v>4295.5926823242735</v>
      </c>
      <c r="R8" s="198">
        <f t="shared" si="2"/>
        <v>4608.8869072933039</v>
      </c>
      <c r="S8" s="56"/>
      <c r="T8" s="24" t="s">
        <v>1</v>
      </c>
      <c r="U8" s="55">
        <f>D50+'Vehicle Share Diversion Support'!D87+D132</f>
        <v>1368.6272430920969</v>
      </c>
      <c r="V8" s="56">
        <f>E50+'Vehicle Share Diversion Support'!E87+E132</f>
        <v>1426.7194155047905</v>
      </c>
      <c r="W8" s="56">
        <f>F50+'Vehicle Share Diversion Support'!F87+F132</f>
        <v>1503.9178234037274</v>
      </c>
      <c r="X8" s="172">
        <f>G50+'Vehicle Share Diversion Support'!G87+G132</f>
        <v>1649.9989438473494</v>
      </c>
      <c r="Y8" s="56">
        <f>H50+'Vehicle Share Diversion Support'!H87+H132</f>
        <v>1831.9769456754082</v>
      </c>
      <c r="Z8" s="57">
        <f>I50+'Vehicle Share Diversion Support'!I87+I132</f>
        <v>1890.1778921379525</v>
      </c>
    </row>
    <row r="9" spans="3:26" ht="16" x14ac:dyDescent="0.2">
      <c r="C9" s="24" t="s">
        <v>2</v>
      </c>
      <c r="D9" s="55">
        <f>'Scaled 2012-13 Data'!$D8</f>
        <v>875.01424041411758</v>
      </c>
      <c r="E9" s="56">
        <f>'Scaled 2013-14 Data'!$D8</f>
        <v>890.8735312277222</v>
      </c>
      <c r="F9" s="56">
        <f>'Scaled 2014-15 Data'!$D8</f>
        <v>971.23057092037072</v>
      </c>
      <c r="G9" s="56">
        <f>'Scaled 2015-16 Data'!$D8</f>
        <v>1036.514407274625</v>
      </c>
      <c r="H9" s="56">
        <f>'Scaled 2016-17 Data'!$D8</f>
        <v>1141.4768309784886</v>
      </c>
      <c r="I9" s="167">
        <f>'Scaled 2017-18 Data'!$D8</f>
        <v>1289.5838924290081</v>
      </c>
      <c r="J9" s="167">
        <f>'Scaled 2018-19 Data'!$D8</f>
        <v>1379.9908923840658</v>
      </c>
      <c r="K9" s="167">
        <f t="shared" si="0"/>
        <v>1598.4205998671112</v>
      </c>
      <c r="L9" s="167">
        <f t="shared" si="0"/>
        <v>1750.122719326617</v>
      </c>
      <c r="M9" s="167">
        <f t="shared" si="0"/>
        <v>1876.346123509421</v>
      </c>
      <c r="N9" s="167">
        <f t="shared" si="0"/>
        <v>1991.9444130960235</v>
      </c>
      <c r="O9" s="167">
        <f t="shared" si="0"/>
        <v>2112.5996609714734</v>
      </c>
      <c r="P9" s="167">
        <f t="shared" ref="P9:R9" si="3">P51+P92+P133</f>
        <v>2236.0981801645557</v>
      </c>
      <c r="Q9" s="167">
        <f t="shared" si="3"/>
        <v>2354.242534806735</v>
      </c>
      <c r="R9" s="198">
        <f t="shared" si="3"/>
        <v>2463.1890836002694</v>
      </c>
      <c r="S9" s="56"/>
      <c r="T9" s="24" t="s">
        <v>2</v>
      </c>
      <c r="U9" s="55">
        <f>D51+'Vehicle Share Diversion Support'!D88+D133</f>
        <v>875.01424041411769</v>
      </c>
      <c r="V9" s="56">
        <f>E51+'Vehicle Share Diversion Support'!E88+E133</f>
        <v>890.87353122772231</v>
      </c>
      <c r="W9" s="56">
        <f>F51+'Vehicle Share Diversion Support'!F88+F133</f>
        <v>971.23057092037072</v>
      </c>
      <c r="X9" s="172">
        <f>G51+'Vehicle Share Diversion Support'!G88+G133</f>
        <v>1036.514407274625</v>
      </c>
      <c r="Y9" s="56">
        <f>H51+'Vehicle Share Diversion Support'!H88+H133</f>
        <v>1141.4768309784886</v>
      </c>
      <c r="Z9" s="57">
        <f>I51+'Vehicle Share Diversion Support'!I88+I133</f>
        <v>1289.5838924290083</v>
      </c>
    </row>
    <row r="10" spans="3:26" ht="16" x14ac:dyDescent="0.2">
      <c r="C10" s="24" t="s">
        <v>3</v>
      </c>
      <c r="D10" s="55">
        <f>'Scaled 2012-13 Data'!$D9</f>
        <v>472.38960087048571</v>
      </c>
      <c r="E10" s="56">
        <f>'Scaled 2013-14 Data'!$D9</f>
        <v>502.98453697884111</v>
      </c>
      <c r="F10" s="56">
        <f>'Scaled 2014-15 Data'!$D9</f>
        <v>520.96875547306979</v>
      </c>
      <c r="G10" s="56">
        <f>'Scaled 2015-16 Data'!$D9</f>
        <v>551.43456595711041</v>
      </c>
      <c r="H10" s="56">
        <f>'Scaled 2016-17 Data'!$D9</f>
        <v>650.78731361289783</v>
      </c>
      <c r="I10" s="167">
        <f>'Scaled 2017-18 Data'!$D9</f>
        <v>679.68598330508132</v>
      </c>
      <c r="J10" s="167">
        <f>'Scaled 2018-19 Data'!$D9</f>
        <v>722.07545363982365</v>
      </c>
      <c r="K10" s="167">
        <f t="shared" si="0"/>
        <v>836.94488423136033</v>
      </c>
      <c r="L10" s="167">
        <f t="shared" si="0"/>
        <v>908.92298475547852</v>
      </c>
      <c r="M10" s="167">
        <f t="shared" si="0"/>
        <v>967.29753745890218</v>
      </c>
      <c r="N10" s="167">
        <f t="shared" si="0"/>
        <v>1018.992563499243</v>
      </c>
      <c r="O10" s="167">
        <f t="shared" si="0"/>
        <v>1072.4142364646668</v>
      </c>
      <c r="P10" s="167">
        <f t="shared" ref="P10:R10" si="4">P52+P93+P134</f>
        <v>1126.3574301122271</v>
      </c>
      <c r="Q10" s="167">
        <f t="shared" si="4"/>
        <v>1176.878802398825</v>
      </c>
      <c r="R10" s="198">
        <f t="shared" si="4"/>
        <v>1222.2203855113401</v>
      </c>
      <c r="S10" s="56"/>
      <c r="T10" s="24" t="s">
        <v>3</v>
      </c>
      <c r="U10" s="55">
        <f>D52+'Vehicle Share Diversion Support'!D89+D134</f>
        <v>472.38960087048571</v>
      </c>
      <c r="V10" s="56">
        <f>E52+'Vehicle Share Diversion Support'!E89+E134</f>
        <v>502.98453697884116</v>
      </c>
      <c r="W10" s="56">
        <f>F52+'Vehicle Share Diversion Support'!F89+F134</f>
        <v>520.96875547306968</v>
      </c>
      <c r="X10" s="172">
        <f>G52+'Vehicle Share Diversion Support'!G89+G134</f>
        <v>551.43456595711052</v>
      </c>
      <c r="Y10" s="56">
        <f>H52+'Vehicle Share Diversion Support'!H89+H134</f>
        <v>650.78731361289772</v>
      </c>
      <c r="Z10" s="57">
        <f>I52+'Vehicle Share Diversion Support'!I89+I134</f>
        <v>679.68598330508121</v>
      </c>
    </row>
    <row r="11" spans="3:26" ht="16" x14ac:dyDescent="0.2">
      <c r="C11" s="24" t="s">
        <v>4</v>
      </c>
      <c r="D11" s="55">
        <f>'Scaled 2012-13 Data'!$D10</f>
        <v>96.579725725227746</v>
      </c>
      <c r="E11" s="56">
        <f>'Scaled 2013-14 Data'!$D10</f>
        <v>102.0513892468109</v>
      </c>
      <c r="F11" s="56">
        <f>'Scaled 2014-15 Data'!$D10</f>
        <v>109.88376097047974</v>
      </c>
      <c r="G11" s="56">
        <f>'Scaled 2015-16 Data'!$D10</f>
        <v>115.53558337347094</v>
      </c>
      <c r="H11" s="56">
        <f>'Scaled 2016-17 Data'!$D10</f>
        <v>114.90818236685307</v>
      </c>
      <c r="I11" s="167">
        <f>'Scaled 2017-18 Data'!$D10</f>
        <v>115.96535445831617</v>
      </c>
      <c r="J11" s="167">
        <f>'Scaled 2018-19 Data'!$D10</f>
        <v>124.70396919501677</v>
      </c>
      <c r="K11" s="167">
        <f t="shared" si="0"/>
        <v>137.32543437664827</v>
      </c>
      <c r="L11" s="167">
        <f t="shared" si="0"/>
        <v>144.89286419387071</v>
      </c>
      <c r="M11" s="167">
        <f t="shared" si="0"/>
        <v>150.20571048593195</v>
      </c>
      <c r="N11" s="167">
        <f t="shared" si="0"/>
        <v>153.96917001809302</v>
      </c>
      <c r="O11" s="167">
        <f t="shared" si="0"/>
        <v>157.65094820434544</v>
      </c>
      <c r="P11" s="167">
        <f t="shared" ref="P11:R11" si="5">P53+P94+P135</f>
        <v>161.11082491988634</v>
      </c>
      <c r="Q11" s="167">
        <f t="shared" si="5"/>
        <v>163.84647223988011</v>
      </c>
      <c r="R11" s="198">
        <f t="shared" si="5"/>
        <v>165.70928254696778</v>
      </c>
      <c r="S11" s="56"/>
      <c r="T11" s="24" t="s">
        <v>4</v>
      </c>
      <c r="U11" s="55">
        <f>D53+'Vehicle Share Diversion Support'!D90+D135</f>
        <v>96.579725725227746</v>
      </c>
      <c r="V11" s="56">
        <f>E53+'Vehicle Share Diversion Support'!E90+E135</f>
        <v>102.0513892468109</v>
      </c>
      <c r="W11" s="56">
        <f>F53+'Vehicle Share Diversion Support'!F90+F135</f>
        <v>109.88376097047973</v>
      </c>
      <c r="X11" s="172">
        <f>G53+'Vehicle Share Diversion Support'!G90+G135</f>
        <v>115.53558337347094</v>
      </c>
      <c r="Y11" s="56">
        <f>H53+'Vehicle Share Diversion Support'!H90+H135</f>
        <v>114.90818236685307</v>
      </c>
      <c r="Z11" s="57">
        <f>I53+'Vehicle Share Diversion Support'!I90+I135</f>
        <v>115.96535445831617</v>
      </c>
    </row>
    <row r="12" spans="3:26" ht="16" x14ac:dyDescent="0.2">
      <c r="C12" s="24" t="s">
        <v>5</v>
      </c>
      <c r="D12" s="55">
        <f>'Scaled 2012-13 Data'!$D11</f>
        <v>267.1434621820224</v>
      </c>
      <c r="E12" s="56">
        <f>'Scaled 2013-14 Data'!$D11</f>
        <v>273.16887555436631</v>
      </c>
      <c r="F12" s="56">
        <f>'Scaled 2014-15 Data'!$D11</f>
        <v>292.52815830320537</v>
      </c>
      <c r="G12" s="56">
        <f>'Scaled 2015-16 Data'!$D11</f>
        <v>313.03992346196588</v>
      </c>
      <c r="H12" s="56">
        <f>'Scaled 2016-17 Data'!$D11</f>
        <v>331.21436331063632</v>
      </c>
      <c r="I12" s="167">
        <f>'Scaled 2017-18 Data'!$D11</f>
        <v>354.11215570609227</v>
      </c>
      <c r="J12" s="167">
        <f>'Scaled 2018-19 Data'!$D11</f>
        <v>386.98739407495958</v>
      </c>
      <c r="K12" s="167">
        <f t="shared" si="0"/>
        <v>436.27723997907543</v>
      </c>
      <c r="L12" s="167">
        <f t="shared" si="0"/>
        <v>463.05555986851226</v>
      </c>
      <c r="M12" s="167">
        <f t="shared" si="0"/>
        <v>481.64420843107848</v>
      </c>
      <c r="N12" s="167">
        <f t="shared" si="0"/>
        <v>496.12934096186865</v>
      </c>
      <c r="O12" s="167">
        <f t="shared" si="0"/>
        <v>510.27239829555742</v>
      </c>
      <c r="P12" s="167">
        <f t="shared" ref="P12:R12" si="6">P54+P95+P136</f>
        <v>523.81609291513314</v>
      </c>
      <c r="Q12" s="167">
        <f t="shared" si="6"/>
        <v>535.01314250901612</v>
      </c>
      <c r="R12" s="198">
        <f t="shared" si="6"/>
        <v>543.25508066180601</v>
      </c>
      <c r="S12" s="56"/>
      <c r="T12" s="24" t="s">
        <v>5</v>
      </c>
      <c r="U12" s="55">
        <f>D54+'Vehicle Share Diversion Support'!D91+D136</f>
        <v>267.1434621820224</v>
      </c>
      <c r="V12" s="56">
        <f>E54+'Vehicle Share Diversion Support'!E91+E136</f>
        <v>273.16887555436631</v>
      </c>
      <c r="W12" s="56">
        <f>F54+'Vehicle Share Diversion Support'!F91+F136</f>
        <v>292.52815830320543</v>
      </c>
      <c r="X12" s="172">
        <f>G54+'Vehicle Share Diversion Support'!G91+G136</f>
        <v>313.03992346196588</v>
      </c>
      <c r="Y12" s="56">
        <f>H54+'Vehicle Share Diversion Support'!H91+H136</f>
        <v>331.21436331063626</v>
      </c>
      <c r="Z12" s="57">
        <f>I54+'Vehicle Share Diversion Support'!I91+I136</f>
        <v>354.11215570609221</v>
      </c>
    </row>
    <row r="13" spans="3:26" ht="16" x14ac:dyDescent="0.2">
      <c r="C13" s="24" t="s">
        <v>6</v>
      </c>
      <c r="D13" s="55">
        <f>'Scaled 2012-13 Data'!$D12</f>
        <v>178.44941470083754</v>
      </c>
      <c r="E13" s="56">
        <f>'Scaled 2013-14 Data'!$D12</f>
        <v>187.78228494409871</v>
      </c>
      <c r="F13" s="56">
        <f>'Scaled 2014-15 Data'!$D12</f>
        <v>201.0008889926157</v>
      </c>
      <c r="G13" s="56">
        <f>'Scaled 2015-16 Data'!$D12</f>
        <v>211.16977947617161</v>
      </c>
      <c r="H13" s="56">
        <f>'Scaled 2016-17 Data'!$D12</f>
        <v>217.29820314360182</v>
      </c>
      <c r="I13" s="167">
        <f>'Scaled 2017-18 Data'!$D12</f>
        <v>238.13711625650453</v>
      </c>
      <c r="J13" s="167">
        <f>'Scaled 2018-19 Data'!$D12</f>
        <v>238.62653505140597</v>
      </c>
      <c r="K13" s="167">
        <f t="shared" si="0"/>
        <v>264.52390030794129</v>
      </c>
      <c r="L13" s="167">
        <f t="shared" si="0"/>
        <v>282.86200791553244</v>
      </c>
      <c r="M13" s="167">
        <f t="shared" si="0"/>
        <v>297.12330517102816</v>
      </c>
      <c r="N13" s="167">
        <f t="shared" si="0"/>
        <v>309.52541348672395</v>
      </c>
      <c r="O13" s="167">
        <f t="shared" si="0"/>
        <v>322.32797157884153</v>
      </c>
      <c r="P13" s="167">
        <f t="shared" ref="P13:R13" si="7">P55+P96+P137</f>
        <v>335.00019300357746</v>
      </c>
      <c r="Q13" s="167">
        <f t="shared" si="7"/>
        <v>346.45024854186914</v>
      </c>
      <c r="R13" s="198">
        <f t="shared" si="7"/>
        <v>356.28040337439</v>
      </c>
      <c r="S13" s="56"/>
      <c r="T13" s="24" t="s">
        <v>6</v>
      </c>
      <c r="U13" s="55">
        <f>D55+'Vehicle Share Diversion Support'!D92+D137</f>
        <v>178.44941470083759</v>
      </c>
      <c r="V13" s="56">
        <f>E55+'Vehicle Share Diversion Support'!E92+E137</f>
        <v>187.78228494409871</v>
      </c>
      <c r="W13" s="56">
        <f>F55+'Vehicle Share Diversion Support'!F92+F137</f>
        <v>201.00088899261567</v>
      </c>
      <c r="X13" s="172">
        <f>G55+'Vehicle Share Diversion Support'!G92+G137</f>
        <v>211.16977947617158</v>
      </c>
      <c r="Y13" s="56">
        <f>H55+'Vehicle Share Diversion Support'!H92+H137</f>
        <v>217.29820314360182</v>
      </c>
      <c r="Z13" s="57">
        <f>I55+'Vehicle Share Diversion Support'!I92+I137</f>
        <v>238.13711625650453</v>
      </c>
    </row>
    <row r="14" spans="3:26" ht="16" x14ac:dyDescent="0.2">
      <c r="C14" s="24" t="s">
        <v>7</v>
      </c>
      <c r="D14" s="55">
        <f>'Scaled 2012-13 Data'!$D13</f>
        <v>425.2035435345739</v>
      </c>
      <c r="E14" s="56">
        <f>'Scaled 2013-14 Data'!$D13</f>
        <v>442.79379262005642</v>
      </c>
      <c r="F14" s="56">
        <f>'Scaled 2014-15 Data'!$D13</f>
        <v>464.51235325575487</v>
      </c>
      <c r="G14" s="56">
        <f>'Scaled 2015-16 Data'!$D13</f>
        <v>501.55163492894809</v>
      </c>
      <c r="H14" s="56">
        <f>'Scaled 2016-17 Data'!$D13</f>
        <v>525.47706786232436</v>
      </c>
      <c r="I14" s="167">
        <f>'Scaled 2017-18 Data'!$D13</f>
        <v>545.39839978636144</v>
      </c>
      <c r="J14" s="167">
        <f>'Scaled 2018-19 Data'!$D13</f>
        <v>575.62858719660028</v>
      </c>
      <c r="K14" s="167">
        <f t="shared" si="0"/>
        <v>632.31879531592767</v>
      </c>
      <c r="L14" s="167">
        <f t="shared" si="0"/>
        <v>666.54915339471847</v>
      </c>
      <c r="M14" s="167">
        <f t="shared" si="0"/>
        <v>690.26178019726376</v>
      </c>
      <c r="N14" s="167">
        <f t="shared" si="0"/>
        <v>708.21529500852273</v>
      </c>
      <c r="O14" s="167">
        <f t="shared" si="0"/>
        <v>725.57764975937994</v>
      </c>
      <c r="P14" s="167">
        <f t="shared" ref="P14:R14" si="8">P56+P97+P138</f>
        <v>741.97025979518787</v>
      </c>
      <c r="Q14" s="167">
        <f t="shared" si="8"/>
        <v>755.07594305997281</v>
      </c>
      <c r="R14" s="198">
        <f t="shared" si="8"/>
        <v>764.18469932406674</v>
      </c>
      <c r="S14" s="56"/>
      <c r="T14" s="24" t="s">
        <v>7</v>
      </c>
      <c r="U14" s="55">
        <f>D56+'Vehicle Share Diversion Support'!D93+D138</f>
        <v>425.2035435345739</v>
      </c>
      <c r="V14" s="56">
        <f>E56+'Vehicle Share Diversion Support'!E93+E138</f>
        <v>442.79379262005637</v>
      </c>
      <c r="W14" s="56">
        <f>F56+'Vehicle Share Diversion Support'!F93+F138</f>
        <v>464.51235325575487</v>
      </c>
      <c r="X14" s="172">
        <f>G56+'Vehicle Share Diversion Support'!G93+G138</f>
        <v>501.55163492894815</v>
      </c>
      <c r="Y14" s="56">
        <f>H56+'Vehicle Share Diversion Support'!H93+H138</f>
        <v>525.47706786232436</v>
      </c>
      <c r="Z14" s="57">
        <f>I56+'Vehicle Share Diversion Support'!I93+I138</f>
        <v>545.39839978636144</v>
      </c>
    </row>
    <row r="15" spans="3:26" ht="16" x14ac:dyDescent="0.2">
      <c r="C15" s="24" t="s">
        <v>8</v>
      </c>
      <c r="D15" s="55">
        <f>'Scaled 2012-13 Data'!$D14</f>
        <v>431.38612231513088</v>
      </c>
      <c r="E15" s="56">
        <f>'Scaled 2013-14 Data'!$D14</f>
        <v>453.607383540054</v>
      </c>
      <c r="F15" s="56">
        <f>'Scaled 2014-15 Data'!$D14</f>
        <v>499.76676788026606</v>
      </c>
      <c r="G15" s="56">
        <f>'Scaled 2015-16 Data'!$D14</f>
        <v>500.00202321921444</v>
      </c>
      <c r="H15" s="56">
        <f>'Scaled 2016-17 Data'!$D14</f>
        <v>514.26487795925254</v>
      </c>
      <c r="I15" s="167">
        <f>'Scaled 2017-18 Data'!$D14</f>
        <v>569.04011569507588</v>
      </c>
      <c r="J15" s="167">
        <f>'Scaled 2018-19 Data'!$D14</f>
        <v>607.20900050027149</v>
      </c>
      <c r="K15" s="167">
        <f t="shared" si="0"/>
        <v>696.41820234194529</v>
      </c>
      <c r="L15" s="167">
        <f t="shared" si="0"/>
        <v>751.56065827053499</v>
      </c>
      <c r="M15" s="167">
        <f t="shared" si="0"/>
        <v>795.08630859480593</v>
      </c>
      <c r="N15" s="167">
        <f t="shared" si="0"/>
        <v>833.50638842452418</v>
      </c>
      <c r="O15" s="167">
        <f t="shared" si="0"/>
        <v>872.63139685926706</v>
      </c>
      <c r="P15" s="167">
        <f t="shared" ref="P15:R15" si="9">P57+P98+P139</f>
        <v>911.70454637153898</v>
      </c>
      <c r="Q15" s="167">
        <f t="shared" si="9"/>
        <v>947.31870905606809</v>
      </c>
      <c r="R15" s="198">
        <f t="shared" si="9"/>
        <v>977.9891947024488</v>
      </c>
      <c r="S15" s="56"/>
      <c r="T15" s="24" t="s">
        <v>8</v>
      </c>
      <c r="U15" s="55">
        <f>D57+'Vehicle Share Diversion Support'!D94+D139</f>
        <v>431.38612231513088</v>
      </c>
      <c r="V15" s="56">
        <f>E57+'Vehicle Share Diversion Support'!E94+E139</f>
        <v>453.607383540054</v>
      </c>
      <c r="W15" s="56">
        <f>F57+'Vehicle Share Diversion Support'!F94+F139</f>
        <v>499.76676788026612</v>
      </c>
      <c r="X15" s="172">
        <f>G57+'Vehicle Share Diversion Support'!G94+G139</f>
        <v>500.00202321921444</v>
      </c>
      <c r="Y15" s="56">
        <f>H57+'Vehicle Share Diversion Support'!H94+H139</f>
        <v>514.26487795925243</v>
      </c>
      <c r="Z15" s="57">
        <f>I57+'Vehicle Share Diversion Support'!I94+I139</f>
        <v>569.04011569507577</v>
      </c>
    </row>
    <row r="16" spans="3:26" ht="16" x14ac:dyDescent="0.2">
      <c r="C16" s="24" t="s">
        <v>9</v>
      </c>
      <c r="D16" s="55">
        <f>'Scaled 2012-13 Data'!$D15</f>
        <v>258.29549214058432</v>
      </c>
      <c r="E16" s="56">
        <f>'Scaled 2013-14 Data'!$D15</f>
        <v>268.06773814277665</v>
      </c>
      <c r="F16" s="56">
        <f>'Scaled 2014-15 Data'!$D15</f>
        <v>263.67856131271287</v>
      </c>
      <c r="G16" s="56">
        <f>'Scaled 2015-16 Data'!$D15</f>
        <v>301.67960789763004</v>
      </c>
      <c r="H16" s="56">
        <f>'Scaled 2016-17 Data'!$D15</f>
        <v>316.51914203250629</v>
      </c>
      <c r="I16" s="167">
        <f>'Scaled 2017-18 Data'!$D15</f>
        <v>349.31089766167952</v>
      </c>
      <c r="J16" s="167">
        <f>'Scaled 2018-19 Data'!$D15</f>
        <v>347.86115678101135</v>
      </c>
      <c r="K16" s="167">
        <f t="shared" si="0"/>
        <v>387.66710410460951</v>
      </c>
      <c r="L16" s="167">
        <f t="shared" si="0"/>
        <v>414.81047962773016</v>
      </c>
      <c r="M16" s="167">
        <f t="shared" si="0"/>
        <v>435.14378416700265</v>
      </c>
      <c r="N16" s="167">
        <f t="shared" si="0"/>
        <v>451.76535566121231</v>
      </c>
      <c r="O16" s="167">
        <f t="shared" si="0"/>
        <v>467.54775597173352</v>
      </c>
      <c r="P16" s="167">
        <f t="shared" ref="P16:R16" si="10">P58+P99+P140</f>
        <v>482.93909639795447</v>
      </c>
      <c r="Q16" s="167">
        <f t="shared" si="10"/>
        <v>496.33578654231496</v>
      </c>
      <c r="R16" s="198">
        <f t="shared" si="10"/>
        <v>507.13966028293623</v>
      </c>
      <c r="S16" s="56"/>
      <c r="T16" s="24" t="s">
        <v>9</v>
      </c>
      <c r="U16" s="55">
        <f>D58+'Vehicle Share Diversion Support'!D95+D140</f>
        <v>258.29549214058432</v>
      </c>
      <c r="V16" s="56">
        <f>E58+'Vehicle Share Diversion Support'!E95+E140</f>
        <v>268.06773814277659</v>
      </c>
      <c r="W16" s="56">
        <f>F58+'Vehicle Share Diversion Support'!F95+F140</f>
        <v>263.67856131271287</v>
      </c>
      <c r="X16" s="172">
        <f>G58+'Vehicle Share Diversion Support'!G95+G140</f>
        <v>301.67960789763009</v>
      </c>
      <c r="Y16" s="56">
        <f>H58+'Vehicle Share Diversion Support'!H95+H140</f>
        <v>316.51914203250624</v>
      </c>
      <c r="Z16" s="57">
        <f>I58+'Vehicle Share Diversion Support'!I95+I140</f>
        <v>349.31089766167952</v>
      </c>
    </row>
    <row r="17" spans="3:26" ht="16" x14ac:dyDescent="0.2">
      <c r="C17" s="24" t="s">
        <v>10</v>
      </c>
      <c r="D17" s="55">
        <f>'Scaled 2012-13 Data'!$D16</f>
        <v>118.81812700051496</v>
      </c>
      <c r="E17" s="56">
        <f>'Scaled 2013-14 Data'!$D16</f>
        <v>120.21130771800863</v>
      </c>
      <c r="F17" s="56">
        <f>'Scaled 2014-15 Data'!$D16</f>
        <v>130.55144613689384</v>
      </c>
      <c r="G17" s="56">
        <f>'Scaled 2015-16 Data'!$D16</f>
        <v>132.71199349622168</v>
      </c>
      <c r="H17" s="56">
        <f>'Scaled 2016-17 Data'!$D16</f>
        <v>139.23474761311437</v>
      </c>
      <c r="I17" s="167">
        <f>'Scaled 2017-18 Data'!$D16</f>
        <v>152.61369576997231</v>
      </c>
      <c r="J17" s="167">
        <f>'Scaled 2018-19 Data'!$D16</f>
        <v>152.87643026991475</v>
      </c>
      <c r="K17" s="167">
        <f t="shared" si="0"/>
        <v>161.53613572864774</v>
      </c>
      <c r="L17" s="167">
        <f t="shared" si="0"/>
        <v>167.84450019849501</v>
      </c>
      <c r="M17" s="167">
        <f t="shared" si="0"/>
        <v>171.18758476781099</v>
      </c>
      <c r="N17" s="167">
        <f t="shared" si="0"/>
        <v>172.90115719431631</v>
      </c>
      <c r="O17" s="167">
        <f t="shared" si="0"/>
        <v>174.53872836386935</v>
      </c>
      <c r="P17" s="167">
        <f t="shared" ref="P17:R17" si="11">P59+P100+P141</f>
        <v>175.83054019955759</v>
      </c>
      <c r="Q17" s="167">
        <f t="shared" si="11"/>
        <v>176.28642607078581</v>
      </c>
      <c r="R17" s="198">
        <f t="shared" si="11"/>
        <v>175.78073622184604</v>
      </c>
      <c r="S17" s="56"/>
      <c r="T17" s="24" t="s">
        <v>10</v>
      </c>
      <c r="U17" s="55">
        <f>D59+'Vehicle Share Diversion Support'!D96+D141</f>
        <v>118.81812700051496</v>
      </c>
      <c r="V17" s="56">
        <f>E59+'Vehicle Share Diversion Support'!E96+E141</f>
        <v>120.2113077180086</v>
      </c>
      <c r="W17" s="56">
        <f>F59+'Vehicle Share Diversion Support'!F96+F141</f>
        <v>130.55144613689384</v>
      </c>
      <c r="X17" s="172">
        <f>G59+'Vehicle Share Diversion Support'!G96+G141</f>
        <v>132.71199349622168</v>
      </c>
      <c r="Y17" s="56">
        <f>H59+'Vehicle Share Diversion Support'!H96+H141</f>
        <v>139.23474761311434</v>
      </c>
      <c r="Z17" s="57">
        <f>I59+'Vehicle Share Diversion Support'!I96+I141</f>
        <v>152.61369576997231</v>
      </c>
    </row>
    <row r="18" spans="3:26" ht="16" x14ac:dyDescent="0.2">
      <c r="C18" s="24" t="s">
        <v>11</v>
      </c>
      <c r="D18" s="55">
        <f>'Scaled 2012-13 Data'!$D17</f>
        <v>874.20252355763523</v>
      </c>
      <c r="E18" s="56">
        <f>'Scaled 2013-14 Data'!$D17</f>
        <v>973.46453611606478</v>
      </c>
      <c r="F18" s="56">
        <f>'Scaled 2014-15 Data'!$D17</f>
        <v>1059.8036204793086</v>
      </c>
      <c r="G18" s="56">
        <f>'Scaled 2015-16 Data'!$D17</f>
        <v>1135.7050512415083</v>
      </c>
      <c r="H18" s="56">
        <f>'Scaled 2016-17 Data'!$D17</f>
        <v>1150.5277407941246</v>
      </c>
      <c r="I18" s="167">
        <f>'Scaled 2017-18 Data'!$D17</f>
        <v>1237.2467989059894</v>
      </c>
      <c r="J18" s="167">
        <f>'Scaled 2018-19 Data'!$D17</f>
        <v>1275.1952090948018</v>
      </c>
      <c r="K18" s="167">
        <f t="shared" si="0"/>
        <v>1447.1831362486569</v>
      </c>
      <c r="L18" s="167">
        <f t="shared" si="0"/>
        <v>1598.9226829600345</v>
      </c>
      <c r="M18" s="167">
        <f t="shared" si="0"/>
        <v>1727.892692408929</v>
      </c>
      <c r="N18" s="167">
        <f t="shared" si="0"/>
        <v>1849.8007487997618</v>
      </c>
      <c r="O18" s="167">
        <f t="shared" si="0"/>
        <v>1978.1858707098929</v>
      </c>
      <c r="P18" s="167">
        <f t="shared" ref="P18:R18" si="12">P60+P101+P142</f>
        <v>2110.8950959706299</v>
      </c>
      <c r="Q18" s="167">
        <f t="shared" si="12"/>
        <v>2239.7017652247396</v>
      </c>
      <c r="R18" s="198">
        <f t="shared" si="12"/>
        <v>2360.3067586727875</v>
      </c>
      <c r="S18" s="56"/>
      <c r="T18" s="24" t="s">
        <v>11</v>
      </c>
      <c r="U18" s="55">
        <f>D60+'Vehicle Share Diversion Support'!D97+D142</f>
        <v>874.20252355763523</v>
      </c>
      <c r="V18" s="56">
        <f>E60+'Vehicle Share Diversion Support'!E97+E142</f>
        <v>973.46453611606489</v>
      </c>
      <c r="W18" s="56">
        <f>F60+'Vehicle Share Diversion Support'!F97+F142</f>
        <v>1059.8036204793086</v>
      </c>
      <c r="X18" s="172">
        <f>G60+'Vehicle Share Diversion Support'!G97+G142</f>
        <v>1135.7050512415083</v>
      </c>
      <c r="Y18" s="56">
        <f>H60+'Vehicle Share Diversion Support'!H97+H142</f>
        <v>1150.5277407941246</v>
      </c>
      <c r="Z18" s="57">
        <f>I60+'Vehicle Share Diversion Support'!I97+I142</f>
        <v>1237.2467989059894</v>
      </c>
    </row>
    <row r="19" spans="3:26" ht="16" x14ac:dyDescent="0.2">
      <c r="C19" s="24" t="s">
        <v>12</v>
      </c>
      <c r="D19" s="55">
        <f>'Scaled 2012-13 Data'!$D18</f>
        <v>380.02870119088124</v>
      </c>
      <c r="E19" s="56">
        <f>'Scaled 2013-14 Data'!$D18</f>
        <v>401.89930681513556</v>
      </c>
      <c r="F19" s="56">
        <f>'Scaled 2014-15 Data'!$D18</f>
        <v>433.6002545737739</v>
      </c>
      <c r="G19" s="56">
        <f>'Scaled 2015-16 Data'!$D18</f>
        <v>461.03719711760732</v>
      </c>
      <c r="H19" s="56">
        <f>'Scaled 2016-17 Data'!$D18</f>
        <v>481.56820071250354</v>
      </c>
      <c r="I19" s="167">
        <f>'Scaled 2017-18 Data'!$D18</f>
        <v>547.47792368305659</v>
      </c>
      <c r="J19" s="167">
        <f>'Scaled 2018-19 Data'!$D18</f>
        <v>588.70820681756163</v>
      </c>
      <c r="K19" s="167">
        <f t="shared" si="0"/>
        <v>679.34350499703442</v>
      </c>
      <c r="L19" s="167">
        <f t="shared" si="0"/>
        <v>734.87036917950547</v>
      </c>
      <c r="M19" s="167">
        <f t="shared" si="0"/>
        <v>779.26983797588525</v>
      </c>
      <c r="N19" s="167">
        <f t="shared" si="0"/>
        <v>819.2629763416279</v>
      </c>
      <c r="O19" s="167">
        <f t="shared" si="0"/>
        <v>860.55921095807741</v>
      </c>
      <c r="P19" s="167">
        <f t="shared" ref="P19:R19" si="13">P61+P102+P143</f>
        <v>901.85474660201953</v>
      </c>
      <c r="Q19" s="167">
        <f t="shared" si="13"/>
        <v>940.22059111686394</v>
      </c>
      <c r="R19" s="198">
        <f t="shared" si="13"/>
        <v>974.23365096177383</v>
      </c>
      <c r="S19" s="56"/>
      <c r="T19" s="24" t="s">
        <v>12</v>
      </c>
      <c r="U19" s="55">
        <f>D61+'Vehicle Share Diversion Support'!D98+D143</f>
        <v>380.02870119088129</v>
      </c>
      <c r="V19" s="56">
        <f>E61+'Vehicle Share Diversion Support'!E98+E143</f>
        <v>401.89930681513556</v>
      </c>
      <c r="W19" s="56">
        <f>F61+'Vehicle Share Diversion Support'!F98+F143</f>
        <v>433.60025457377384</v>
      </c>
      <c r="X19" s="172">
        <f>G61+'Vehicle Share Diversion Support'!G98+G143</f>
        <v>461.03719711760732</v>
      </c>
      <c r="Y19" s="56">
        <f>H61+'Vehicle Share Diversion Support'!H98+H143</f>
        <v>481.56820071250354</v>
      </c>
      <c r="Z19" s="57">
        <f>I61+'Vehicle Share Diversion Support'!I98+I143</f>
        <v>547.47792368305659</v>
      </c>
    </row>
    <row r="20" spans="3:26" ht="17" thickBot="1" x14ac:dyDescent="0.25">
      <c r="C20" s="25" t="s">
        <v>13</v>
      </c>
      <c r="D20" s="58">
        <f>'Scaled 2012-13 Data'!$D19</f>
        <v>239.84139513125811</v>
      </c>
      <c r="E20" s="59">
        <f>'Scaled 2013-14 Data'!$D19</f>
        <v>255.12237408095586</v>
      </c>
      <c r="F20" s="59">
        <f>'Scaled 2014-15 Data'!$D19</f>
        <v>256.70924618429348</v>
      </c>
      <c r="G20" s="59">
        <f>'Scaled 2015-16 Data'!$D19</f>
        <v>291.40318302494006</v>
      </c>
      <c r="H20" s="59">
        <f>'Scaled 2016-17 Data'!$D19</f>
        <v>305.58632051205348</v>
      </c>
      <c r="I20" s="171">
        <f>'Scaled 2017-18 Data'!$D19</f>
        <v>327.43861966717424</v>
      </c>
      <c r="J20" s="171">
        <f>'Scaled 2018-19 Data'!$D19</f>
        <v>369.03273844811218</v>
      </c>
      <c r="K20" s="171">
        <f t="shared" si="0"/>
        <v>399.95924557221514</v>
      </c>
      <c r="L20" s="171">
        <f t="shared" si="0"/>
        <v>419.55344439682131</v>
      </c>
      <c r="M20" s="171">
        <f t="shared" si="0"/>
        <v>432.39144155653275</v>
      </c>
      <c r="N20" s="171">
        <f t="shared" si="0"/>
        <v>441.55549443178279</v>
      </c>
      <c r="O20" s="171">
        <f t="shared" si="0"/>
        <v>450.52918605898441</v>
      </c>
      <c r="P20" s="171">
        <f t="shared" ref="P20:R20" si="14">P62+P103+P144</f>
        <v>458.84411924105399</v>
      </c>
      <c r="Q20" s="171">
        <f t="shared" si="14"/>
        <v>465.01288485779645</v>
      </c>
      <c r="R20" s="199">
        <f t="shared" si="14"/>
        <v>468.56412139171374</v>
      </c>
      <c r="S20" s="56"/>
      <c r="T20" s="25" t="s">
        <v>13</v>
      </c>
      <c r="U20" s="58">
        <f>D62+'Vehicle Share Diversion Support'!D99+D144</f>
        <v>239.84139513125808</v>
      </c>
      <c r="V20" s="59">
        <f>E62+'Vehicle Share Diversion Support'!E99+E144</f>
        <v>255.12237408095586</v>
      </c>
      <c r="W20" s="59">
        <f>F62+'Vehicle Share Diversion Support'!F99+F144</f>
        <v>256.70924618429348</v>
      </c>
      <c r="X20" s="172">
        <f>G62+'Vehicle Share Diversion Support'!G99+G144</f>
        <v>291.40318302494006</v>
      </c>
      <c r="Y20" s="59">
        <f>H62+'Vehicle Share Diversion Support'!H99+H144</f>
        <v>305.58632051205342</v>
      </c>
      <c r="Z20" s="60">
        <f>I62+'Vehicle Share Diversion Support'!I99+I144</f>
        <v>327.43861966717418</v>
      </c>
    </row>
    <row r="21" spans="3:26" ht="36" thickTop="1" thickBot="1" x14ac:dyDescent="0.25">
      <c r="C21" s="31" t="s">
        <v>24</v>
      </c>
      <c r="D21" s="61">
        <f t="shared" ref="D21:O21" si="15">SUM(D7:D20)</f>
        <v>6297.8010835892064</v>
      </c>
      <c r="E21" s="62">
        <f t="shared" si="15"/>
        <v>6634.1601702380212</v>
      </c>
      <c r="F21" s="62">
        <f t="shared" si="15"/>
        <v>7067.6262369317774</v>
      </c>
      <c r="G21" s="62">
        <f t="shared" ref="G21:H21" si="16">SUM(G7:G20)</f>
        <v>7582.2924427853468</v>
      </c>
      <c r="H21" s="62">
        <f t="shared" si="16"/>
        <v>8118.401317280699</v>
      </c>
      <c r="I21" s="62">
        <f t="shared" si="15"/>
        <v>8746.3415097099987</v>
      </c>
      <c r="J21" s="62">
        <f t="shared" ref="J21" si="17">SUM(J7:J20)</f>
        <v>9328.1457761859401</v>
      </c>
      <c r="K21" s="62">
        <f t="shared" si="15"/>
        <v>10693.584294131912</v>
      </c>
      <c r="L21" s="62">
        <f t="shared" si="15"/>
        <v>11682.067863529952</v>
      </c>
      <c r="M21" s="62">
        <f t="shared" si="15"/>
        <v>12502.198716896872</v>
      </c>
      <c r="N21" s="62">
        <f t="shared" si="15"/>
        <v>13251.342687313499</v>
      </c>
      <c r="O21" s="62">
        <f t="shared" si="15"/>
        <v>14031.998263727211</v>
      </c>
      <c r="P21" s="62">
        <f t="shared" ref="P21:R21" si="18">SUM(P7:P20)</f>
        <v>14835.188111601541</v>
      </c>
      <c r="Q21" s="62">
        <f t="shared" si="18"/>
        <v>15606.329897433543</v>
      </c>
      <c r="R21" s="63">
        <f t="shared" si="18"/>
        <v>16319.218468832159</v>
      </c>
      <c r="S21" s="56"/>
      <c r="T21" s="31" t="s">
        <v>24</v>
      </c>
      <c r="U21" s="61">
        <f>SUM(U7:U20)</f>
        <v>6297.8010835892064</v>
      </c>
      <c r="V21" s="62">
        <f>SUM(V7:V20)</f>
        <v>6634.1601702380221</v>
      </c>
      <c r="W21" s="62">
        <f>SUM(W7:W20)</f>
        <v>7067.6262369317774</v>
      </c>
      <c r="X21" s="62">
        <f t="shared" ref="X21:Y21" si="19">SUM(X7:X20)</f>
        <v>7582.2924427853468</v>
      </c>
      <c r="Y21" s="62">
        <f t="shared" si="19"/>
        <v>8118.401317280699</v>
      </c>
      <c r="Z21" s="63">
        <f t="shared" ref="Z21" si="20">SUM(Z7:Z20)</f>
        <v>8746.3415097099987</v>
      </c>
    </row>
    <row r="22" spans="3:26" ht="19" thickTop="1" thickBot="1" x14ac:dyDescent="0.25">
      <c r="C22" s="31" t="s">
        <v>96</v>
      </c>
      <c r="D22" s="61">
        <f>'Scaled 2012-13 Data'!$D21</f>
        <v>6297.8010835892064</v>
      </c>
      <c r="E22" s="62">
        <f>'Scaled 2013-14 Data'!$D21</f>
        <v>6634.1601702380212</v>
      </c>
      <c r="F22" s="62">
        <f>'Scaled 2014-15 Data'!$D21</f>
        <v>7067.6262369317774</v>
      </c>
      <c r="G22" s="62">
        <f>'Scaled 2015-16 Data'!$D21</f>
        <v>7582.2924427853468</v>
      </c>
      <c r="H22" s="62">
        <f>'Scaled 2016-17 Data'!$D21</f>
        <v>8118.401317280699</v>
      </c>
      <c r="I22" s="62">
        <f>'Scaled 2017-18 Data'!$D21</f>
        <v>8746.3415097099987</v>
      </c>
      <c r="J22" s="62">
        <f>'Scaled 2018-19 Data'!$D21</f>
        <v>9328.1457761859401</v>
      </c>
      <c r="K22" s="62"/>
      <c r="L22" s="62"/>
      <c r="M22" s="62"/>
      <c r="N22" s="62"/>
      <c r="O22" s="62"/>
      <c r="P22" s="62"/>
      <c r="Q22" s="62"/>
      <c r="R22" s="63"/>
      <c r="S22" s="56"/>
      <c r="T22" s="130"/>
      <c r="U22" s="129"/>
      <c r="V22" s="129"/>
      <c r="W22" s="129"/>
    </row>
    <row r="23" spans="3:26" ht="14" thickTop="1" x14ac:dyDescent="0.15"/>
    <row r="24" spans="3:26" ht="14" thickBot="1" x14ac:dyDescent="0.2"/>
    <row r="25" spans="3:26" ht="17" thickTop="1" x14ac:dyDescent="0.2">
      <c r="C25" s="32" t="s">
        <v>163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S25" s="121"/>
    </row>
    <row r="26" spans="3:26" ht="14" thickBot="1" x14ac:dyDescent="0.2">
      <c r="C26" s="18"/>
      <c r="D26" s="65" t="s">
        <v>25</v>
      </c>
      <c r="E26" s="65" t="s">
        <v>37</v>
      </c>
      <c r="F26" s="65" t="s">
        <v>38</v>
      </c>
      <c r="G26" s="37" t="s">
        <v>177</v>
      </c>
      <c r="H26" s="37" t="s">
        <v>178</v>
      </c>
      <c r="I26" s="65" t="s">
        <v>26</v>
      </c>
      <c r="J26" s="65"/>
      <c r="K26" s="65" t="s">
        <v>27</v>
      </c>
      <c r="L26" s="65" t="s">
        <v>28</v>
      </c>
      <c r="M26" s="65" t="s">
        <v>29</v>
      </c>
      <c r="N26" s="65" t="s">
        <v>30</v>
      </c>
      <c r="O26" s="65" t="s">
        <v>31</v>
      </c>
      <c r="P26" s="37" t="s">
        <v>174</v>
      </c>
      <c r="Q26" s="37" t="s">
        <v>175</v>
      </c>
      <c r="R26" s="38" t="s">
        <v>176</v>
      </c>
      <c r="S26" s="65"/>
    </row>
    <row r="27" spans="3:26" ht="15" thickTop="1" thickBot="1" x14ac:dyDescent="0.2">
      <c r="C27" s="70"/>
      <c r="D27" s="71" t="s">
        <v>39</v>
      </c>
      <c r="E27" s="71" t="s">
        <v>39</v>
      </c>
      <c r="F27" s="71" t="s">
        <v>39</v>
      </c>
      <c r="G27" s="71" t="s">
        <v>39</v>
      </c>
      <c r="H27" s="71" t="s">
        <v>39</v>
      </c>
      <c r="I27" s="71" t="s">
        <v>39</v>
      </c>
      <c r="J27" s="71"/>
      <c r="K27" s="71" t="s">
        <v>32</v>
      </c>
      <c r="L27" s="71" t="s">
        <v>32</v>
      </c>
      <c r="M27" s="71" t="s">
        <v>32</v>
      </c>
      <c r="N27" s="71" t="s">
        <v>32</v>
      </c>
      <c r="O27" s="71" t="s">
        <v>32</v>
      </c>
      <c r="P27" s="65" t="s">
        <v>32</v>
      </c>
      <c r="Q27" s="65" t="s">
        <v>32</v>
      </c>
      <c r="R27" s="66" t="s">
        <v>32</v>
      </c>
      <c r="S27" s="65"/>
    </row>
    <row r="28" spans="3:26" ht="17" thickTop="1" x14ac:dyDescent="0.2">
      <c r="C28" s="24" t="s">
        <v>0</v>
      </c>
      <c r="D28" s="42">
        <f t="shared" ref="D28:O28" si="21">D69+D110+D151</f>
        <v>21039.234399180976</v>
      </c>
      <c r="E28" s="43">
        <f t="shared" si="21"/>
        <v>21859.604458978953</v>
      </c>
      <c r="F28" s="43">
        <f t="shared" si="21"/>
        <v>22928.06576636824</v>
      </c>
      <c r="G28" s="43">
        <f t="shared" ref="G28:H28" si="22">G69+G110+G151</f>
        <v>24253.826346203859</v>
      </c>
      <c r="H28" s="43">
        <f t="shared" si="22"/>
        <v>26119.68208592575</v>
      </c>
      <c r="I28" s="202">
        <f t="shared" ref="I28:J41" si="23">I69+I110+I151</f>
        <v>27578.564762191767</v>
      </c>
      <c r="J28" s="202">
        <f t="shared" si="23"/>
        <v>29702.367933279056</v>
      </c>
      <c r="K28" s="202">
        <f t="shared" si="21"/>
        <v>31493.915004659673</v>
      </c>
      <c r="L28" s="202">
        <f t="shared" si="21"/>
        <v>33214.09832634528</v>
      </c>
      <c r="M28" s="202">
        <f t="shared" si="21"/>
        <v>34438.387613209161</v>
      </c>
      <c r="N28" s="202">
        <f t="shared" si="21"/>
        <v>35287.42248815026</v>
      </c>
      <c r="O28" s="202">
        <f t="shared" si="21"/>
        <v>36134.571303723918</v>
      </c>
      <c r="P28" s="129">
        <f t="shared" ref="P28:R28" si="24">P69+P110+P151</f>
        <v>36568.425194048454</v>
      </c>
      <c r="Q28" s="129">
        <f t="shared" si="24"/>
        <v>36865.672555562815</v>
      </c>
      <c r="R28" s="197">
        <f t="shared" si="24"/>
        <v>37005.51971907253</v>
      </c>
      <c r="S28" s="43"/>
    </row>
    <row r="29" spans="3:26" ht="16" x14ac:dyDescent="0.2">
      <c r="C29" s="24" t="s">
        <v>1</v>
      </c>
      <c r="D29" s="42">
        <f t="shared" ref="D29:O29" si="25">D70+D111+D152</f>
        <v>91137.225975803041</v>
      </c>
      <c r="E29" s="43">
        <f t="shared" si="25"/>
        <v>96178.893128753683</v>
      </c>
      <c r="F29" s="43">
        <f t="shared" si="25"/>
        <v>105143.23176403806</v>
      </c>
      <c r="G29" s="43">
        <f t="shared" ref="G29:H29" si="26">G70+G111+G152</f>
        <v>116920.23109277598</v>
      </c>
      <c r="H29" s="43">
        <f t="shared" si="26"/>
        <v>131190.45697052564</v>
      </c>
      <c r="I29" s="202">
        <f t="shared" si="23"/>
        <v>144616.05852596529</v>
      </c>
      <c r="J29" s="202">
        <f t="shared" si="23"/>
        <v>154217.3138527862</v>
      </c>
      <c r="K29" s="202">
        <f t="shared" si="25"/>
        <v>172438.65896145804</v>
      </c>
      <c r="L29" s="202">
        <f t="shared" si="25"/>
        <v>193443.58960387995</v>
      </c>
      <c r="M29" s="202">
        <f t="shared" si="25"/>
        <v>211375.7327589418</v>
      </c>
      <c r="N29" s="202">
        <f t="shared" si="25"/>
        <v>228262.92393773544</v>
      </c>
      <c r="O29" s="202">
        <f t="shared" si="25"/>
        <v>246086.46109484023</v>
      </c>
      <c r="P29" s="167">
        <f t="shared" ref="P29:R29" si="27">P70+P111+P152</f>
        <v>263441.70849397994</v>
      </c>
      <c r="Q29" s="167">
        <f t="shared" si="27"/>
        <v>280638.05355017557</v>
      </c>
      <c r="R29" s="198">
        <f t="shared" si="27"/>
        <v>297122.42034923221</v>
      </c>
      <c r="S29" s="43"/>
    </row>
    <row r="30" spans="3:26" ht="16" x14ac:dyDescent="0.2">
      <c r="C30" s="24" t="s">
        <v>2</v>
      </c>
      <c r="D30" s="42">
        <f t="shared" ref="D30:O30" si="28">D71+D112+D153</f>
        <v>47627.534906055706</v>
      </c>
      <c r="E30" s="43">
        <f t="shared" si="28"/>
        <v>50526.043705619275</v>
      </c>
      <c r="F30" s="43">
        <f t="shared" si="28"/>
        <v>53502.000734391389</v>
      </c>
      <c r="G30" s="43">
        <f t="shared" ref="G30:H30" si="29">G71+G112+G153</f>
        <v>56830.038473279797</v>
      </c>
      <c r="H30" s="43">
        <f t="shared" si="29"/>
        <v>61571.583811813289</v>
      </c>
      <c r="I30" s="202">
        <f t="shared" si="23"/>
        <v>68013.671086310816</v>
      </c>
      <c r="J30" s="202">
        <f t="shared" si="23"/>
        <v>73403.790889914584</v>
      </c>
      <c r="K30" s="202">
        <f t="shared" si="28"/>
        <v>79193.93758415099</v>
      </c>
      <c r="L30" s="202">
        <f t="shared" si="28"/>
        <v>85532.004254194326</v>
      </c>
      <c r="M30" s="202">
        <f t="shared" si="28"/>
        <v>90534.786633148455</v>
      </c>
      <c r="N30" s="202">
        <f t="shared" si="28"/>
        <v>94788.143205538407</v>
      </c>
      <c r="O30" s="202">
        <f t="shared" si="28"/>
        <v>99224.166857635995</v>
      </c>
      <c r="P30" s="167">
        <f t="shared" ref="P30:R30" si="30">P71+P112+P153</f>
        <v>102873.50826492712</v>
      </c>
      <c r="Q30" s="167">
        <f t="shared" si="30"/>
        <v>106209.14998626542</v>
      </c>
      <c r="R30" s="198">
        <f t="shared" si="30"/>
        <v>109100.51790492768</v>
      </c>
      <c r="S30" s="43"/>
    </row>
    <row r="31" spans="3:26" ht="16" x14ac:dyDescent="0.2">
      <c r="C31" s="24" t="s">
        <v>3</v>
      </c>
      <c r="D31" s="42">
        <f t="shared" ref="D31:O31" si="31">D72+D113+D154</f>
        <v>38486.901605202584</v>
      </c>
      <c r="E31" s="43">
        <f t="shared" si="31"/>
        <v>40317.325873490794</v>
      </c>
      <c r="F31" s="43">
        <f t="shared" si="31"/>
        <v>42651.027461840764</v>
      </c>
      <c r="G31" s="43">
        <f t="shared" ref="G31:H31" si="32">G72+G113+G154</f>
        <v>45913.086979622429</v>
      </c>
      <c r="H31" s="43">
        <f t="shared" si="32"/>
        <v>50000.136553712466</v>
      </c>
      <c r="I31" s="202">
        <f t="shared" si="23"/>
        <v>55389.008574491701</v>
      </c>
      <c r="J31" s="202">
        <f t="shared" si="23"/>
        <v>59915.522844510953</v>
      </c>
      <c r="K31" s="202">
        <f t="shared" si="31"/>
        <v>64199.880772308745</v>
      </c>
      <c r="L31" s="202">
        <f t="shared" si="31"/>
        <v>68640.560712785475</v>
      </c>
      <c r="M31" s="202">
        <f t="shared" si="31"/>
        <v>72054.572844441718</v>
      </c>
      <c r="N31" s="202">
        <f t="shared" si="31"/>
        <v>74828.595089436873</v>
      </c>
      <c r="O31" s="202">
        <f t="shared" si="31"/>
        <v>77739.99033679007</v>
      </c>
      <c r="P31" s="167">
        <f t="shared" ref="P31:R31" si="33">P72+P113+P154</f>
        <v>79933.91211933762</v>
      </c>
      <c r="Q31" s="167">
        <f t="shared" si="33"/>
        <v>81852.475812660385</v>
      </c>
      <c r="R31" s="198">
        <f t="shared" si="33"/>
        <v>83407.915547230121</v>
      </c>
      <c r="S31" s="43"/>
    </row>
    <row r="32" spans="3:26" ht="16" x14ac:dyDescent="0.2">
      <c r="C32" s="24" t="s">
        <v>4</v>
      </c>
      <c r="D32" s="42">
        <f t="shared" ref="D32:O32" si="34">D73+D114+D155</f>
        <v>6810.2763687791949</v>
      </c>
      <c r="E32" s="43">
        <f t="shared" si="34"/>
        <v>7148.648497588556</v>
      </c>
      <c r="F32" s="43">
        <f t="shared" si="34"/>
        <v>7475.3583672574341</v>
      </c>
      <c r="G32" s="43">
        <f t="shared" ref="G32:H32" si="35">G73+G114+G155</f>
        <v>7773.254388612404</v>
      </c>
      <c r="H32" s="43">
        <f t="shared" si="35"/>
        <v>8118.0464735030255</v>
      </c>
      <c r="I32" s="202">
        <f t="shared" si="23"/>
        <v>9352.9375391541089</v>
      </c>
      <c r="J32" s="202">
        <f t="shared" si="23"/>
        <v>9931.9829239218288</v>
      </c>
      <c r="K32" s="202">
        <f t="shared" si="34"/>
        <v>10333.851947772851</v>
      </c>
      <c r="L32" s="202">
        <f t="shared" si="34"/>
        <v>10856.899513008075</v>
      </c>
      <c r="M32" s="202">
        <f t="shared" si="34"/>
        <v>11163.826443406862</v>
      </c>
      <c r="N32" s="202">
        <f t="shared" si="34"/>
        <v>11351.53596695112</v>
      </c>
      <c r="O32" s="202">
        <f t="shared" si="34"/>
        <v>11537.558727801355</v>
      </c>
      <c r="P32" s="167">
        <f t="shared" ref="P32:R32" si="36">P73+P114+P155</f>
        <v>11537.238152377307</v>
      </c>
      <c r="Q32" s="167">
        <f t="shared" si="36"/>
        <v>11492.321148657047</v>
      </c>
      <c r="R32" s="198">
        <f t="shared" si="36"/>
        <v>11397.854650578764</v>
      </c>
      <c r="S32" s="43"/>
    </row>
    <row r="33" spans="3:21" ht="16" x14ac:dyDescent="0.2">
      <c r="C33" s="24" t="s">
        <v>5</v>
      </c>
      <c r="D33" s="42">
        <f t="shared" ref="D33:O33" si="37">D74+D115+D156</f>
        <v>19500.901435016782</v>
      </c>
      <c r="E33" s="43">
        <f t="shared" si="37"/>
        <v>20290.417656315578</v>
      </c>
      <c r="F33" s="43">
        <f t="shared" si="37"/>
        <v>20951.370347880722</v>
      </c>
      <c r="G33" s="43">
        <f t="shared" ref="G33:H33" si="38">G74+G115+G156</f>
        <v>22154.9576657322</v>
      </c>
      <c r="H33" s="43">
        <f t="shared" si="38"/>
        <v>23692.050378388813</v>
      </c>
      <c r="I33" s="202">
        <f t="shared" si="23"/>
        <v>25999.556097794542</v>
      </c>
      <c r="J33" s="202">
        <f t="shared" si="23"/>
        <v>28034.188564811757</v>
      </c>
      <c r="K33" s="202">
        <f t="shared" si="37"/>
        <v>29307.999510681602</v>
      </c>
      <c r="L33" s="202">
        <f t="shared" si="37"/>
        <v>30697.240729933659</v>
      </c>
      <c r="M33" s="202">
        <f t="shared" si="37"/>
        <v>31567.137785820771</v>
      </c>
      <c r="N33" s="202">
        <f t="shared" si="37"/>
        <v>32122.927826776169</v>
      </c>
      <c r="O33" s="202">
        <f t="shared" si="37"/>
        <v>32706.198347431957</v>
      </c>
      <c r="P33" s="167">
        <f t="shared" ref="P33:R33" si="39">P74+P115+P156</f>
        <v>32933.73896653024</v>
      </c>
      <c r="Q33" s="167">
        <f t="shared" si="39"/>
        <v>33028.388399678304</v>
      </c>
      <c r="R33" s="198">
        <f t="shared" si="39"/>
        <v>32966.016079742869</v>
      </c>
      <c r="S33" s="43"/>
    </row>
    <row r="34" spans="3:21" ht="16" x14ac:dyDescent="0.2">
      <c r="C34" s="24" t="s">
        <v>6</v>
      </c>
      <c r="D34" s="42">
        <f t="shared" ref="D34:O34" si="40">D75+D116+D157</f>
        <v>14200.272381789251</v>
      </c>
      <c r="E34" s="43">
        <f t="shared" si="40"/>
        <v>14869.92259916243</v>
      </c>
      <c r="F34" s="43">
        <f t="shared" si="40"/>
        <v>15413.650170660454</v>
      </c>
      <c r="G34" s="43">
        <f t="shared" ref="G34:H34" si="41">G75+G116+G157</f>
        <v>15921.678361221431</v>
      </c>
      <c r="H34" s="43">
        <f t="shared" si="41"/>
        <v>16503.693375187133</v>
      </c>
      <c r="I34" s="202">
        <f t="shared" si="23"/>
        <v>18674.253177353759</v>
      </c>
      <c r="J34" s="202">
        <f t="shared" si="23"/>
        <v>19547.846278385157</v>
      </c>
      <c r="K34" s="202">
        <f t="shared" si="40"/>
        <v>20513.579418085785</v>
      </c>
      <c r="L34" s="202">
        <f t="shared" si="40"/>
        <v>21638.000062382816</v>
      </c>
      <c r="M34" s="202">
        <f t="shared" si="40"/>
        <v>22410.927926542419</v>
      </c>
      <c r="N34" s="202">
        <f t="shared" si="40"/>
        <v>23086.060367449973</v>
      </c>
      <c r="O34" s="202">
        <f t="shared" si="40"/>
        <v>23786.427153895904</v>
      </c>
      <c r="P34" s="167">
        <f t="shared" ref="P34:R34" si="42">P75+P116+P157</f>
        <v>24243.498481666909</v>
      </c>
      <c r="Q34" s="167">
        <f t="shared" si="42"/>
        <v>24610.922145230139</v>
      </c>
      <c r="R34" s="198">
        <f t="shared" si="42"/>
        <v>24870.621203230141</v>
      </c>
      <c r="S34" s="43"/>
    </row>
    <row r="35" spans="3:21" ht="16" x14ac:dyDescent="0.2">
      <c r="C35" s="24" t="s">
        <v>7</v>
      </c>
      <c r="D35" s="42">
        <f t="shared" ref="D35:O35" si="43">D76+D117+D158</f>
        <v>28345.755748022464</v>
      </c>
      <c r="E35" s="43">
        <f t="shared" si="43"/>
        <v>29430.233841753048</v>
      </c>
      <c r="F35" s="43">
        <f t="shared" si="43"/>
        <v>30783.775079626481</v>
      </c>
      <c r="G35" s="43">
        <f t="shared" ref="G35:H35" si="44">G76+G117+G158</f>
        <v>32669.066889883863</v>
      </c>
      <c r="H35" s="43">
        <f t="shared" si="44"/>
        <v>34744.320405365143</v>
      </c>
      <c r="I35" s="202">
        <f t="shared" si="23"/>
        <v>37365.710042873587</v>
      </c>
      <c r="J35" s="202">
        <f t="shared" si="23"/>
        <v>39692.260087751129</v>
      </c>
      <c r="K35" s="202">
        <f t="shared" si="43"/>
        <v>41272.888083062768</v>
      </c>
      <c r="L35" s="202">
        <f t="shared" si="43"/>
        <v>42815.134886442611</v>
      </c>
      <c r="M35" s="202">
        <f t="shared" si="43"/>
        <v>43777.655283519336</v>
      </c>
      <c r="N35" s="202">
        <f t="shared" si="43"/>
        <v>44279.449487534628</v>
      </c>
      <c r="O35" s="202">
        <f t="shared" si="43"/>
        <v>44810.672238211548</v>
      </c>
      <c r="P35" s="167">
        <f t="shared" ref="P35:R35" si="45">P76+P117+P158</f>
        <v>44793.120288083068</v>
      </c>
      <c r="Q35" s="167">
        <f t="shared" si="45"/>
        <v>44602.396700486708</v>
      </c>
      <c r="R35" s="198">
        <f t="shared" si="45"/>
        <v>44216.191496381405</v>
      </c>
      <c r="S35" s="43"/>
    </row>
    <row r="36" spans="3:21" ht="16" x14ac:dyDescent="0.2">
      <c r="C36" s="24" t="s">
        <v>8</v>
      </c>
      <c r="D36" s="42">
        <f t="shared" ref="D36:O36" si="46">D77+D118+D159</f>
        <v>32555.975857539139</v>
      </c>
      <c r="E36" s="43">
        <f t="shared" si="46"/>
        <v>34015.670674965695</v>
      </c>
      <c r="F36" s="43">
        <f t="shared" si="46"/>
        <v>35439.504027070041</v>
      </c>
      <c r="G36" s="43">
        <f t="shared" ref="G36:H36" si="47">G77+G118+G159</f>
        <v>37370.208034302574</v>
      </c>
      <c r="H36" s="43">
        <f t="shared" si="47"/>
        <v>40356.151171683276</v>
      </c>
      <c r="I36" s="202">
        <f t="shared" si="23"/>
        <v>44823.777986266665</v>
      </c>
      <c r="J36" s="202">
        <f t="shared" si="23"/>
        <v>48341.224459745921</v>
      </c>
      <c r="K36" s="202">
        <f t="shared" si="46"/>
        <v>51092.783335873326</v>
      </c>
      <c r="L36" s="202">
        <f t="shared" si="46"/>
        <v>54159.511727101366</v>
      </c>
      <c r="M36" s="202">
        <f t="shared" si="46"/>
        <v>56223.768310540494</v>
      </c>
      <c r="N36" s="202">
        <f t="shared" si="46"/>
        <v>57981.507441461326</v>
      </c>
      <c r="O36" s="202">
        <f t="shared" si="46"/>
        <v>59803.512875718414</v>
      </c>
      <c r="P36" s="167">
        <f t="shared" ref="P36:R36" si="48">P77+P118+P159</f>
        <v>61131.185820272687</v>
      </c>
      <c r="Q36" s="167">
        <f t="shared" si="48"/>
        <v>62219.34108955074</v>
      </c>
      <c r="R36" s="198">
        <f t="shared" si="48"/>
        <v>62991.373210403603</v>
      </c>
      <c r="S36" s="43"/>
    </row>
    <row r="37" spans="3:21" ht="16" x14ac:dyDescent="0.2">
      <c r="C37" s="24" t="s">
        <v>9</v>
      </c>
      <c r="D37" s="42">
        <f t="shared" ref="D37:O37" si="49">D78+D119+D160</f>
        <v>22752.292583474093</v>
      </c>
      <c r="E37" s="43">
        <f t="shared" si="49"/>
        <v>23572.753806636047</v>
      </c>
      <c r="F37" s="43">
        <f t="shared" si="49"/>
        <v>24690.775298321823</v>
      </c>
      <c r="G37" s="43">
        <f t="shared" ref="G37:H37" si="50">G78+G119+G160</f>
        <v>26101.820965127859</v>
      </c>
      <c r="H37" s="43">
        <f t="shared" si="50"/>
        <v>27750.23499602059</v>
      </c>
      <c r="I37" s="202">
        <f t="shared" si="23"/>
        <v>29857.814759544595</v>
      </c>
      <c r="J37" s="202">
        <f t="shared" si="23"/>
        <v>31618.398576952877</v>
      </c>
      <c r="K37" s="202">
        <f t="shared" si="49"/>
        <v>33336.453370594951</v>
      </c>
      <c r="L37" s="202">
        <f t="shared" si="49"/>
        <v>35152.917674522003</v>
      </c>
      <c r="M37" s="202">
        <f t="shared" si="49"/>
        <v>36280.630018582247</v>
      </c>
      <c r="N37" s="202">
        <f t="shared" si="49"/>
        <v>36970.265265790556</v>
      </c>
      <c r="O37" s="202">
        <f t="shared" si="49"/>
        <v>37660.209608389894</v>
      </c>
      <c r="P37" s="167">
        <f t="shared" ref="P37:R37" si="51">P78+P119+P160</f>
        <v>38057.074680289654</v>
      </c>
      <c r="Q37" s="167">
        <f t="shared" si="51"/>
        <v>38306.041945015982</v>
      </c>
      <c r="R37" s="198">
        <f t="shared" si="51"/>
        <v>38377.518782341358</v>
      </c>
      <c r="S37" s="43"/>
    </row>
    <row r="38" spans="3:21" ht="16" x14ac:dyDescent="0.2">
      <c r="C38" s="24" t="s">
        <v>10</v>
      </c>
      <c r="D38" s="42">
        <f t="shared" ref="D38:O38" si="52">D79+D120+D161</f>
        <v>6060.9335797665171</v>
      </c>
      <c r="E38" s="43">
        <f t="shared" si="52"/>
        <v>6141.6430271763165</v>
      </c>
      <c r="F38" s="43">
        <f t="shared" si="52"/>
        <v>6229.900503929548</v>
      </c>
      <c r="G38" s="43">
        <f t="shared" ref="G38:H38" si="53">G79+G120+G161</f>
        <v>6170.9929247168629</v>
      </c>
      <c r="H38" s="43">
        <f t="shared" si="53"/>
        <v>6250.8087262688941</v>
      </c>
      <c r="I38" s="202">
        <f t="shared" si="23"/>
        <v>6706.5537955072405</v>
      </c>
      <c r="J38" s="202">
        <f t="shared" si="23"/>
        <v>6984.8573555578978</v>
      </c>
      <c r="K38" s="202">
        <f t="shared" si="52"/>
        <v>7124.2653612329113</v>
      </c>
      <c r="L38" s="202">
        <f t="shared" si="52"/>
        <v>7294.6239669055276</v>
      </c>
      <c r="M38" s="202">
        <f t="shared" si="52"/>
        <v>7255.2837144320174</v>
      </c>
      <c r="N38" s="202">
        <f t="shared" si="52"/>
        <v>7211.4777418188069</v>
      </c>
      <c r="O38" s="202">
        <f t="shared" si="52"/>
        <v>7178.4055144627973</v>
      </c>
      <c r="P38" s="167">
        <f t="shared" ref="P38:R38" si="54">P79+P120+P161</f>
        <v>7066.6215995512066</v>
      </c>
      <c r="Q38" s="167">
        <f t="shared" si="54"/>
        <v>6930.7926320420111</v>
      </c>
      <c r="R38" s="198">
        <f t="shared" si="54"/>
        <v>6769.1624955205298</v>
      </c>
      <c r="S38" s="43"/>
    </row>
    <row r="39" spans="3:21" ht="16" x14ac:dyDescent="0.2">
      <c r="C39" s="24" t="s">
        <v>11</v>
      </c>
      <c r="D39" s="42">
        <f t="shared" ref="D39:O39" si="55">D80+D121+D162</f>
        <v>69558.324727235275</v>
      </c>
      <c r="E39" s="43">
        <f t="shared" si="55"/>
        <v>74822.70263884704</v>
      </c>
      <c r="F39" s="43">
        <f t="shared" si="55"/>
        <v>79789.413023884728</v>
      </c>
      <c r="G39" s="43">
        <f t="shared" ref="G39:H39" si="56">G80+G121+G162</f>
        <v>83401.270429304306</v>
      </c>
      <c r="H39" s="43">
        <f t="shared" si="56"/>
        <v>86734.556500343228</v>
      </c>
      <c r="I39" s="202">
        <f t="shared" si="23"/>
        <v>92396.619431464758</v>
      </c>
      <c r="J39" s="202">
        <f t="shared" si="23"/>
        <v>96939.643017504262</v>
      </c>
      <c r="K39" s="202">
        <f t="shared" si="55"/>
        <v>105408.1316424096</v>
      </c>
      <c r="L39" s="202">
        <f t="shared" si="55"/>
        <v>114672.62208660108</v>
      </c>
      <c r="M39" s="202">
        <f t="shared" si="55"/>
        <v>122108.98329986904</v>
      </c>
      <c r="N39" s="202">
        <f t="shared" si="55"/>
        <v>128769.49516714165</v>
      </c>
      <c r="O39" s="202">
        <f t="shared" si="55"/>
        <v>135759.45497023812</v>
      </c>
      <c r="P39" s="167">
        <f t="shared" ref="P39:R39" si="57">P80+P121+P162</f>
        <v>142032.17991910849</v>
      </c>
      <c r="Q39" s="167">
        <f t="shared" si="57"/>
        <v>147934.08602332746</v>
      </c>
      <c r="R39" s="198">
        <f t="shared" si="57"/>
        <v>153242.59738205132</v>
      </c>
      <c r="S39" s="43"/>
    </row>
    <row r="40" spans="3:21" ht="16" x14ac:dyDescent="0.2">
      <c r="C40" s="24" t="s">
        <v>12</v>
      </c>
      <c r="D40" s="42">
        <f t="shared" ref="D40:O40" si="58">D81+D122+D163</f>
        <v>23233.74952469812</v>
      </c>
      <c r="E40" s="43">
        <f t="shared" si="58"/>
        <v>24255.935396700748</v>
      </c>
      <c r="F40" s="43">
        <f t="shared" si="58"/>
        <v>25584.933385519427</v>
      </c>
      <c r="G40" s="43">
        <f t="shared" ref="G40:H40" si="59">G81+G122+G163</f>
        <v>27376.377877397164</v>
      </c>
      <c r="H40" s="43">
        <f t="shared" si="59"/>
        <v>29965.056171242435</v>
      </c>
      <c r="I40" s="202">
        <f t="shared" si="23"/>
        <v>32447.936294652671</v>
      </c>
      <c r="J40" s="202">
        <f t="shared" si="23"/>
        <v>34966.463695318751</v>
      </c>
      <c r="K40" s="202">
        <f t="shared" si="58"/>
        <v>37316.980144898611</v>
      </c>
      <c r="L40" s="202">
        <f t="shared" si="58"/>
        <v>39768.459103518777</v>
      </c>
      <c r="M40" s="202">
        <f t="shared" si="58"/>
        <v>41544.132242261272</v>
      </c>
      <c r="N40" s="202">
        <f t="shared" si="58"/>
        <v>43006.869022341816</v>
      </c>
      <c r="O40" s="202">
        <f t="shared" si="58"/>
        <v>44519.066734249223</v>
      </c>
      <c r="P40" s="167">
        <f t="shared" ref="P40:R40" si="60">P81+P122+P163</f>
        <v>45682.599055191131</v>
      </c>
      <c r="Q40" s="167">
        <f t="shared" si="60"/>
        <v>46685.131695185439</v>
      </c>
      <c r="R40" s="198">
        <f t="shared" si="60"/>
        <v>47476.048514836992</v>
      </c>
      <c r="S40" s="43"/>
    </row>
    <row r="41" spans="3:21" ht="17" thickBot="1" x14ac:dyDescent="0.25">
      <c r="C41" s="25" t="s">
        <v>13</v>
      </c>
      <c r="D41" s="45">
        <f t="shared" ref="D41:O41" si="61">D82+D123+D164</f>
        <v>16453.620907436845</v>
      </c>
      <c r="E41" s="46">
        <f t="shared" si="61"/>
        <v>17182.204694011823</v>
      </c>
      <c r="F41" s="46">
        <f t="shared" si="61"/>
        <v>17939.994069210927</v>
      </c>
      <c r="G41" s="46">
        <f t="shared" ref="G41:H41" si="62">G82+G123+G164</f>
        <v>18850.189571819312</v>
      </c>
      <c r="H41" s="46">
        <f t="shared" si="62"/>
        <v>19773.222380020292</v>
      </c>
      <c r="I41" s="203">
        <f t="shared" si="23"/>
        <v>21251.502881339991</v>
      </c>
      <c r="J41" s="203">
        <f t="shared" si="23"/>
        <v>22447.110148611227</v>
      </c>
      <c r="K41" s="203">
        <f t="shared" si="61"/>
        <v>23207.294182948895</v>
      </c>
      <c r="L41" s="203">
        <f t="shared" si="61"/>
        <v>24053.457214926402</v>
      </c>
      <c r="M41" s="203">
        <f t="shared" si="61"/>
        <v>24521.416330336415</v>
      </c>
      <c r="N41" s="203">
        <f t="shared" si="61"/>
        <v>24743.70108716263</v>
      </c>
      <c r="O41" s="203">
        <f t="shared" si="61"/>
        <v>24957.78999032321</v>
      </c>
      <c r="P41" s="171">
        <f t="shared" ref="P41:R41" si="63">P82+P123+P164</f>
        <v>24910.914488306498</v>
      </c>
      <c r="Q41" s="171">
        <f t="shared" si="63"/>
        <v>24766.155574462824</v>
      </c>
      <c r="R41" s="199">
        <f t="shared" si="63"/>
        <v>24509.940734152791</v>
      </c>
      <c r="S41" s="43"/>
    </row>
    <row r="42" spans="3:21" ht="19" thickTop="1" thickBot="1" x14ac:dyDescent="0.25">
      <c r="C42" s="20" t="s">
        <v>24</v>
      </c>
      <c r="D42" s="48">
        <f t="shared" ref="D42:O42" si="64">SUM(D28:D41)</f>
        <v>437763</v>
      </c>
      <c r="E42" s="48">
        <f t="shared" si="64"/>
        <v>460612.00000000006</v>
      </c>
      <c r="F42" s="48">
        <f t="shared" si="64"/>
        <v>488523</v>
      </c>
      <c r="G42" s="48">
        <f t="shared" si="64"/>
        <v>521707.00000000012</v>
      </c>
      <c r="H42" s="48">
        <f t="shared" si="64"/>
        <v>562769.99999999988</v>
      </c>
      <c r="I42" s="48">
        <f t="shared" si="64"/>
        <v>614473.96495491138</v>
      </c>
      <c r="J42" s="48">
        <f t="shared" ref="J42" si="65">SUM(J28:J41)</f>
        <v>655742.97062905168</v>
      </c>
      <c r="K42" s="48">
        <f t="shared" si="64"/>
        <v>706240.61932013882</v>
      </c>
      <c r="L42" s="48">
        <f t="shared" si="64"/>
        <v>761939.11986254738</v>
      </c>
      <c r="M42" s="48">
        <f t="shared" si="64"/>
        <v>805257.24120505189</v>
      </c>
      <c r="N42" s="48">
        <f t="shared" si="64"/>
        <v>842690.37409528939</v>
      </c>
      <c r="O42" s="48">
        <f t="shared" si="64"/>
        <v>881904.48575371271</v>
      </c>
      <c r="P42" s="62">
        <f t="shared" ref="P42:R42" si="66">SUM(P28:P41)</f>
        <v>915205.7255236702</v>
      </c>
      <c r="Q42" s="62">
        <f t="shared" si="66"/>
        <v>946140.92925830081</v>
      </c>
      <c r="R42" s="63">
        <f t="shared" si="66"/>
        <v>973453.69806970225</v>
      </c>
      <c r="S42" s="43"/>
      <c r="U42" t="s">
        <v>64</v>
      </c>
    </row>
    <row r="43" spans="3:21" ht="14" thickTop="1" x14ac:dyDescent="0.15"/>
    <row r="45" spans="3:21" ht="14" thickBot="1" x14ac:dyDescent="0.2"/>
    <row r="46" spans="3:21" ht="17" thickTop="1" x14ac:dyDescent="0.2">
      <c r="C46" s="32" t="s">
        <v>59</v>
      </c>
      <c r="D46" s="33"/>
      <c r="E46" s="33"/>
      <c r="F46" s="33"/>
      <c r="G46" s="33"/>
      <c r="H46" s="33"/>
      <c r="I46" s="33"/>
      <c r="J46" s="33"/>
      <c r="K46" s="34"/>
      <c r="L46" s="34"/>
      <c r="M46" s="34"/>
      <c r="N46" s="34"/>
      <c r="O46" s="34"/>
      <c r="P46" s="34"/>
      <c r="Q46" s="34"/>
      <c r="R46" s="35"/>
      <c r="S46" s="121"/>
    </row>
    <row r="47" spans="3:21" ht="14" thickBot="1" x14ac:dyDescent="0.2">
      <c r="C47" s="36"/>
      <c r="D47" s="37" t="s">
        <v>25</v>
      </c>
      <c r="E47" s="37" t="s">
        <v>37</v>
      </c>
      <c r="F47" s="37" t="s">
        <v>38</v>
      </c>
      <c r="G47" s="37" t="s">
        <v>177</v>
      </c>
      <c r="H47" s="37" t="s">
        <v>178</v>
      </c>
      <c r="I47" s="37" t="s">
        <v>26</v>
      </c>
      <c r="J47" s="37"/>
      <c r="K47" s="37" t="s">
        <v>27</v>
      </c>
      <c r="L47" s="37" t="s">
        <v>28</v>
      </c>
      <c r="M47" s="37" t="s">
        <v>29</v>
      </c>
      <c r="N47" s="37" t="s">
        <v>30</v>
      </c>
      <c r="O47" s="37" t="s">
        <v>31</v>
      </c>
      <c r="P47" s="37" t="s">
        <v>174</v>
      </c>
      <c r="Q47" s="37" t="s">
        <v>175</v>
      </c>
      <c r="R47" s="38" t="s">
        <v>176</v>
      </c>
      <c r="S47" s="65"/>
    </row>
    <row r="48" spans="3:21" ht="15" thickTop="1" thickBot="1" x14ac:dyDescent="0.2">
      <c r="C48" s="70"/>
      <c r="D48" s="65" t="s">
        <v>39</v>
      </c>
      <c r="E48" s="65" t="s">
        <v>39</v>
      </c>
      <c r="F48" s="65" t="s">
        <v>39</v>
      </c>
      <c r="G48" s="65" t="s">
        <v>39</v>
      </c>
      <c r="H48" s="65" t="s">
        <v>39</v>
      </c>
      <c r="I48" s="65" t="s">
        <v>182</v>
      </c>
      <c r="J48" s="65"/>
      <c r="K48" s="65" t="s">
        <v>32</v>
      </c>
      <c r="L48" s="65" t="s">
        <v>32</v>
      </c>
      <c r="M48" s="65" t="s">
        <v>32</v>
      </c>
      <c r="N48" s="65" t="s">
        <v>32</v>
      </c>
      <c r="O48" s="65" t="s">
        <v>32</v>
      </c>
      <c r="P48" s="65" t="s">
        <v>32</v>
      </c>
      <c r="Q48" s="65" t="s">
        <v>32</v>
      </c>
      <c r="R48" s="66" t="s">
        <v>32</v>
      </c>
      <c r="S48" s="65"/>
    </row>
    <row r="49" spans="3:19" ht="17" thickTop="1" x14ac:dyDescent="0.2">
      <c r="C49" s="24" t="s">
        <v>0</v>
      </c>
      <c r="D49" s="52">
        <f>D7*('[1]12_13 fleet'!$D422/'Original 2012-13 Data'!$D6)/1000000</f>
        <v>186.50249552367717</v>
      </c>
      <c r="E49" s="53">
        <f>E7*('[2]13_14 fleet'!$D424/'Original 2013-14 Data'!$D6)/1000000</f>
        <v>199.51592594777978</v>
      </c>
      <c r="F49" s="53">
        <f>F7*('[3]14_15 fleet'!$D424/'Original 2014-15 Data'!$D6)/1000000</f>
        <v>213.0925923572577</v>
      </c>
      <c r="G49" s="53">
        <f>G7*('[4]15_16 fleet'!$D424/'Original 2015-16 Data'!$D6)/1000000</f>
        <v>229.50121908983186</v>
      </c>
      <c r="H49" s="53">
        <f>H7*('[5]16_17 fleet_v2'!$D424/'Original 2016-17 Data'!$D6)/1000000</f>
        <v>237.19080376948591</v>
      </c>
      <c r="I49" s="129">
        <f>I7*('[6]17_18 fleet_v3'!$D474/'Original 2017-18 Data'!$D6)/1000000</f>
        <v>269.46449518356053</v>
      </c>
      <c r="J49" s="129">
        <f>J7*('[7]18_19 fleet_v3'!$D474/'Original 2017-18 Data'!$D6)/1000000</f>
        <v>314.6510500667701</v>
      </c>
      <c r="K49" s="129">
        <f>$J49*('Light Vehicle Supporting Data'!K47/'Light Vehicle Supporting Data'!$J47)*IF(NOT('Household Vehicle Occupancy'!$C$3),'Household Vehicle Occupancy'!K10/'Household Vehicle Occupancy'!K51,1)</f>
        <v>328.3986864248447</v>
      </c>
      <c r="L49" s="129">
        <f>$J49*('Light Vehicle Supporting Data'!L47/'Light Vehicle Supporting Data'!$J47)*IF(NOT('Household Vehicle Occupancy'!$C$3),'Household Vehicle Occupancy'!L10/'Household Vehicle Occupancy'!L51,1)</f>
        <v>321.54316641912624</v>
      </c>
      <c r="M49" s="129">
        <f>$J49*('Light Vehicle Supporting Data'!M47/'Light Vehicle Supporting Data'!$J47)*IF(NOT('Household Vehicle Occupancy'!$C$3),'Household Vehicle Occupancy'!M10/'Household Vehicle Occupancy'!M51,1)</f>
        <v>311.801067877072</v>
      </c>
      <c r="N49" s="129">
        <f>$J49*('Light Vehicle Supporting Data'!N47/'Light Vehicle Supporting Data'!$J47)*IF(NOT('Household Vehicle Occupancy'!$C$3),'Household Vehicle Occupancy'!N10/'Household Vehicle Occupancy'!N51,1)</f>
        <v>298.25511805598347</v>
      </c>
      <c r="O49" s="129">
        <f>$J49*('Light Vehicle Supporting Data'!O47/'Light Vehicle Supporting Data'!$J47)*IF(NOT('Household Vehicle Occupancy'!$C$3),'Household Vehicle Occupancy'!O10/'Household Vehicle Occupancy'!O51,1)</f>
        <v>282.95308983515764</v>
      </c>
      <c r="P49" s="129">
        <f>$J49*('Light Vehicle Supporting Data'!P47/'Light Vehicle Supporting Data'!$J47)*IF(NOT('Household Vehicle Occupancy'!$C$3),'Household Vehicle Occupancy'!P10/'Household Vehicle Occupancy'!P51,1)</f>
        <v>266.72672351938417</v>
      </c>
      <c r="Q49" s="129">
        <f>$J49*('Light Vehicle Supporting Data'!Q47/'Light Vehicle Supporting Data'!$J47)*IF(NOT('Household Vehicle Occupancy'!$C$3),'Household Vehicle Occupancy'!Q10/'Household Vehicle Occupancy'!Q51,1)</f>
        <v>249.51859058242772</v>
      </c>
      <c r="R49" s="197">
        <f>$J49*('Light Vehicle Supporting Data'!R47/'Light Vehicle Supporting Data'!$J47)*IF(NOT('Household Vehicle Occupancy'!$C$3),'Household Vehicle Occupancy'!R10/'Household Vehicle Occupancy'!R51,1)</f>
        <v>231.73239004179487</v>
      </c>
      <c r="S49" s="56"/>
    </row>
    <row r="50" spans="3:19" ht="16" x14ac:dyDescent="0.2">
      <c r="C50" s="24" t="s">
        <v>1</v>
      </c>
      <c r="D50" s="55">
        <f>D8*('[1]12_13 fleet'!$D423/'Original 2012-13 Data'!$D7)/1000000</f>
        <v>547.50802253234895</v>
      </c>
      <c r="E50" s="56">
        <f>E8*('[2]13_14 fleet'!$D425/'Original 2013-14 Data'!$D7)/1000000</f>
        <v>567.14129939277461</v>
      </c>
      <c r="F50" s="56">
        <f>F8*('[3]14_15 fleet'!$D425/'Original 2014-15 Data'!$D7)/1000000</f>
        <v>603.00470213965696</v>
      </c>
      <c r="G50" s="56">
        <f>G8*('[4]15_16 fleet'!$D425/'Original 2015-16 Data'!$D7)/1000000</f>
        <v>664.88697936278766</v>
      </c>
      <c r="H50" s="56">
        <f>H8*('[5]16_17 fleet_v2'!$D425/'Original 2016-17 Data'!$D7)/1000000</f>
        <v>705.442775976299</v>
      </c>
      <c r="I50" s="167">
        <f>I8*('[6]17_18 fleet_v3'!$D475/'Original 2017-18 Data'!$D7)/1000000</f>
        <v>720.24421705378222</v>
      </c>
      <c r="J50" s="167">
        <f>J8*('[7]18_19 fleet_v3'!$D475/'Original 2017-18 Data'!$D7)/1000000</f>
        <v>851.55252636028524</v>
      </c>
      <c r="K50" s="167">
        <f>$J50*('Light Vehicle Supporting Data'!K48/'Light Vehicle Supporting Data'!$J48)*IF(NOT('Household Vehicle Occupancy'!$C$3),'Household Vehicle Occupancy'!K11/'Household Vehicle Occupancy'!K52,1)</f>
        <v>915.94544484763924</v>
      </c>
      <c r="L50" s="167">
        <f>$J50*('Light Vehicle Supporting Data'!L48/'Light Vehicle Supporting Data'!$J48)*IF(NOT('Household Vehicle Occupancy'!$C$3),'Household Vehicle Occupancy'!L11/'Household Vehicle Occupancy'!L52,1)</f>
        <v>923.74899062612849</v>
      </c>
      <c r="M50" s="167">
        <f>$J50*('Light Vehicle Supporting Data'!M48/'Light Vehicle Supporting Data'!$J48)*IF(NOT('Household Vehicle Occupancy'!$C$3),'Household Vehicle Occupancy'!M11/'Household Vehicle Occupancy'!M52,1)</f>
        <v>927.6398016569276</v>
      </c>
      <c r="N50" s="167">
        <f>$J50*('Light Vehicle Supporting Data'!N48/'Light Vehicle Supporting Data'!$J48)*IF(NOT('Household Vehicle Occupancy'!$C$3),'Household Vehicle Occupancy'!N11/'Household Vehicle Occupancy'!N52,1)</f>
        <v>917.81914429442929</v>
      </c>
      <c r="O50" s="167">
        <f>$J50*('Light Vehicle Supporting Data'!O48/'Light Vehicle Supporting Data'!$J48)*IF(NOT('Household Vehicle Occupancy'!$C$3),'Household Vehicle Occupancy'!O11/'Household Vehicle Occupancy'!O52,1)</f>
        <v>900.46466597772712</v>
      </c>
      <c r="P50" s="167">
        <f>$J50*('Light Vehicle Supporting Data'!P48/'Light Vehicle Supporting Data'!$J48)*IF(NOT('Household Vehicle Occupancy'!$C$3),'Household Vehicle Occupancy'!P11/'Household Vehicle Occupancy'!P52,1)</f>
        <v>878.29791081219958</v>
      </c>
      <c r="Q50" s="167">
        <f>$J50*('Light Vehicle Supporting Data'!Q48/'Light Vehicle Supporting Data'!$J48)*IF(NOT('Household Vehicle Occupancy'!$C$3),'Household Vehicle Occupancy'!Q11/'Household Vehicle Occupancy'!Q52,1)</f>
        <v>850.0255699370033</v>
      </c>
      <c r="R50" s="198">
        <f>$J50*('Light Vehicle Supporting Data'!R48/'Light Vehicle Supporting Data'!$J48)*IF(NOT('Household Vehicle Occupancy'!$C$3),'Household Vehicle Occupancy'!R11/'Household Vehicle Occupancy'!R52,1)</f>
        <v>816.42797370635401</v>
      </c>
      <c r="S50" s="56"/>
    </row>
    <row r="51" spans="3:19" ht="16" x14ac:dyDescent="0.2">
      <c r="C51" s="24" t="s">
        <v>2</v>
      </c>
      <c r="D51" s="55">
        <f>D9*('[1]12_13 fleet'!$D424/'Original 2012-13 Data'!$D8)/1000000</f>
        <v>459.45538822608523</v>
      </c>
      <c r="E51" s="56">
        <f>E9*('[2]13_14 fleet'!$D426/'Original 2013-14 Data'!$D8)/1000000</f>
        <v>452.95187200601356</v>
      </c>
      <c r="F51" s="56">
        <f>F9*('[3]14_15 fleet'!$D426/'Original 2014-15 Data'!$D8)/1000000</f>
        <v>489.985749765322</v>
      </c>
      <c r="G51" s="56">
        <f>G9*('[4]15_16 fleet'!$D426/'Original 2015-16 Data'!$D8)/1000000</f>
        <v>540.03531042709733</v>
      </c>
      <c r="H51" s="56">
        <f>H9*('[5]16_17 fleet_v2'!$D426/'Original 2016-17 Data'!$D8)/1000000</f>
        <v>579.64463972774445</v>
      </c>
      <c r="I51" s="167">
        <f>I9*('[6]17_18 fleet_v3'!$D476/'Original 2017-18 Data'!$D8)/1000000</f>
        <v>642.09091790099808</v>
      </c>
      <c r="J51" s="167">
        <f>J9*('[7]18_19 fleet_v3'!$D476/'Original 2017-18 Data'!$D8)/1000000</f>
        <v>738.99051452261051</v>
      </c>
      <c r="K51" s="167">
        <f>$J51*('Light Vehicle Supporting Data'!K49/'Light Vehicle Supporting Data'!$J49)*IF(NOT('Household Vehicle Occupancy'!$C$3),'Household Vehicle Occupancy'!K12/'Household Vehicle Occupancy'!K53,1)</f>
        <v>780.28369977862997</v>
      </c>
      <c r="L51" s="167">
        <f>$J51*('Light Vehicle Supporting Data'!L49/'Light Vehicle Supporting Data'!$J49)*IF(NOT('Household Vehicle Occupancy'!$C$3),'Household Vehicle Occupancy'!L12/'Household Vehicle Occupancy'!L53,1)</f>
        <v>774.27245411344416</v>
      </c>
      <c r="M51" s="167">
        <f>$J51*('Light Vehicle Supporting Data'!M49/'Light Vehicle Supporting Data'!$J49)*IF(NOT('Household Vehicle Occupancy'!$C$3),'Household Vehicle Occupancy'!M12/'Household Vehicle Occupancy'!M53,1)</f>
        <v>761.90444036668714</v>
      </c>
      <c r="N51" s="167">
        <f>$J51*('Light Vehicle Supporting Data'!N49/'Light Vehicle Supporting Data'!$J49)*IF(NOT('Household Vehicle Occupancy'!$C$3),'Household Vehicle Occupancy'!N12/'Household Vehicle Occupancy'!N53,1)</f>
        <v>740.00337185660192</v>
      </c>
      <c r="O51" s="167">
        <f>$J51*('Light Vehicle Supporting Data'!O49/'Light Vehicle Supporting Data'!$J49)*IF(NOT('Household Vehicle Occupancy'!$C$3),'Household Vehicle Occupancy'!O12/'Household Vehicle Occupancy'!O53,1)</f>
        <v>713.59220503041161</v>
      </c>
      <c r="P51" s="167">
        <f>$J51*('Light Vehicle Supporting Data'!P49/'Light Vehicle Supporting Data'!$J49)*IF(NOT('Household Vehicle Occupancy'!$C$3),'Household Vehicle Occupancy'!P12/'Household Vehicle Occupancy'!P53,1)</f>
        <v>683.74167183209977</v>
      </c>
      <c r="Q51" s="167">
        <f>$J51*('Light Vehicle Supporting Data'!Q49/'Light Vehicle Supporting Data'!$J49)*IF(NOT('Household Vehicle Occupancy'!$C$3),'Household Vehicle Occupancy'!Q12/'Household Vehicle Occupancy'!Q53,1)</f>
        <v>650.15707203399927</v>
      </c>
      <c r="R51" s="198">
        <f>$J51*('Light Vehicle Supporting Data'!R49/'Light Vehicle Supporting Data'!$J49)*IF(NOT('Household Vehicle Occupancy'!$C$3),'Household Vehicle Occupancy'!R12/'Household Vehicle Occupancy'!R53,1)</f>
        <v>613.75067961454477</v>
      </c>
      <c r="S51" s="56"/>
    </row>
    <row r="52" spans="3:19" ht="16" x14ac:dyDescent="0.2">
      <c r="C52" s="24" t="s">
        <v>3</v>
      </c>
      <c r="D52" s="55">
        <f>D10*('[1]12_13 fleet'!$D425/'Original 2012-13 Data'!$D9)/1000000</f>
        <v>237.42340479384896</v>
      </c>
      <c r="E52" s="56">
        <f>E10*('[2]13_14 fleet'!$D427/'Original 2013-14 Data'!$D9)/1000000</f>
        <v>250.12156700939406</v>
      </c>
      <c r="F52" s="56">
        <f>F10*('[3]14_15 fleet'!$D427/'Original 2014-15 Data'!$D9)/1000000</f>
        <v>263.72991953361412</v>
      </c>
      <c r="G52" s="56">
        <f>G10*('[4]15_16 fleet'!$D427/'Original 2015-16 Data'!$D9)/1000000</f>
        <v>285.50955707144271</v>
      </c>
      <c r="H52" s="56">
        <f>H10*('[5]16_17 fleet_v2'!$D427/'Original 2016-17 Data'!$D9)/1000000</f>
        <v>330.20727632054826</v>
      </c>
      <c r="I52" s="167">
        <f>I10*('[6]17_18 fleet_v3'!$D477/'Original 2017-18 Data'!$D9)/1000000</f>
        <v>341.83388849221564</v>
      </c>
      <c r="J52" s="167">
        <f>J10*('[7]18_19 fleet_v3'!$D477/'Original 2017-18 Data'!$D9)/1000000</f>
        <v>400.81707261506358</v>
      </c>
      <c r="K52" s="167">
        <f>$J52*('Light Vehicle Supporting Data'!K50/'Light Vehicle Supporting Data'!$J50)*IF(NOT('Household Vehicle Occupancy'!$C$3),'Household Vehicle Occupancy'!K13/'Household Vehicle Occupancy'!K54,1)</f>
        <v>420.93536686551505</v>
      </c>
      <c r="L52" s="167">
        <f>$J52*('Light Vehicle Supporting Data'!L50/'Light Vehicle Supporting Data'!$J50)*IF(NOT('Household Vehicle Occupancy'!$C$3),'Household Vehicle Occupancy'!L13/'Household Vehicle Occupancy'!L54,1)</f>
        <v>414.90785628172017</v>
      </c>
      <c r="M52" s="167">
        <f>$J52*('Light Vehicle Supporting Data'!M50/'Light Vehicle Supporting Data'!$J50)*IF(NOT('Household Vehicle Occupancy'!$C$3),'Household Vehicle Occupancy'!M13/'Household Vehicle Occupancy'!M54,1)</f>
        <v>405.65993204347478</v>
      </c>
      <c r="N52" s="167">
        <f>$J52*('Light Vehicle Supporting Data'!N50/'Light Vehicle Supporting Data'!$J50)*IF(NOT('Household Vehicle Occupancy'!$C$3),'Household Vehicle Occupancy'!N13/'Household Vehicle Occupancy'!N54,1)</f>
        <v>391.3256781404815</v>
      </c>
      <c r="O52" s="167">
        <f>$J52*('Light Vehicle Supporting Data'!O50/'Light Vehicle Supporting Data'!$J50)*IF(NOT('Household Vehicle Occupancy'!$C$3),'Household Vehicle Occupancy'!O13/'Household Vehicle Occupancy'!O54,1)</f>
        <v>374.81003466223325</v>
      </c>
      <c r="P52" s="167">
        <f>$J52*('Light Vehicle Supporting Data'!P50/'Light Vehicle Supporting Data'!$J50)*IF(NOT('Household Vehicle Occupancy'!$C$3),'Household Vehicle Occupancy'!P13/'Household Vehicle Occupancy'!P54,1)</f>
        <v>356.70535248391354</v>
      </c>
      <c r="Q52" s="167">
        <f>$J52*('Light Vehicle Supporting Data'!Q50/'Light Vehicle Supporting Data'!$J50)*IF(NOT('Household Vehicle Occupancy'!$C$3),'Household Vehicle Occupancy'!Q13/'Household Vehicle Occupancy'!Q54,1)</f>
        <v>336.89326729651299</v>
      </c>
      <c r="R52" s="198">
        <f>$J52*('Light Vehicle Supporting Data'!R50/'Light Vehicle Supporting Data'!$J50)*IF(NOT('Household Vehicle Occupancy'!$C$3),'Household Vehicle Occupancy'!R13/'Household Vehicle Occupancy'!R54,1)</f>
        <v>315.88026325874597</v>
      </c>
      <c r="S52" s="56"/>
    </row>
    <row r="53" spans="3:19" ht="16" x14ac:dyDescent="0.2">
      <c r="C53" s="24" t="s">
        <v>4</v>
      </c>
      <c r="D53" s="55">
        <f>D11*('[1]12_13 fleet'!$D426/'Original 2012-13 Data'!$D10)/1000000</f>
        <v>54.491671781819058</v>
      </c>
      <c r="E53" s="56">
        <f>E11*('[2]13_14 fleet'!$D428/'Original 2013-14 Data'!$D10)/1000000</f>
        <v>56.57618738336528</v>
      </c>
      <c r="F53" s="56">
        <f>F11*('[3]14_15 fleet'!$D428/'Original 2014-15 Data'!$D10)/1000000</f>
        <v>62.640306259470591</v>
      </c>
      <c r="G53" s="56">
        <f>G11*('[4]15_16 fleet'!$D428/'Original 2015-16 Data'!$D10)/1000000</f>
        <v>67.967442255035692</v>
      </c>
      <c r="H53" s="56">
        <f>H11*('[5]16_17 fleet_v2'!$D428/'Original 2016-17 Data'!$D10)/1000000</f>
        <v>66.511301803447552</v>
      </c>
      <c r="I53" s="167">
        <f>I11*('[6]17_18 fleet_v3'!$D478/'Original 2017-18 Data'!$D10)/1000000</f>
        <v>66.610384640473711</v>
      </c>
      <c r="J53" s="167">
        <f>J11*('[7]18_19 fleet_v3'!$D478/'Original 2017-18 Data'!$D10)/1000000</f>
        <v>77.185028728427682</v>
      </c>
      <c r="K53" s="167">
        <f>$J53*('Light Vehicle Supporting Data'!K51/'Light Vehicle Supporting Data'!$J51)*IF(NOT('Household Vehicle Occupancy'!$C$3),'Household Vehicle Occupancy'!K14/'Household Vehicle Occupancy'!K55,1)</f>
        <v>79.18382537407264</v>
      </c>
      <c r="L53" s="167">
        <f>$J53*('Light Vehicle Supporting Data'!L51/'Light Vehicle Supporting Data'!$J51)*IF(NOT('Household Vehicle Occupancy'!$C$3),'Household Vehicle Occupancy'!L14/'Household Vehicle Occupancy'!L55,1)</f>
        <v>76.267266936511149</v>
      </c>
      <c r="M53" s="167">
        <f>$J53*('Light Vehicle Supporting Data'!M51/'Light Vehicle Supporting Data'!$J51)*IF(NOT('Household Vehicle Occupancy'!$C$3),'Household Vehicle Occupancy'!M14/'Household Vehicle Occupancy'!M55,1)</f>
        <v>72.892934273308256</v>
      </c>
      <c r="N53" s="167">
        <f>$J53*('Light Vehicle Supporting Data'!N51/'Light Vehicle Supporting Data'!$J51)*IF(NOT('Household Vehicle Occupancy'!$C$3),'Household Vehicle Occupancy'!N14/'Household Vehicle Occupancy'!N55,1)</f>
        <v>68.660179755738426</v>
      </c>
      <c r="O53" s="167">
        <f>$J53*('Light Vehicle Supporting Data'!O51/'Light Vehicle Supporting Data'!$J51)*IF(NOT('Household Vehicle Occupancy'!$C$3),'Household Vehicle Occupancy'!O14/'Household Vehicle Occupancy'!O55,1)</f>
        <v>64.221613111024013</v>
      </c>
      <c r="P53" s="167">
        <f>$J53*('Light Vehicle Supporting Data'!P51/'Light Vehicle Supporting Data'!$J51)*IF(NOT('Household Vehicle Occupancy'!$C$3),'Household Vehicle Occupancy'!P14/'Household Vehicle Occupancy'!P55,1)</f>
        <v>59.687451662144852</v>
      </c>
      <c r="Q53" s="167">
        <f>$J53*('Light Vehicle Supporting Data'!Q51/'Light Vehicle Supporting Data'!$J51)*IF(NOT('Household Vehicle Occupancy'!$C$3),'Household Vehicle Occupancy'!Q14/'Household Vehicle Occupancy'!Q55,1)</f>
        <v>55.051499606879439</v>
      </c>
      <c r="R53" s="198">
        <f>$J53*('Light Vehicle Supporting Data'!R51/'Light Vehicle Supporting Data'!$J51)*IF(NOT('Household Vehicle Occupancy'!$C$3),'Household Vehicle Occupancy'!R14/'Household Vehicle Occupancy'!R55,1)</f>
        <v>50.408378070641902</v>
      </c>
      <c r="S53" s="56"/>
    </row>
    <row r="54" spans="3:19" ht="16" x14ac:dyDescent="0.2">
      <c r="C54" s="24" t="s">
        <v>5</v>
      </c>
      <c r="D54" s="55">
        <f>D12*('[1]12_13 fleet'!$D427/'Original 2012-13 Data'!$D11)/1000000</f>
        <v>144.90444557009837</v>
      </c>
      <c r="E54" s="56">
        <f>E12*('[2]13_14 fleet'!$D429/'Original 2013-14 Data'!$D11)/1000000</f>
        <v>147.10011760947359</v>
      </c>
      <c r="F54" s="56">
        <f>F12*('[3]14_15 fleet'!$D429/'Original 2014-15 Data'!$D11)/1000000</f>
        <v>157.68617161752925</v>
      </c>
      <c r="G54" s="56">
        <f>G12*('[4]15_16 fleet'!$D429/'Original 2015-16 Data'!$D11)/1000000</f>
        <v>172.12806217966232</v>
      </c>
      <c r="H54" s="56">
        <f>H12*('[5]16_17 fleet_v2'!$D429/'Original 2016-17 Data'!$D11)/1000000</f>
        <v>176.43608590274624</v>
      </c>
      <c r="I54" s="167">
        <f>I12*('[6]17_18 fleet_v3'!$D479/'Original 2017-18 Data'!$D11)/1000000</f>
        <v>187.5285282613136</v>
      </c>
      <c r="J54" s="167">
        <f>J12*('[7]18_19 fleet_v3'!$D479/'Original 2017-18 Data'!$D11)/1000000</f>
        <v>223.61340372196659</v>
      </c>
      <c r="K54" s="167">
        <f>$J54*('Light Vehicle Supporting Data'!K52/'Light Vehicle Supporting Data'!$J52)*IF(NOT('Household Vehicle Occupancy'!$C$3),'Household Vehicle Occupancy'!K15/'Household Vehicle Occupancy'!K56,1)</f>
        <v>229.6820530540578</v>
      </c>
      <c r="L54" s="167">
        <f>$J54*('Light Vehicle Supporting Data'!L52/'Light Vehicle Supporting Data'!$J52)*IF(NOT('Household Vehicle Occupancy'!$C$3),'Household Vehicle Occupancy'!L15/'Household Vehicle Occupancy'!L56,1)</f>
        <v>221.83171469714051</v>
      </c>
      <c r="M54" s="167">
        <f>$J54*('Light Vehicle Supporting Data'!M52/'Light Vehicle Supporting Data'!$J52)*IF(NOT('Household Vehicle Occupancy'!$C$3),'Household Vehicle Occupancy'!M15/'Household Vehicle Occupancy'!M56,1)</f>
        <v>212.3651683608521</v>
      </c>
      <c r="N54" s="167">
        <f>$J54*('Light Vehicle Supporting Data'!N52/'Light Vehicle Supporting Data'!$J52)*IF(NOT('Household Vehicle Occupancy'!$C$3),'Household Vehicle Occupancy'!N15/'Household Vehicle Occupancy'!N56,1)</f>
        <v>200.66614828287354</v>
      </c>
      <c r="O54" s="167">
        <f>$J54*('Light Vehicle Supporting Data'!O52/'Light Vehicle Supporting Data'!$J52)*IF(NOT('Household Vehicle Occupancy'!$C$3),'Household Vehicle Occupancy'!O15/'Household Vehicle Occupancy'!O56,1)</f>
        <v>188.16143162619099</v>
      </c>
      <c r="P54" s="167">
        <f>$J54*('Light Vehicle Supporting Data'!P52/'Light Vehicle Supporting Data'!$J52)*IF(NOT('Household Vehicle Occupancy'!$C$3),'Household Vehicle Occupancy'!P15/'Household Vehicle Occupancy'!P56,1)</f>
        <v>175.31240851912929</v>
      </c>
      <c r="Q54" s="167">
        <f>$J54*('Light Vehicle Supporting Data'!Q52/'Light Vehicle Supporting Data'!$J52)*IF(NOT('Household Vehicle Occupancy'!$C$3),'Household Vehicle Occupancy'!Q15/'Household Vehicle Occupancy'!Q56,1)</f>
        <v>162.09849888174938</v>
      </c>
      <c r="R54" s="198">
        <f>$J54*('Light Vehicle Supporting Data'!R52/'Light Vehicle Supporting Data'!$J52)*IF(NOT('Household Vehicle Occupancy'!$C$3),'Household Vehicle Occupancy'!R15/'Household Vehicle Occupancy'!R56,1)</f>
        <v>148.7965232088165</v>
      </c>
      <c r="S54" s="56"/>
    </row>
    <row r="55" spans="3:19" ht="16" x14ac:dyDescent="0.2">
      <c r="C55" s="24" t="s">
        <v>6</v>
      </c>
      <c r="D55" s="55">
        <f>D13*('[1]12_13 fleet'!$D428/'Original 2012-13 Data'!$D12)/1000000</f>
        <v>103.08250421054605</v>
      </c>
      <c r="E55" s="56">
        <f>E13*('[2]13_14 fleet'!$D430/'Original 2013-14 Data'!$D12)/1000000</f>
        <v>106.88701907781663</v>
      </c>
      <c r="F55" s="56">
        <f>F13*('[3]14_15 fleet'!$D430/'Original 2014-15 Data'!$D12)/1000000</f>
        <v>115.74581387425032</v>
      </c>
      <c r="G55" s="56">
        <f>G13*('[4]15_16 fleet'!$D430/'Original 2015-16 Data'!$D12)/1000000</f>
        <v>124.01316627470618</v>
      </c>
      <c r="H55" s="56">
        <f>H13*('[5]16_17 fleet_v2'!$D430/'Original 2016-17 Data'!$D12)/1000000</f>
        <v>127.16769333082658</v>
      </c>
      <c r="I55" s="167">
        <f>I13*('[6]17_18 fleet_v3'!$D480/'Original 2017-18 Data'!$D12)/1000000</f>
        <v>137.12393000346015</v>
      </c>
      <c r="J55" s="167">
        <f>J13*('[7]18_19 fleet_v3'!$D480/'Original 2017-18 Data'!$D12)/1000000</f>
        <v>145.72558723840464</v>
      </c>
      <c r="K55" s="167">
        <f>$J55*('Light Vehicle Supporting Data'!K53/'Light Vehicle Supporting Data'!$J53)*IF(NOT('Household Vehicle Occupancy'!$C$3),'Household Vehicle Occupancy'!K16/'Household Vehicle Occupancy'!K57,1)</f>
        <v>150.66250374901279</v>
      </c>
      <c r="L55" s="167">
        <f>$J55*('Light Vehicle Supporting Data'!L53/'Light Vehicle Supporting Data'!$J53)*IF(NOT('Household Vehicle Occupancy'!$C$3),'Household Vehicle Occupancy'!L16/'Household Vehicle Occupancy'!L57,1)</f>
        <v>146.88297726830149</v>
      </c>
      <c r="M55" s="167">
        <f>$J55*('Light Vehicle Supporting Data'!M53/'Light Vehicle Supporting Data'!$J53)*IF(NOT('Household Vehicle Occupancy'!$C$3),'Household Vehicle Occupancy'!M16/'Household Vehicle Occupancy'!M57,1)</f>
        <v>142.10451069812513</v>
      </c>
      <c r="N55" s="167">
        <f>$J55*('Light Vehicle Supporting Data'!N53/'Light Vehicle Supporting Data'!$J53)*IF(NOT('Household Vehicle Occupancy'!$C$3),'Household Vehicle Occupancy'!N16/'Household Vehicle Occupancy'!N57,1)</f>
        <v>135.9034711322</v>
      </c>
      <c r="O55" s="167">
        <f>$J55*('Light Vehicle Supporting Data'!O53/'Light Vehicle Supporting Data'!$J53)*IF(NOT('Household Vehicle Occupancy'!$C$3),'Household Vehicle Occupancy'!O16/'Household Vehicle Occupancy'!O57,1)</f>
        <v>129.16592849669922</v>
      </c>
      <c r="P55" s="167">
        <f>$J55*('Light Vehicle Supporting Data'!P53/'Light Vehicle Supporting Data'!$J53)*IF(NOT('Household Vehicle Occupancy'!$C$3),'Household Vehicle Occupancy'!P16/'Household Vehicle Occupancy'!P57,1)</f>
        <v>121.98065036629151</v>
      </c>
      <c r="Q55" s="167">
        <f>$J55*('Light Vehicle Supporting Data'!Q53/'Light Vehicle Supporting Data'!$J53)*IF(NOT('Household Vehicle Occupancy'!$C$3),'Household Vehicle Occupancy'!Q16/'Household Vehicle Occupancy'!Q57,1)</f>
        <v>114.31894506249954</v>
      </c>
      <c r="R55" s="198">
        <f>$J55*('Light Vehicle Supporting Data'!R53/'Light Vehicle Supporting Data'!$J53)*IF(NOT('Household Vehicle Occupancy'!$C$3),'Household Vehicle Occupancy'!R16/'Household Vehicle Occupancy'!R57,1)</f>
        <v>106.36357485190403</v>
      </c>
      <c r="S55" s="56"/>
    </row>
    <row r="56" spans="3:19" ht="16" x14ac:dyDescent="0.2">
      <c r="C56" s="24" t="s">
        <v>7</v>
      </c>
      <c r="D56" s="55">
        <f>D14*('[1]12_13 fleet'!$D429/'Original 2012-13 Data'!$D13)/1000000</f>
        <v>246.97239315790878</v>
      </c>
      <c r="E56" s="56">
        <f>E14*('[2]13_14 fleet'!$D431/'Original 2013-14 Data'!$D13)/1000000</f>
        <v>252.71761299011146</v>
      </c>
      <c r="F56" s="56">
        <f>F14*('[3]14_15 fleet'!$D431/'Original 2014-15 Data'!$D13)/1000000</f>
        <v>266.40092290093423</v>
      </c>
      <c r="G56" s="56">
        <f>G14*('[4]15_16 fleet'!$D431/'Original 2015-16 Data'!$D13)/1000000</f>
        <v>293.08524435604039</v>
      </c>
      <c r="H56" s="56">
        <f>H14*('[5]16_17 fleet_v2'!$D431/'Original 2016-17 Data'!$D13)/1000000</f>
        <v>303.01198236511397</v>
      </c>
      <c r="I56" s="167">
        <f>I14*('[6]17_18 fleet_v3'!$D481/'Original 2017-18 Data'!$D13)/1000000</f>
        <v>311.3216013635431</v>
      </c>
      <c r="J56" s="167">
        <f>J14*('[7]18_19 fleet_v3'!$D481/'Original 2017-18 Data'!$D13)/1000000</f>
        <v>352.7735799992036</v>
      </c>
      <c r="K56" s="167">
        <f>$J56*('Light Vehicle Supporting Data'!K54/'Light Vehicle Supporting Data'!$J54)*IF(NOT('Household Vehicle Occupancy'!$C$3),'Household Vehicle Occupancy'!K17/'Household Vehicle Occupancy'!K58,1)</f>
        <v>361.48280788250116</v>
      </c>
      <c r="L56" s="167">
        <f>$J56*('Light Vehicle Supporting Data'!L54/'Light Vehicle Supporting Data'!$J54)*IF(NOT('Household Vehicle Occupancy'!$C$3),'Household Vehicle Occupancy'!L17/'Household Vehicle Occupancy'!L58,1)</f>
        <v>348.0687608317503</v>
      </c>
      <c r="M56" s="167">
        <f>$J56*('Light Vehicle Supporting Data'!M54/'Light Vehicle Supporting Data'!$J54)*IF(NOT('Household Vehicle Occupancy'!$C$3),'Household Vehicle Occupancy'!M17/'Household Vehicle Occupancy'!M58,1)</f>
        <v>332.55540368252861</v>
      </c>
      <c r="N56" s="167">
        <f>$J56*('Light Vehicle Supporting Data'!N54/'Light Vehicle Supporting Data'!$J54)*IF(NOT('Household Vehicle Occupancy'!$C$3),'Household Vehicle Occupancy'!N17/'Household Vehicle Occupancy'!N58,1)</f>
        <v>313.74243262915536</v>
      </c>
      <c r="O56" s="167">
        <f>$J56*('Light Vehicle Supporting Data'!O54/'Light Vehicle Supporting Data'!$J54)*IF(NOT('Household Vehicle Occupancy'!$C$3),'Household Vehicle Occupancy'!O17/'Household Vehicle Occupancy'!O58,1)</f>
        <v>293.8007967776183</v>
      </c>
      <c r="P56" s="167">
        <f>$J56*('Light Vehicle Supporting Data'!P54/'Light Vehicle Supporting Data'!$J54)*IF(NOT('Household Vehicle Occupancy'!$C$3),'Household Vehicle Occupancy'!P17/'Household Vehicle Occupancy'!P58,1)</f>
        <v>273.37464519463845</v>
      </c>
      <c r="Q56" s="167">
        <f>$J56*('Light Vehicle Supporting Data'!Q54/'Light Vehicle Supporting Data'!$J54)*IF(NOT('Household Vehicle Occupancy'!$C$3),'Household Vehicle Occupancy'!Q17/'Household Vehicle Occupancy'!Q58,1)</f>
        <v>252.43396259505249</v>
      </c>
      <c r="R56" s="198">
        <f>$J56*('Light Vehicle Supporting Data'!R54/'Light Vehicle Supporting Data'!$J54)*IF(NOT('Household Vehicle Occupancy'!$C$3),'Household Vehicle Occupancy'!R17/'Household Vehicle Occupancy'!R58,1)</f>
        <v>231.41142185456752</v>
      </c>
      <c r="S56" s="56"/>
    </row>
    <row r="57" spans="3:19" ht="16" x14ac:dyDescent="0.2">
      <c r="C57" s="24" t="s">
        <v>8</v>
      </c>
      <c r="D57" s="55">
        <f>D15*('[1]12_13 fleet'!$D430/'Original 2012-13 Data'!$D14)/1000000</f>
        <v>200.96597295528005</v>
      </c>
      <c r="E57" s="56">
        <f>E15*('[2]13_14 fleet'!$D432/'Original 2013-14 Data'!$D14)/1000000</f>
        <v>208.68623263390859</v>
      </c>
      <c r="F57" s="56">
        <f>F15*('[3]14_15 fleet'!$D432/'Original 2014-15 Data'!$D14)/1000000</f>
        <v>230.6389596440786</v>
      </c>
      <c r="G57" s="56">
        <f>G15*('[4]15_16 fleet'!$D432/'Original 2015-16 Data'!$D14)/1000000</f>
        <v>235.59155179465063</v>
      </c>
      <c r="H57" s="56">
        <f>H15*('[5]16_17 fleet_v2'!$D432/'Original 2016-17 Data'!$D14)/1000000</f>
        <v>238.06777613628279</v>
      </c>
      <c r="I57" s="167">
        <f>I15*('[6]17_18 fleet_v3'!$D482/'Original 2017-18 Data'!$D14)/1000000</f>
        <v>262.08808534917313</v>
      </c>
      <c r="J57" s="167">
        <f>J15*('[7]18_19 fleet_v3'!$D482/'Original 2017-18 Data'!$D14)/1000000</f>
        <v>308.35133134454156</v>
      </c>
      <c r="K57" s="167">
        <f>$J57*('Light Vehicle Supporting Data'!K55/'Light Vehicle Supporting Data'!$J55)*IF(NOT('Household Vehicle Occupancy'!$C$3),'Household Vehicle Occupancy'!K18/'Household Vehicle Occupancy'!K59,1)</f>
        <v>319.21993862853623</v>
      </c>
      <c r="L57" s="167">
        <f>$J57*('Light Vehicle Supporting Data'!L55/'Light Vehicle Supporting Data'!$J55)*IF(NOT('Household Vehicle Occupancy'!$C$3),'Household Vehicle Occupancy'!L18/'Household Vehicle Occupancy'!L59,1)</f>
        <v>310.86106104537259</v>
      </c>
      <c r="M57" s="167">
        <f>$J57*('Light Vehicle Supporting Data'!M55/'Light Vehicle Supporting Data'!$J55)*IF(NOT('Household Vehicle Occupancy'!$C$3),'Household Vehicle Occupancy'!M18/'Household Vehicle Occupancy'!M59,1)</f>
        <v>300.93188809324778</v>
      </c>
      <c r="N57" s="167">
        <f>$J57*('Light Vehicle Supporting Data'!N55/'Light Vehicle Supporting Data'!$J55)*IF(NOT('Household Vehicle Occupancy'!$C$3),'Household Vehicle Occupancy'!N18/'Household Vehicle Occupancy'!N59,1)</f>
        <v>287.74819907642382</v>
      </c>
      <c r="O57" s="167">
        <f>$J57*('Light Vehicle Supporting Data'!O55/'Light Vehicle Supporting Data'!$J55)*IF(NOT('Household Vehicle Occupancy'!$C$3),'Household Vehicle Occupancy'!O18/'Household Vehicle Occupancy'!O59,1)</f>
        <v>273.01116908199072</v>
      </c>
      <c r="P57" s="167">
        <f>$J57*('Light Vehicle Supporting Data'!P55/'Light Vehicle Supporting Data'!$J55)*IF(NOT('Household Vehicle Occupancy'!$C$3),'Household Vehicle Occupancy'!P18/'Household Vehicle Occupancy'!P59,1)</f>
        <v>257.36965495804384</v>
      </c>
      <c r="Q57" s="167">
        <f>$J57*('Light Vehicle Supporting Data'!Q55/'Light Vehicle Supporting Data'!$J55)*IF(NOT('Household Vehicle Occupancy'!$C$3),'Household Vehicle Occupancy'!Q18/'Household Vehicle Occupancy'!Q59,1)</f>
        <v>240.722312885062</v>
      </c>
      <c r="R57" s="198">
        <f>$J57*('Light Vehicle Supporting Data'!R55/'Light Vehicle Supporting Data'!$J55)*IF(NOT('Household Vehicle Occupancy'!$C$3),'Household Vehicle Occupancy'!R18/'Household Vehicle Occupancy'!R59,1)</f>
        <v>223.47525310827137</v>
      </c>
      <c r="S57" s="56"/>
    </row>
    <row r="58" spans="3:19" ht="16" x14ac:dyDescent="0.2">
      <c r="C58" s="24" t="s">
        <v>9</v>
      </c>
      <c r="D58" s="55">
        <f>D16*('[1]12_13 fleet'!$D431/'Original 2012-13 Data'!$D15)/1000000</f>
        <v>142.35660182479404</v>
      </c>
      <c r="E58" s="56">
        <f>E16*('[2]13_14 fleet'!$D433/'Original 2013-14 Data'!$D15)/1000000</f>
        <v>145.89442310394398</v>
      </c>
      <c r="F58" s="56">
        <f>F16*('[3]14_15 fleet'!$D433/'Original 2014-15 Data'!$D15)/1000000</f>
        <v>142.94471654348291</v>
      </c>
      <c r="G58" s="56">
        <f>G16*('[4]15_16 fleet'!$D433/'Original 2015-16 Data'!$D15)/1000000</f>
        <v>164.8429894233129</v>
      </c>
      <c r="H58" s="56">
        <f>H16*('[5]16_17 fleet_v2'!$D433/'Original 2016-17 Data'!$D15)/1000000</f>
        <v>170.26758065442371</v>
      </c>
      <c r="I58" s="167">
        <f>I16*('[6]17_18 fleet_v3'!$D483/'Original 2017-18 Data'!$D15)/1000000</f>
        <v>184.48989232864054</v>
      </c>
      <c r="J58" s="167">
        <f>J16*('[7]18_19 fleet_v3'!$D483/'Original 2017-18 Data'!$D15)/1000000</f>
        <v>196.45813252952794</v>
      </c>
      <c r="K58" s="167">
        <f>$J58*('Light Vehicle Supporting Data'!K56/'Light Vehicle Supporting Data'!$J56)*IF(NOT('Household Vehicle Occupancy'!$C$3),'Household Vehicle Occupancy'!K19/'Household Vehicle Occupancy'!K60,1)</f>
        <v>203.36959041036943</v>
      </c>
      <c r="L58" s="167">
        <f>$J58*('Light Vehicle Supporting Data'!L56/'Light Vehicle Supporting Data'!$J56)*IF(NOT('Household Vehicle Occupancy'!$C$3),'Household Vehicle Occupancy'!L19/'Household Vehicle Occupancy'!L60,1)</f>
        <v>197.81221233092921</v>
      </c>
      <c r="M58" s="167">
        <f>$J58*('Light Vehicle Supporting Data'!M56/'Light Vehicle Supporting Data'!$J56)*IF(NOT('Household Vehicle Occupancy'!$C$3),'Household Vehicle Occupancy'!M19/'Household Vehicle Occupancy'!M60,1)</f>
        <v>190.80556336899355</v>
      </c>
      <c r="N58" s="167">
        <f>$J58*('Light Vehicle Supporting Data'!N56/'Light Vehicle Supporting Data'!$J56)*IF(NOT('Household Vehicle Occupancy'!$C$3),'Household Vehicle Occupancy'!N19/'Household Vehicle Occupancy'!N60,1)</f>
        <v>181.55255460007186</v>
      </c>
      <c r="O58" s="167">
        <f>$J58*('Light Vehicle Supporting Data'!O56/'Light Vehicle Supporting Data'!$J56)*IF(NOT('Household Vehicle Occupancy'!$C$3),'Household Vehicle Occupancy'!O19/'Household Vehicle Occupancy'!O60,1)</f>
        <v>171.15587410572249</v>
      </c>
      <c r="P58" s="167">
        <f>$J58*('Light Vehicle Supporting Data'!P56/'Light Vehicle Supporting Data'!$J56)*IF(NOT('Household Vehicle Occupancy'!$C$3),'Household Vehicle Occupancy'!P19/'Household Vehicle Occupancy'!P60,1)</f>
        <v>160.33461248144079</v>
      </c>
      <c r="Q58" s="167">
        <f>$J58*('Light Vehicle Supporting Data'!Q56/'Light Vehicle Supporting Data'!$J56)*IF(NOT('Household Vehicle Occupancy'!$C$3),'Household Vehicle Occupancy'!Q19/'Household Vehicle Occupancy'!Q60,1)</f>
        <v>149.06221031134035</v>
      </c>
      <c r="R58" s="198">
        <f>$J58*('Light Vehicle Supporting Data'!R56/'Light Vehicle Supporting Data'!$J56)*IF(NOT('Household Vehicle Occupancy'!$C$3),'Household Vehicle Occupancy'!R19/'Household Vehicle Occupancy'!R60,1)</f>
        <v>137.58649476001287</v>
      </c>
      <c r="S58" s="56"/>
    </row>
    <row r="59" spans="3:19" ht="16" x14ac:dyDescent="0.2">
      <c r="C59" s="24" t="s">
        <v>10</v>
      </c>
      <c r="D59" s="55">
        <f>D17*('[1]12_13 fleet'!$D432/'Original 2012-13 Data'!$D16)/1000000</f>
        <v>59.439501451178806</v>
      </c>
      <c r="E59" s="56">
        <f>E17*('[2]13_14 fleet'!$D434/'Original 2013-14 Data'!$D16)/1000000</f>
        <v>60.405013301728083</v>
      </c>
      <c r="F59" s="56">
        <f>F17*('[3]14_15 fleet'!$D434/'Original 2014-15 Data'!$D16)/1000000</f>
        <v>67.98953092974196</v>
      </c>
      <c r="G59" s="56">
        <f>G17*('[4]15_16 fleet'!$D434/'Original 2015-16 Data'!$D16)/1000000</f>
        <v>73.024569927572202</v>
      </c>
      <c r="H59" s="56">
        <f>H17*('[5]16_17 fleet_v2'!$D434/'Original 2016-17 Data'!$D16)/1000000</f>
        <v>77.035170258726566</v>
      </c>
      <c r="I59" s="167">
        <f>I17*('[6]17_18 fleet_v3'!$D484/'Original 2017-18 Data'!$D16)/1000000</f>
        <v>84.367440202466824</v>
      </c>
      <c r="J59" s="167">
        <f>J17*('[7]18_19 fleet_v3'!$D484/'Original 2017-18 Data'!$D16)/1000000</f>
        <v>87.258245022499096</v>
      </c>
      <c r="K59" s="167">
        <f>$J59*('Light Vehicle Supporting Data'!K57/'Light Vehicle Supporting Data'!$J57)*IF(NOT('Household Vehicle Occupancy'!$C$3),'Household Vehicle Occupancy'!K20/'Household Vehicle Occupancy'!K61,1)</f>
        <v>88.216768108310418</v>
      </c>
      <c r="L59" s="167">
        <f>$J59*('Light Vehicle Supporting Data'!L57/'Light Vehicle Supporting Data'!$J57)*IF(NOT('Household Vehicle Occupancy'!$C$3),'Household Vehicle Occupancy'!L20/'Household Vehicle Occupancy'!L61,1)</f>
        <v>83.431289077165133</v>
      </c>
      <c r="M59" s="167">
        <f>$J59*('Light Vehicle Supporting Data'!M57/'Light Vehicle Supporting Data'!$J57)*IF(NOT('Household Vehicle Occupancy'!$C$3),'Household Vehicle Occupancy'!M20/'Household Vehicle Occupancy'!M61,1)</f>
        <v>78.282805796896554</v>
      </c>
      <c r="N59" s="167">
        <f>$J59*('Light Vehicle Supporting Data'!N57/'Light Vehicle Supporting Data'!$J57)*IF(NOT('Household Vehicle Occupancy'!$C$3),'Household Vehicle Occupancy'!N20/'Household Vehicle Occupancy'!N61,1)</f>
        <v>72.494291327500662</v>
      </c>
      <c r="O59" s="167">
        <f>$J59*('Light Vehicle Supporting Data'!O57/'Light Vehicle Supporting Data'!$J57)*IF(NOT('Household Vehicle Occupancy'!$C$3),'Household Vehicle Occupancy'!O20/'Household Vehicle Occupancy'!O61,1)</f>
        <v>66.689942509028597</v>
      </c>
      <c r="P59" s="167">
        <f>$J59*('Light Vehicle Supporting Data'!P57/'Light Vehicle Supporting Data'!$J57)*IF(NOT('Household Vehicle Occupancy'!$C$3),'Household Vehicle Occupancy'!P20/'Household Vehicle Occupancy'!P61,1)</f>
        <v>60.9596452190763</v>
      </c>
      <c r="Q59" s="167">
        <f>$J59*('Light Vehicle Supporting Data'!Q57/'Light Vehicle Supporting Data'!$J57)*IF(NOT('Household Vehicle Occupancy'!$C$3),'Household Vehicle Occupancy'!Q20/'Household Vehicle Occupancy'!Q61,1)</f>
        <v>55.297921506150303</v>
      </c>
      <c r="R59" s="198">
        <f>$J59*('Light Vehicle Supporting Data'!R57/'Light Vehicle Supporting Data'!$J57)*IF(NOT('Household Vehicle Occupancy'!$C$3),'Household Vehicle Occupancy'!R20/'Household Vehicle Occupancy'!R61,1)</f>
        <v>49.79923122190435</v>
      </c>
      <c r="S59" s="56"/>
    </row>
    <row r="60" spans="3:19" ht="16" x14ac:dyDescent="0.2">
      <c r="C60" s="24" t="s">
        <v>11</v>
      </c>
      <c r="D60" s="55">
        <f>D18*('[1]12_13 fleet'!$D433/'Original 2012-13 Data'!$D17)/1000000</f>
        <v>394.35248356559106</v>
      </c>
      <c r="E60" s="56">
        <f>E18*('[2]13_14 fleet'!$D435/'Original 2013-14 Data'!$D17)/1000000</f>
        <v>421.59296217394234</v>
      </c>
      <c r="F60" s="56">
        <f>F18*('[3]14_15 fleet'!$D435/'Original 2014-15 Data'!$D17)/1000000</f>
        <v>455.46797459013692</v>
      </c>
      <c r="G60" s="56">
        <f>G18*('[4]15_16 fleet'!$D435/'Original 2015-16 Data'!$D17)/1000000</f>
        <v>496.35798648383508</v>
      </c>
      <c r="H60" s="56">
        <f>H18*('[5]16_17 fleet_v2'!$D435/'Original 2016-17 Data'!$D17)/1000000</f>
        <v>490.90225594417484</v>
      </c>
      <c r="I60" s="167">
        <f>I18*('[6]17_18 fleet_v3'!$D485/'Original 2017-18 Data'!$D17)/1000000</f>
        <v>519.00617056013982</v>
      </c>
      <c r="J60" s="167">
        <f>J18*('[7]18_19 fleet_v3'!$D485/'Original 2017-18 Data'!$D17)/1000000</f>
        <v>569.253864573329</v>
      </c>
      <c r="K60" s="167">
        <f>$J60*('Light Vehicle Supporting Data'!K58/'Light Vehicle Supporting Data'!$J58)*IF(NOT('Household Vehicle Occupancy'!$C$3),'Household Vehicle Occupancy'!K21/'Household Vehicle Occupancy'!K62,1)</f>
        <v>605.3171768251342</v>
      </c>
      <c r="L60" s="167">
        <f>$J60*('Light Vehicle Supporting Data'!L58/'Light Vehicle Supporting Data'!$J58)*IF(NOT('Household Vehicle Occupancy'!$C$3),'Household Vehicle Occupancy'!L21/'Household Vehicle Occupancy'!L62,1)</f>
        <v>602.12955033052424</v>
      </c>
      <c r="M60" s="167">
        <f>$J60*('Light Vehicle Supporting Data'!M58/'Light Vehicle Supporting Data'!$J58)*IF(NOT('Household Vehicle Occupancy'!$C$3),'Household Vehicle Occupancy'!M21/'Household Vehicle Occupancy'!M62,1)</f>
        <v>594.63264765288682</v>
      </c>
      <c r="N60" s="167">
        <f>$J60*('Light Vehicle Supporting Data'!N58/'Light Vehicle Supporting Data'!$J58)*IF(NOT('Household Vehicle Occupancy'!$C$3),'Household Vehicle Occupancy'!N21/'Household Vehicle Occupancy'!N62,1)</f>
        <v>579.96020514170038</v>
      </c>
      <c r="O60" s="167">
        <f>$J60*('Light Vehicle Supporting Data'!O58/'Light Vehicle Supporting Data'!$J58)*IF(NOT('Household Vehicle Occupancy'!$C$3),'Household Vehicle Occupancy'!O21/'Household Vehicle Occupancy'!O62,1)</f>
        <v>561.46211762590394</v>
      </c>
      <c r="P60" s="167">
        <f>$J60*('Light Vehicle Supporting Data'!P58/'Light Vehicle Supporting Data'!$J58)*IF(NOT('Household Vehicle Occupancy'!$C$3),'Household Vehicle Occupancy'!P21/'Household Vehicle Occupancy'!P62,1)</f>
        <v>540.09266269990565</v>
      </c>
      <c r="Q60" s="167">
        <f>$J60*('Light Vehicle Supporting Data'!Q58/'Light Vehicle Supporting Data'!$J58)*IF(NOT('Household Vehicle Occupancy'!$C$3),'Household Vehicle Occupancy'!Q21/'Household Vehicle Occupancy'!Q62,1)</f>
        <v>515.58513132344717</v>
      </c>
      <c r="R60" s="198">
        <f>$J60*('Light Vehicle Supporting Data'!R58/'Light Vehicle Supporting Data'!$J58)*IF(NOT('Household Vehicle Occupancy'!$C$3),'Household Vehicle Occupancy'!R21/'Household Vehicle Occupancy'!R62,1)</f>
        <v>488.62979514773144</v>
      </c>
      <c r="S60" s="56"/>
    </row>
    <row r="61" spans="3:19" ht="16" x14ac:dyDescent="0.2">
      <c r="C61" s="24" t="s">
        <v>12</v>
      </c>
      <c r="D61" s="55">
        <f>D19*('[1]12_13 fleet'!$D434/'Original 2012-13 Data'!$D18)/1000000</f>
        <v>184.9256970945807</v>
      </c>
      <c r="E61" s="56">
        <f>E19*('[2]13_14 fleet'!$D436/'Original 2013-14 Data'!$D18)/1000000</f>
        <v>192.96514090186992</v>
      </c>
      <c r="F61" s="56">
        <f>F19*('[3]14_15 fleet'!$D436/'Original 2014-15 Data'!$D18)/1000000</f>
        <v>208.3504382529926</v>
      </c>
      <c r="G61" s="56">
        <f>G19*('[4]15_16 fleet'!$D436/'Original 2015-16 Data'!$D18)/1000000</f>
        <v>225.73783878820186</v>
      </c>
      <c r="H61" s="56">
        <f>H19*('[5]16_17 fleet_v2'!$D436/'Original 2016-17 Data'!$D18)/1000000</f>
        <v>230.38351659138152</v>
      </c>
      <c r="I61" s="167">
        <f>I19*('[6]17_18 fleet_v3'!$D486/'Original 2017-18 Data'!$D18)/1000000</f>
        <v>259.73481242506858</v>
      </c>
      <c r="J61" s="167">
        <f>J19*('[7]18_19 fleet_v3'!$D486/'Original 2017-18 Data'!$D18)/1000000</f>
        <v>302.91072421187374</v>
      </c>
      <c r="K61" s="167">
        <f>$J61*('Light Vehicle Supporting Data'!K59/'Light Vehicle Supporting Data'!$J59)*IF(NOT('Household Vehicle Occupancy'!$C$3),'Household Vehicle Occupancy'!K22/'Household Vehicle Occupancy'!K63,1)</f>
        <v>317.17477204046611</v>
      </c>
      <c r="L61" s="167">
        <f>$J61*('Light Vehicle Supporting Data'!L59/'Light Vehicle Supporting Data'!$J59)*IF(NOT('Household Vehicle Occupancy'!$C$3),'Household Vehicle Occupancy'!L22/'Household Vehicle Occupancy'!L63,1)</f>
        <v>310.39524472716556</v>
      </c>
      <c r="M61" s="167">
        <f>$J61*('Light Vehicle Supporting Data'!M59/'Light Vehicle Supporting Data'!$J59)*IF(NOT('Household Vehicle Occupancy'!$C$3),'Household Vehicle Occupancy'!M22/'Household Vehicle Occupancy'!M63,1)</f>
        <v>301.69719408221169</v>
      </c>
      <c r="N61" s="167">
        <f>$J61*('Light Vehicle Supporting Data'!N59/'Light Vehicle Supporting Data'!$J59)*IF(NOT('Household Vehicle Occupancy'!$C$3),'Household Vehicle Occupancy'!N22/'Household Vehicle Occupancy'!N63,1)</f>
        <v>289.79011320104905</v>
      </c>
      <c r="O61" s="167">
        <f>$J61*('Light Vehicle Supporting Data'!O59/'Light Vehicle Supporting Data'!$J59)*IF(NOT('Household Vehicle Occupancy'!$C$3),'Household Vehicle Occupancy'!O22/'Household Vehicle Occupancy'!O63,1)</f>
        <v>276.35501265224821</v>
      </c>
      <c r="P61" s="167">
        <f>$J61*('Light Vehicle Supporting Data'!P59/'Light Vehicle Supporting Data'!$J59)*IF(NOT('Household Vehicle Occupancy'!$C$3),'Household Vehicle Occupancy'!P22/'Household Vehicle Occupancy'!P63,1)</f>
        <v>261.86453319697182</v>
      </c>
      <c r="Q61" s="167">
        <f>$J61*('Light Vehicle Supporting Data'!Q59/'Light Vehicle Supporting Data'!$J59)*IF(NOT('Household Vehicle Occupancy'!$C$3),'Household Vehicle Occupancy'!Q22/'Household Vehicle Occupancy'!Q63,1)</f>
        <v>246.24663602616423</v>
      </c>
      <c r="R61" s="198">
        <f>$J61*('Light Vehicle Supporting Data'!R59/'Light Vehicle Supporting Data'!$J59)*IF(NOT('Household Vehicle Occupancy'!$C$3),'Household Vehicle Occupancy'!R22/'Household Vehicle Occupancy'!R63,1)</f>
        <v>229.88539706490846</v>
      </c>
      <c r="S61" s="56"/>
    </row>
    <row r="62" spans="3:19" ht="17" thickBot="1" x14ac:dyDescent="0.25">
      <c r="C62" s="25" t="s">
        <v>13</v>
      </c>
      <c r="D62" s="58">
        <f>D20*('[1]12_13 fleet'!$D435/'Original 2012-13 Data'!$D19)/1000000</f>
        <v>135.13365547635667</v>
      </c>
      <c r="E62" s="59">
        <f>E20*('[2]13_14 fleet'!$D437/'Original 2013-14 Data'!$D19)/1000000</f>
        <v>140.3447217070179</v>
      </c>
      <c r="F62" s="59">
        <f>F20*('[3]14_15 fleet'!$D437/'Original 2014-15 Data'!$D19)/1000000</f>
        <v>139.80906261109166</v>
      </c>
      <c r="G62" s="59">
        <f>G20*('[4]15_16 fleet'!$D437/'Original 2015-16 Data'!$D19)/1000000</f>
        <v>160.03317176867435</v>
      </c>
      <c r="H62" s="59">
        <f>H20*('[5]16_17 fleet_v2'!$D437/'Original 2016-17 Data'!$D19)/1000000</f>
        <v>166.48422291353953</v>
      </c>
      <c r="I62" s="171">
        <f>I20*('[6]17_18 fleet_v3'!$D487/'Original 2017-18 Data'!$D19)/1000000</f>
        <v>177.67787754189806</v>
      </c>
      <c r="J62" s="171">
        <f>J20*('[7]18_19 fleet_v3'!$D487/'Original 2017-18 Data'!$D19)/1000000</f>
        <v>209.58718980476075</v>
      </c>
      <c r="K62" s="171">
        <f>$J62*('Light Vehicle Supporting Data'!K60/'Light Vehicle Supporting Data'!$J60)*IF(NOT('Household Vehicle Occupancy'!$C$3),'Household Vehicle Occupancy'!K23/'Household Vehicle Occupancy'!K64,1)</f>
        <v>213.4203598953172</v>
      </c>
      <c r="L62" s="171">
        <f>$J62*('Light Vehicle Supporting Data'!L60/'Light Vehicle Supporting Data'!$J60)*IF(NOT('Household Vehicle Occupancy'!$C$3),'Household Vehicle Occupancy'!L23/'Household Vehicle Occupancy'!L64,1)</f>
        <v>204.10723555376035</v>
      </c>
      <c r="M62" s="171">
        <f>$J62*('Light Vehicle Supporting Data'!M60/'Light Vehicle Supporting Data'!$J60)*IF(NOT('Household Vehicle Occupancy'!$C$3),'Household Vehicle Occupancy'!M23/'Household Vehicle Occupancy'!M64,1)</f>
        <v>193.91333216434617</v>
      </c>
      <c r="N62" s="171">
        <f>$J62*('Light Vehicle Supporting Data'!N60/'Light Vehicle Supporting Data'!$J60)*IF(NOT('Household Vehicle Occupancy'!$C$3),'Household Vehicle Occupancy'!N23/'Household Vehicle Occupancy'!N64,1)</f>
        <v>181.92545074425894</v>
      </c>
      <c r="O62" s="171">
        <f>$J62*('Light Vehicle Supporting Data'!O60/'Light Vehicle Supporting Data'!$J60)*IF(NOT('Household Vehicle Occupancy'!$C$3),'Household Vehicle Occupancy'!O23/'Household Vehicle Occupancy'!O64,1)</f>
        <v>169.47595879329145</v>
      </c>
      <c r="P62" s="171">
        <f>$J62*('Light Vehicle Supporting Data'!P60/'Light Vehicle Supporting Data'!$J60)*IF(NOT('Household Vehicle Occupancy'!$C$3),'Household Vehicle Occupancy'!P23/'Household Vehicle Occupancy'!P64,1)</f>
        <v>156.87303287273119</v>
      </c>
      <c r="Q62" s="171">
        <f>$J62*('Light Vehicle Supporting Data'!Q60/'Light Vehicle Supporting Data'!$J60)*IF(NOT('Household Vehicle Occupancy'!$C$3),'Household Vehicle Occupancy'!Q23/'Household Vehicle Occupancy'!Q64,1)</f>
        <v>144.10291814866483</v>
      </c>
      <c r="R62" s="199">
        <f>$J62*('Light Vehicle Supporting Data'!R60/'Light Vehicle Supporting Data'!$J60)*IF(NOT('Household Vehicle Occupancy'!$C$3),'Household Vehicle Occupancy'!R23/'Household Vehicle Occupancy'!R64,1)</f>
        <v>131.41493116073039</v>
      </c>
      <c r="S62" s="56"/>
    </row>
    <row r="63" spans="3:19" ht="19" thickTop="1" thickBot="1" x14ac:dyDescent="0.25">
      <c r="C63" s="31" t="s">
        <v>24</v>
      </c>
      <c r="D63" s="61">
        <f t="shared" ref="D63:O63" si="67">SUM(D49:D62)</f>
        <v>3097.514238164114</v>
      </c>
      <c r="E63" s="62">
        <f t="shared" si="67"/>
        <v>3202.9000952391398</v>
      </c>
      <c r="F63" s="62">
        <f t="shared" si="67"/>
        <v>3417.4868610195599</v>
      </c>
      <c r="G63" s="62">
        <f t="shared" ref="G63:H63" si="68">SUM(G49:G62)</f>
        <v>3732.7150892028503</v>
      </c>
      <c r="H63" s="62">
        <f t="shared" si="68"/>
        <v>3898.7530816947415</v>
      </c>
      <c r="I63" s="62">
        <f t="shared" si="67"/>
        <v>4163.5822413067335</v>
      </c>
      <c r="J63" s="62">
        <f t="shared" ref="J63" si="69">SUM(J49:J62)</f>
        <v>4779.1282507392643</v>
      </c>
      <c r="K63" s="62">
        <f t="shared" si="67"/>
        <v>5013.2929938844072</v>
      </c>
      <c r="L63" s="62">
        <f t="shared" si="67"/>
        <v>4936.2597802390392</v>
      </c>
      <c r="M63" s="62">
        <f t="shared" si="67"/>
        <v>4827.1866901175581</v>
      </c>
      <c r="N63" s="62">
        <f t="shared" si="67"/>
        <v>4659.8463582384684</v>
      </c>
      <c r="O63" s="62">
        <f t="shared" si="67"/>
        <v>4465.3198402852477</v>
      </c>
      <c r="P63" s="62">
        <f t="shared" ref="P63:R63" si="70">SUM(P49:P62)</f>
        <v>4253.3209558179706</v>
      </c>
      <c r="Q63" s="62">
        <f t="shared" si="70"/>
        <v>4021.514536196953</v>
      </c>
      <c r="R63" s="63">
        <f t="shared" si="70"/>
        <v>3775.5623070709285</v>
      </c>
      <c r="S63" s="56"/>
    </row>
    <row r="64" spans="3:19" ht="14" thickTop="1" x14ac:dyDescent="0.15"/>
    <row r="65" spans="3:19" ht="14" thickBot="1" x14ac:dyDescent="0.2"/>
    <row r="66" spans="3:19" ht="17" thickTop="1" x14ac:dyDescent="0.2">
      <c r="C66" s="32" t="s">
        <v>62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5"/>
      <c r="S66" s="121"/>
    </row>
    <row r="67" spans="3:19" ht="14" thickBot="1" x14ac:dyDescent="0.2">
      <c r="C67" s="18"/>
      <c r="D67" s="65" t="s">
        <v>25</v>
      </c>
      <c r="E67" s="65" t="s">
        <v>37</v>
      </c>
      <c r="F67" s="65" t="s">
        <v>38</v>
      </c>
      <c r="G67" s="37" t="s">
        <v>177</v>
      </c>
      <c r="H67" s="37" t="s">
        <v>178</v>
      </c>
      <c r="I67" s="65" t="s">
        <v>26</v>
      </c>
      <c r="J67" s="65"/>
      <c r="K67" s="65" t="s">
        <v>27</v>
      </c>
      <c r="L67" s="65" t="s">
        <v>28</v>
      </c>
      <c r="M67" s="65" t="s">
        <v>29</v>
      </c>
      <c r="N67" s="65" t="s">
        <v>30</v>
      </c>
      <c r="O67" s="65" t="s">
        <v>31</v>
      </c>
      <c r="P67" s="37" t="s">
        <v>174</v>
      </c>
      <c r="Q67" s="37" t="s">
        <v>175</v>
      </c>
      <c r="R67" s="38" t="s">
        <v>176</v>
      </c>
      <c r="S67" s="65"/>
    </row>
    <row r="68" spans="3:19" ht="15" thickTop="1" thickBot="1" x14ac:dyDescent="0.2">
      <c r="C68" s="70"/>
      <c r="D68" s="71" t="s">
        <v>39</v>
      </c>
      <c r="E68" s="71" t="s">
        <v>39</v>
      </c>
      <c r="F68" s="71" t="s">
        <v>39</v>
      </c>
      <c r="G68" s="71" t="s">
        <v>39</v>
      </c>
      <c r="H68" s="71" t="s">
        <v>39</v>
      </c>
      <c r="I68" s="71" t="s">
        <v>39</v>
      </c>
      <c r="J68" s="71"/>
      <c r="K68" s="71" t="s">
        <v>32</v>
      </c>
      <c r="L68" s="71" t="s">
        <v>32</v>
      </c>
      <c r="M68" s="71" t="s">
        <v>32</v>
      </c>
      <c r="N68" s="71" t="s">
        <v>32</v>
      </c>
      <c r="O68" s="71" t="s">
        <v>32</v>
      </c>
      <c r="P68" s="65" t="s">
        <v>32</v>
      </c>
      <c r="Q68" s="65" t="s">
        <v>32</v>
      </c>
      <c r="R68" s="66" t="s">
        <v>32</v>
      </c>
      <c r="S68" s="65"/>
    </row>
    <row r="69" spans="3:19" ht="17" thickTop="1" x14ac:dyDescent="0.2">
      <c r="C69" s="24" t="s">
        <v>0</v>
      </c>
      <c r="D69" s="42">
        <f>'[1]12_13 fleet'!$D204*'Light Vehicle Supporting Data'!D$174</f>
        <v>15011.421065605917</v>
      </c>
      <c r="E69" s="43">
        <f>'[2]13_14 fleet'!$D205*'Light Vehicle Supporting Data'!E$174</f>
        <v>15590.144096542961</v>
      </c>
      <c r="F69" s="43">
        <f>'[3]14_15 fleet'!$D205*'Light Vehicle Supporting Data'!F$174</f>
        <v>16219.908825328273</v>
      </c>
      <c r="G69" s="43">
        <f>'[4]15_16 fleet'!$D205*'Light Vehicle Supporting Data'!G$174</f>
        <v>17172.600973675304</v>
      </c>
      <c r="H69" s="43">
        <f>'[5]16_17 fleet_v2'!$D205*'Light Vehicle Supporting Data'!H$174</f>
        <v>18474.64912645967</v>
      </c>
      <c r="I69" s="40">
        <f>'[6]17_18 fleet_v3'!$D230*'Light Vehicle Supporting Data'!I$174</f>
        <v>19301.62901029173</v>
      </c>
      <c r="J69" s="40">
        <f>'[7]18_19 fleet_v3'!$D230*'Light Vehicle Supporting Data'!J$174</f>
        <v>20669.440807145977</v>
      </c>
      <c r="K69" s="43">
        <f>$J69*('Vehicle Share Diversion Support'!K27/'Vehicle Share Diversion Support'!$J27)</f>
        <v>21714.53970329211</v>
      </c>
      <c r="L69" s="43">
        <f>$J69*('Vehicle Share Diversion Support'!L27/'Vehicle Share Diversion Support'!$J27)</f>
        <v>21573.733282815403</v>
      </c>
      <c r="M69" s="43">
        <f>$J69*('Vehicle Share Diversion Support'!M27/'Vehicle Share Diversion Support'!$J27)</f>
        <v>21217.985861372774</v>
      </c>
      <c r="N69" s="43">
        <f>$J69*('Vehicle Share Diversion Support'!N27/'Vehicle Share Diversion Support'!$J27)</f>
        <v>20550.115882905549</v>
      </c>
      <c r="O69" s="43">
        <f>$J69*('Vehicle Share Diversion Support'!O27/'Vehicle Share Diversion Support'!$J27)</f>
        <v>19832.923790615121</v>
      </c>
      <c r="P69" s="53">
        <f>$J69*('Vehicle Share Diversion Support'!P27/'Vehicle Share Diversion Support'!$J27)</f>
        <v>18681.552446124817</v>
      </c>
      <c r="Q69" s="53">
        <f>$J69*('Vehicle Share Diversion Support'!Q27/'Vehicle Share Diversion Support'!$J27)</f>
        <v>17463.047889627152</v>
      </c>
      <c r="R69" s="54">
        <f>$J69*('Vehicle Share Diversion Support'!R27/'Vehicle Share Diversion Support'!$J27)</f>
        <v>16205.832107040849</v>
      </c>
      <c r="S69" s="56"/>
    </row>
    <row r="70" spans="3:19" ht="16" x14ac:dyDescent="0.2">
      <c r="C70" s="24" t="s">
        <v>1</v>
      </c>
      <c r="D70" s="42">
        <f>'[1]12_13 fleet'!$D205*'Light Vehicle Supporting Data'!D$174</f>
        <v>47050.091232001789</v>
      </c>
      <c r="E70" s="43">
        <f>'[2]13_14 fleet'!$D206*'Light Vehicle Supporting Data'!E$174</f>
        <v>49238.552892950596</v>
      </c>
      <c r="F70" s="43">
        <f>'[3]14_15 fleet'!$D206*'Light Vehicle Supporting Data'!F$174</f>
        <v>53081.050592990723</v>
      </c>
      <c r="G70" s="43">
        <f>'[4]15_16 fleet'!$D206*'Light Vehicle Supporting Data'!G$174</f>
        <v>57615.881949929884</v>
      </c>
      <c r="H70" s="43">
        <f>'[5]16_17 fleet_v2'!$D206*'Light Vehicle Supporting Data'!H$174</f>
        <v>63521.748909206115</v>
      </c>
      <c r="I70" s="43">
        <f>'[6]17_18 fleet_v3'!$D231*'Light Vehicle Supporting Data'!I$174</f>
        <v>67427.170711135186</v>
      </c>
      <c r="J70" s="43">
        <f>'[7]18_19 fleet_v3'!$D231*'Light Vehicle Supporting Data'!J$174</f>
        <v>71681.400671905329</v>
      </c>
      <c r="K70" s="43">
        <f>$J70*('Vehicle Share Diversion Support'!K28/'Vehicle Share Diversion Support'!$J28)</f>
        <v>78545.122499251011</v>
      </c>
      <c r="L70" s="43">
        <f>$J70*('Vehicle Share Diversion Support'!L28/'Vehicle Share Diversion Support'!$J28)</f>
        <v>81425.501889640742</v>
      </c>
      <c r="M70" s="43">
        <f>$J70*('Vehicle Share Diversion Support'!M28/'Vehicle Share Diversion Support'!$J28)</f>
        <v>83134.891813036418</v>
      </c>
      <c r="N70" s="43">
        <f>$J70*('Vehicle Share Diversion Support'!N28/'Vehicle Share Diversion Support'!$J28)</f>
        <v>83650.253426260067</v>
      </c>
      <c r="O70" s="43">
        <f>$J70*('Vehicle Share Diversion Support'!O28/'Vehicle Share Diversion Support'!$J28)</f>
        <v>83610.018724871668</v>
      </c>
      <c r="P70" s="56">
        <f>$J70*('Vehicle Share Diversion Support'!P28/'Vehicle Share Diversion Support'!$J28)</f>
        <v>81752.991342156369</v>
      </c>
      <c r="Q70" s="56">
        <f>$J70*('Vehicle Share Diversion Support'!Q28/'Vehicle Share Diversion Support'!$J28)</f>
        <v>79328.610130273664</v>
      </c>
      <c r="R70" s="57">
        <f>$J70*('Vehicle Share Diversion Support'!R28/'Vehicle Share Diversion Support'!$J28)</f>
        <v>76418.80585851139</v>
      </c>
      <c r="S70" s="56"/>
    </row>
    <row r="71" spans="3:19" ht="16" x14ac:dyDescent="0.2">
      <c r="C71" s="24" t="s">
        <v>2</v>
      </c>
      <c r="D71" s="42">
        <f>'[1]12_13 fleet'!$D206*'Light Vehicle Supporting Data'!D$174</f>
        <v>30881.155717407139</v>
      </c>
      <c r="E71" s="43">
        <f>'[2]13_14 fleet'!$D207*'Light Vehicle Supporting Data'!E$174</f>
        <v>32138.938056146824</v>
      </c>
      <c r="F71" s="43">
        <f>'[3]14_15 fleet'!$D207*'Light Vehicle Supporting Data'!F$174</f>
        <v>33670.703012618353</v>
      </c>
      <c r="G71" s="43">
        <f>'[4]15_16 fleet'!$D207*'Light Vehicle Supporting Data'!G$174</f>
        <v>35737.439059855242</v>
      </c>
      <c r="H71" s="43">
        <f>'[5]16_17 fleet_v2'!$D207*'Light Vehicle Supporting Data'!H$174</f>
        <v>38271.285715578888</v>
      </c>
      <c r="I71" s="43">
        <f>'[6]17_18 fleet_v3'!$D232*'Light Vehicle Supporting Data'!I$174</f>
        <v>41032.84069488509</v>
      </c>
      <c r="J71" s="43">
        <f>'[7]18_19 fleet_v3'!$D232*'Light Vehicle Supporting Data'!J$174</f>
        <v>43765.402949793337</v>
      </c>
      <c r="K71" s="43">
        <f>$J71*('Vehicle Share Diversion Support'!K29/'Vehicle Share Diversion Support'!$J29)</f>
        <v>46635.690819826894</v>
      </c>
      <c r="L71" s="43">
        <f>$J71*('Vehicle Share Diversion Support'!L29/'Vehicle Share Diversion Support'!$J29)</f>
        <v>47125.487460272248</v>
      </c>
      <c r="M71" s="43">
        <f>$J71*('Vehicle Share Diversion Support'!M29/'Vehicle Share Diversion Support'!$J29)</f>
        <v>47075.783840519071</v>
      </c>
      <c r="N71" s="43">
        <f>$J71*('Vehicle Share Diversion Support'!N29/'Vehicle Share Diversion Support'!$J29)</f>
        <v>46341.880371243366</v>
      </c>
      <c r="O71" s="43">
        <f>$J71*('Vehicle Share Diversion Support'!O29/'Vehicle Share Diversion Support'!$J29)</f>
        <v>45430.105897737019</v>
      </c>
      <c r="P71" s="56">
        <f>$J71*('Vehicle Share Diversion Support'!P29/'Vehicle Share Diversion Support'!$J29)</f>
        <v>43497.052865821468</v>
      </c>
      <c r="Q71" s="56">
        <f>$J71*('Vehicle Share Diversion Support'!Q29/'Vehicle Share Diversion Support'!$J29)</f>
        <v>41329.178870003037</v>
      </c>
      <c r="R71" s="57">
        <f>$J71*('Vehicle Share Diversion Support'!R29/'Vehicle Share Diversion Support'!$J29)</f>
        <v>38985.035133210338</v>
      </c>
      <c r="S71" s="56"/>
    </row>
    <row r="72" spans="3:19" ht="16" x14ac:dyDescent="0.2">
      <c r="C72" s="24" t="s">
        <v>3</v>
      </c>
      <c r="D72" s="42">
        <f>'[1]12_13 fleet'!$D207*'Light Vehicle Supporting Data'!D$174</f>
        <v>24733.93799092386</v>
      </c>
      <c r="E72" s="43">
        <f>'[2]13_14 fleet'!$D208*'Light Vehicle Supporting Data'!E$174</f>
        <v>25809.029401524098</v>
      </c>
      <c r="F72" s="43">
        <f>'[3]14_15 fleet'!$D208*'Light Vehicle Supporting Data'!F$174</f>
        <v>27239.503124690353</v>
      </c>
      <c r="G72" s="43">
        <f>'[4]15_16 fleet'!$D208*'Light Vehicle Supporting Data'!G$174</f>
        <v>29081.056853610178</v>
      </c>
      <c r="H72" s="43">
        <f>'[5]16_17 fleet_v2'!$D208*'Light Vehicle Supporting Data'!H$174</f>
        <v>31479.386629854256</v>
      </c>
      <c r="I72" s="43">
        <f>'[6]17_18 fleet_v3'!$D233*'Light Vehicle Supporting Data'!I$174</f>
        <v>33905.131293043414</v>
      </c>
      <c r="J72" s="43">
        <f>'[7]18_19 fleet_v3'!$D233*'Light Vehicle Supporting Data'!J$174</f>
        <v>36726.890733007167</v>
      </c>
      <c r="K72" s="43">
        <f>$J72*('Vehicle Share Diversion Support'!K30/'Vehicle Share Diversion Support'!$J30)</f>
        <v>38893.774418306573</v>
      </c>
      <c r="L72" s="43">
        <f>$J72*('Vehicle Share Diversion Support'!L30/'Vehicle Share Diversion Support'!$J30)</f>
        <v>38924.58472790946</v>
      </c>
      <c r="M72" s="43">
        <f>$J72*('Vehicle Share Diversion Support'!M30/'Vehicle Share Diversion Support'!$J30)</f>
        <v>38583.733466378981</v>
      </c>
      <c r="N72" s="43">
        <f>$J72*('Vehicle Share Diversion Support'!N30/'Vehicle Share Diversion Support'!$J30)</f>
        <v>37711.875788141668</v>
      </c>
      <c r="O72" s="43">
        <f>$J72*('Vehicle Share Diversion Support'!O30/'Vehicle Share Diversion Support'!$J30)</f>
        <v>36750.464025962799</v>
      </c>
      <c r="P72" s="56">
        <f>$J72*('Vehicle Share Diversion Support'!P30/'Vehicle Share Diversion Support'!$J30)</f>
        <v>34949.049964719066</v>
      </c>
      <c r="Q72" s="56">
        <f>$J72*('Vehicle Share Diversion Support'!Q30/'Vehicle Share Diversion Support'!$J30)</f>
        <v>32982.895844821207</v>
      </c>
      <c r="R72" s="57">
        <f>$J72*('Vehicle Share Diversion Support'!R30/'Vehicle Share Diversion Support'!$J30)</f>
        <v>30901.986668483194</v>
      </c>
      <c r="S72" s="56"/>
    </row>
    <row r="73" spans="3:19" ht="16" x14ac:dyDescent="0.2">
      <c r="C73" s="24" t="s">
        <v>4</v>
      </c>
      <c r="D73" s="42">
        <f>'[1]12_13 fleet'!$D208*'Light Vehicle Supporting Data'!D$174</f>
        <v>4701.5839281378976</v>
      </c>
      <c r="E73" s="43">
        <f>'[2]13_14 fleet'!$D209*'Light Vehicle Supporting Data'!E$174</f>
        <v>4908.0456224357567</v>
      </c>
      <c r="F73" s="43">
        <f>'[3]14_15 fleet'!$D209*'Light Vehicle Supporting Data'!F$174</f>
        <v>5136.9083298880314</v>
      </c>
      <c r="G73" s="43">
        <f>'[4]15_16 fleet'!$D209*'Light Vehicle Supporting Data'!G$174</f>
        <v>5378.8235842213026</v>
      </c>
      <c r="H73" s="43">
        <f>'[5]16_17 fleet_v2'!$D209*'Light Vehicle Supporting Data'!H$174</f>
        <v>5624.7299266769251</v>
      </c>
      <c r="I73" s="43">
        <f>'[6]17_18 fleet_v3'!$D234*'Light Vehicle Supporting Data'!I$174</f>
        <v>6366.5268513503061</v>
      </c>
      <c r="J73" s="43">
        <f>'[7]18_19 fleet_v3'!$D234*'Light Vehicle Supporting Data'!J$174</f>
        <v>6746.4494674183215</v>
      </c>
      <c r="K73" s="43">
        <f>$J73*('Vehicle Share Diversion Support'!K31/'Vehicle Share Diversion Support'!$J31)</f>
        <v>6958.9695114295828</v>
      </c>
      <c r="L73" s="43">
        <f>$J73*('Vehicle Share Diversion Support'!L31/'Vehicle Share Diversion Support'!$J31)</f>
        <v>6896.2589980183457</v>
      </c>
      <c r="M73" s="43">
        <f>$J73*('Vehicle Share Diversion Support'!M31/'Vehicle Share Diversion Support'!$J31)</f>
        <v>6722.1922708152742</v>
      </c>
      <c r="N73" s="43">
        <f>$J73*('Vehicle Share Diversion Support'!N31/'Vehicle Share Diversion Support'!$J31)</f>
        <v>6468.6587963747033</v>
      </c>
      <c r="O73" s="43">
        <f>$J73*('Vehicle Share Diversion Support'!O31/'Vehicle Share Diversion Support'!$J31)</f>
        <v>6205.8183945757164</v>
      </c>
      <c r="P73" s="56">
        <f>$J73*('Vehicle Share Diversion Support'!P31/'Vehicle Share Diversion Support'!$J31)</f>
        <v>5763.3503482766318</v>
      </c>
      <c r="Q73" s="56">
        <f>$J73*('Vehicle Share Diversion Support'!Q31/'Vehicle Share Diversion Support'!$J31)</f>
        <v>5311.6792285105275</v>
      </c>
      <c r="R73" s="57">
        <f>$J73*('Vehicle Share Diversion Support'!R31/'Vehicle Share Diversion Support'!$J31)</f>
        <v>4859.9619428982569</v>
      </c>
      <c r="S73" s="56"/>
    </row>
    <row r="74" spans="3:19" ht="16" x14ac:dyDescent="0.2">
      <c r="C74" s="24" t="s">
        <v>5</v>
      </c>
      <c r="D74" s="42">
        <f>'[1]12_13 fleet'!$D209*'Light Vehicle Supporting Data'!D$174</f>
        <v>12858.585227930602</v>
      </c>
      <c r="E74" s="43">
        <f>'[2]13_14 fleet'!$D210*'Light Vehicle Supporting Data'!E$174</f>
        <v>13328.455449027428</v>
      </c>
      <c r="F74" s="43">
        <f>'[3]14_15 fleet'!$D210*'Light Vehicle Supporting Data'!F$174</f>
        <v>13718.886646689607</v>
      </c>
      <c r="G74" s="43">
        <f>'[4]15_16 fleet'!$D210*'Light Vehicle Supporting Data'!G$174</f>
        <v>14425.346960488774</v>
      </c>
      <c r="H74" s="43">
        <f>'[5]16_17 fleet_v2'!$D210*'Light Vehicle Supporting Data'!H$174</f>
        <v>15247.592278446635</v>
      </c>
      <c r="I74" s="43">
        <f>'[6]17_18 fleet_v3'!$D235*'Light Vehicle Supporting Data'!I$174</f>
        <v>16302.909842915733</v>
      </c>
      <c r="J74" s="43">
        <f>'[7]18_19 fleet_v3'!$D235*'Light Vehicle Supporting Data'!J$174</f>
        <v>17598.781079203167</v>
      </c>
      <c r="K74" s="43">
        <f>$J74*('Vehicle Share Diversion Support'!K32/'Vehicle Share Diversion Support'!$J32)</f>
        <v>18233.781936808657</v>
      </c>
      <c r="L74" s="43">
        <f>$J74*('Vehicle Share Diversion Support'!L32/'Vehicle Share Diversion Support'!$J32)</f>
        <v>17863.648995379459</v>
      </c>
      <c r="M74" s="43">
        <f>$J74*('Vehicle Share Diversion Support'!M32/'Vehicle Share Diversion Support'!$J32)</f>
        <v>17329.046165241482</v>
      </c>
      <c r="N74" s="43">
        <f>$J74*('Vehicle Share Diversion Support'!N32/'Vehicle Share Diversion Support'!$J32)</f>
        <v>16579.949438548065</v>
      </c>
      <c r="O74" s="43">
        <f>$J74*('Vehicle Share Diversion Support'!O32/'Vehicle Share Diversion Support'!$J32)</f>
        <v>15832.153692084685</v>
      </c>
      <c r="P74" s="56">
        <f>$J74*('Vehicle Share Diversion Support'!P32/'Vehicle Share Diversion Support'!$J32)</f>
        <v>14739.955616260171</v>
      </c>
      <c r="Q74" s="56">
        <f>$J74*('Vehicle Share Diversion Support'!Q32/'Vehicle Share Diversion Support'!$J32)</f>
        <v>13618.623563058074</v>
      </c>
      <c r="R74" s="57">
        <f>$J74*('Vehicle Share Diversion Support'!R32/'Vehicle Share Diversion Support'!$J32)</f>
        <v>12491.496312655283</v>
      </c>
      <c r="S74" s="56"/>
    </row>
    <row r="75" spans="3:19" ht="16" x14ac:dyDescent="0.2">
      <c r="C75" s="24" t="s">
        <v>6</v>
      </c>
      <c r="D75" s="42">
        <f>'[1]12_13 fleet'!$D210*'Light Vehicle Supporting Data'!D$174</f>
        <v>9746.6947728164032</v>
      </c>
      <c r="E75" s="43">
        <f>'[2]13_14 fleet'!$D211*'Light Vehicle Supporting Data'!E$174</f>
        <v>10172.56398806853</v>
      </c>
      <c r="F75" s="43">
        <f>'[3]14_15 fleet'!$D211*'Light Vehicle Supporting Data'!F$174</f>
        <v>10556.628423235807</v>
      </c>
      <c r="G75" s="43">
        <f>'[4]15_16 fleet'!$D211*'Light Vehicle Supporting Data'!G$174</f>
        <v>10933.688710847453</v>
      </c>
      <c r="H75" s="43">
        <f>'[5]16_17 fleet_v2'!$D211*'Light Vehicle Supporting Data'!H$174</f>
        <v>11343.959337376662</v>
      </c>
      <c r="I75" s="43">
        <f>'[6]17_18 fleet_v3'!$D236*'Light Vehicle Supporting Data'!I$174</f>
        <v>12466.989893987464</v>
      </c>
      <c r="J75" s="43">
        <f>'[7]18_19 fleet_v3'!$D236*'Light Vehicle Supporting Data'!J$174</f>
        <v>13027.799008617292</v>
      </c>
      <c r="K75" s="43">
        <f>$J75*('Vehicle Share Diversion Support'!K33/'Vehicle Share Diversion Support'!$J33)</f>
        <v>13538.830085397421</v>
      </c>
      <c r="L75" s="43">
        <f>$J75*('Vehicle Share Diversion Support'!L33/'Vehicle Share Diversion Support'!$J33)</f>
        <v>13373.48212414388</v>
      </c>
      <c r="M75" s="43">
        <f>$J75*('Vehicle Share Diversion Support'!M33/'Vehicle Share Diversion Support'!$J33)</f>
        <v>13048.101288331231</v>
      </c>
      <c r="N75" s="43">
        <f>$J75*('Vehicle Share Diversion Support'!N33/'Vehicle Share Diversion Support'!$J33)</f>
        <v>12652.855307635065</v>
      </c>
      <c r="O75" s="43">
        <f>$J75*('Vehicle Share Diversion Support'!O33/'Vehicle Share Diversion Support'!$J33)</f>
        <v>12226.475631129892</v>
      </c>
      <c r="P75" s="56">
        <f>$J75*('Vehicle Share Diversion Support'!P33/'Vehicle Share Diversion Support'!$J33)</f>
        <v>11537.677409719146</v>
      </c>
      <c r="Q75" s="56">
        <f>$J75*('Vehicle Share Diversion Support'!Q33/'Vehicle Share Diversion Support'!$J33)</f>
        <v>10804.790700752463</v>
      </c>
      <c r="R75" s="57">
        <f>$J75*('Vehicle Share Diversion Support'!R33/'Vehicle Share Diversion Support'!$J33)</f>
        <v>10045.198750192565</v>
      </c>
      <c r="S75" s="56"/>
    </row>
    <row r="76" spans="3:19" ht="16" x14ac:dyDescent="0.2">
      <c r="C76" s="24" t="s">
        <v>7</v>
      </c>
      <c r="D76" s="42">
        <f>'[1]12_13 fleet'!$D211*'Light Vehicle Supporting Data'!D$174</f>
        <v>19689.834556557791</v>
      </c>
      <c r="E76" s="43">
        <f>'[2]13_14 fleet'!$D212*'Light Vehicle Supporting Data'!E$174</f>
        <v>20286.722837421166</v>
      </c>
      <c r="F76" s="43">
        <f>'[3]14_15 fleet'!$D212*'Light Vehicle Supporting Data'!F$174</f>
        <v>21202.83067902648</v>
      </c>
      <c r="G76" s="43">
        <f>'[4]15_16 fleet'!$D212*'Light Vehicle Supporting Data'!G$174</f>
        <v>22474.972230909356</v>
      </c>
      <c r="H76" s="43">
        <f>'[5]16_17 fleet_v2'!$D212*'Light Vehicle Supporting Data'!H$174</f>
        <v>23755.561781479133</v>
      </c>
      <c r="I76" s="43">
        <f>'[6]17_18 fleet_v3'!$D237*'Light Vehicle Supporting Data'!I$174</f>
        <v>25055.008813742941</v>
      </c>
      <c r="J76" s="43">
        <f>'[7]18_19 fleet_v3'!$D237*'Light Vehicle Supporting Data'!J$174</f>
        <v>26796.757254500259</v>
      </c>
      <c r="K76" s="43">
        <f>$J76*('Vehicle Share Diversion Support'!K34/'Vehicle Share Diversion Support'!$J34)</f>
        <v>27630.521441337172</v>
      </c>
      <c r="L76" s="43">
        <f>$J76*('Vehicle Share Diversion Support'!L34/'Vehicle Share Diversion Support'!$J34)</f>
        <v>26974.831205393828</v>
      </c>
      <c r="M76" s="43">
        <f>$J76*('Vehicle Share Diversion Support'!M34/'Vehicle Share Diversion Support'!$J34)</f>
        <v>26167.644496385048</v>
      </c>
      <c r="N76" s="43">
        <f>$J76*('Vehicle Share Diversion Support'!N34/'Vehicle Share Diversion Support'!$J34)</f>
        <v>25021.556461814005</v>
      </c>
      <c r="O76" s="43">
        <f>$J76*('Vehicle Share Diversion Support'!O34/'Vehicle Share Diversion Support'!$J34)</f>
        <v>23874.513763019007</v>
      </c>
      <c r="P76" s="56">
        <f>$J76*('Vehicle Share Diversion Support'!P34/'Vehicle Share Diversion Support'!$J34)</f>
        <v>22198.004216430054</v>
      </c>
      <c r="Q76" s="56">
        <f>$J76*('Vehicle Share Diversion Support'!Q34/'Vehicle Share Diversion Support'!$J34)</f>
        <v>20482.085978758834</v>
      </c>
      <c r="R76" s="57">
        <f>$J76*('Vehicle Share Diversion Support'!R34/'Vehicle Share Diversion Support'!$J34)</f>
        <v>18761.979148836235</v>
      </c>
      <c r="S76" s="56"/>
    </row>
    <row r="77" spans="3:19" ht="16" x14ac:dyDescent="0.2">
      <c r="C77" s="24" t="s">
        <v>8</v>
      </c>
      <c r="D77" s="42">
        <f>'[1]12_13 fleet'!$D212*'Light Vehicle Supporting Data'!D$174</f>
        <v>19208.292427213477</v>
      </c>
      <c r="E77" s="43">
        <f>'[2]13_14 fleet'!$D213*'Light Vehicle Supporting Data'!E$174</f>
        <v>19829.551579196745</v>
      </c>
      <c r="F77" s="43">
        <f>'[3]14_15 fleet'!$D213*'Light Vehicle Supporting Data'!F$174</f>
        <v>20656.329655686117</v>
      </c>
      <c r="G77" s="43">
        <f>'[4]15_16 fleet'!$D213*'Light Vehicle Supporting Data'!G$174</f>
        <v>21784.889384682348</v>
      </c>
      <c r="H77" s="43">
        <f>'[5]16_17 fleet_v2'!$D213*'Light Vehicle Supporting Data'!H$174</f>
        <v>23294.122811623063</v>
      </c>
      <c r="I77" s="43">
        <f>'[6]17_18 fleet_v3'!$D238*'Light Vehicle Supporting Data'!I$174</f>
        <v>25210.045995511879</v>
      </c>
      <c r="J77" s="43">
        <f>'[7]18_19 fleet_v3'!$D238*'Light Vehicle Supporting Data'!J$174</f>
        <v>27321.870074425333</v>
      </c>
      <c r="K77" s="43">
        <f>$J77*('Vehicle Share Diversion Support'!K35/'Vehicle Share Diversion Support'!$J35)</f>
        <v>28496.20129393378</v>
      </c>
      <c r="L77" s="43">
        <f>$J77*('Vehicle Share Diversion Support'!L35/'Vehicle Share Diversion Support'!$J35)</f>
        <v>28220.092379525689</v>
      </c>
      <c r="M77" s="43">
        <f>$J77*('Vehicle Share Diversion Support'!M35/'Vehicle Share Diversion Support'!$J35)</f>
        <v>27566.812424968772</v>
      </c>
      <c r="N77" s="43">
        <f>$J77*('Vehicle Share Diversion Support'!N35/'Vehicle Share Diversion Support'!$J35)</f>
        <v>26726.575924154236</v>
      </c>
      <c r="O77" s="43">
        <f>$J77*('Vehicle Share Diversion Support'!O35/'Vehicle Share Diversion Support'!$J35)</f>
        <v>25820.439946709357</v>
      </c>
      <c r="P77" s="56">
        <f>$J77*('Vehicle Share Diversion Support'!P35/'Vehicle Share Diversion Support'!$J35)</f>
        <v>24366.749071009901</v>
      </c>
      <c r="Q77" s="56">
        <f>$J77*('Vehicle Share Diversion Support'!Q35/'Vehicle Share Diversion Support'!$J35)</f>
        <v>22819.830024441821</v>
      </c>
      <c r="R77" s="57">
        <f>$J77*('Vehicle Share Diversion Support'!R35/'Vehicle Share Diversion Support'!$J35)</f>
        <v>21216.386983519777</v>
      </c>
      <c r="S77" s="56"/>
    </row>
    <row r="78" spans="3:19" ht="16" x14ac:dyDescent="0.2">
      <c r="C78" s="24" t="s">
        <v>9</v>
      </c>
      <c r="D78" s="42">
        <f>'[1]12_13 fleet'!$D213*'Light Vehicle Supporting Data'!D$174</f>
        <v>15421.437062767289</v>
      </c>
      <c r="E78" s="43">
        <f>'[2]13_14 fleet'!$D214*'Light Vehicle Supporting Data'!E$174</f>
        <v>15900.295522827371</v>
      </c>
      <c r="F78" s="43">
        <f>'[3]14_15 fleet'!$D214*'Light Vehicle Supporting Data'!F$174</f>
        <v>16500.707693674427</v>
      </c>
      <c r="G78" s="43">
        <f>'[4]15_16 fleet'!$D214*'Light Vehicle Supporting Data'!G$174</f>
        <v>17341.60085438396</v>
      </c>
      <c r="H78" s="43">
        <f>'[5]16_17 fleet_v2'!$D214*'Light Vehicle Supporting Data'!H$174</f>
        <v>18201.203810989406</v>
      </c>
      <c r="I78" s="43">
        <f>'[6]17_18 fleet_v3'!$D239*'Light Vehicle Supporting Data'!I$174</f>
        <v>19028.563522401921</v>
      </c>
      <c r="J78" s="43">
        <f>'[7]18_19 fleet_v3'!$D239*'Light Vehicle Supporting Data'!J$174</f>
        <v>20137.326482955235</v>
      </c>
      <c r="K78" s="43">
        <f>$J78*('Vehicle Share Diversion Support'!K36/'Vehicle Share Diversion Support'!$J36)</f>
        <v>21031.486031800869</v>
      </c>
      <c r="L78" s="43">
        <f>$J78*('Vehicle Share Diversion Support'!L36/'Vehicle Share Diversion Support'!$J36)</f>
        <v>20827.697074629017</v>
      </c>
      <c r="M78" s="43">
        <f>$J78*('Vehicle Share Diversion Support'!M36/'Vehicle Share Diversion Support'!$J36)</f>
        <v>20299.937583495401</v>
      </c>
      <c r="N78" s="43">
        <f>$J78*('Vehicle Share Diversion Support'!N36/'Vehicle Share Diversion Support'!$J36)</f>
        <v>19433.06872120222</v>
      </c>
      <c r="O78" s="43">
        <f>$J78*('Vehicle Share Diversion Support'!O36/'Vehicle Share Diversion Support'!$J36)</f>
        <v>18545.248481982664</v>
      </c>
      <c r="P78" s="56">
        <f>$J78*('Vehicle Share Diversion Support'!P36/'Vehicle Share Diversion Support'!$J36)</f>
        <v>17359.701987215842</v>
      </c>
      <c r="Q78" s="56">
        <f>$J78*('Vehicle Share Diversion Support'!Q36/'Vehicle Share Diversion Support'!$J36)</f>
        <v>16126.987103255758</v>
      </c>
      <c r="R78" s="57">
        <f>$J78*('Vehicle Share Diversion Support'!R36/'Vehicle Share Diversion Support'!$J36)</f>
        <v>14874.040045592166</v>
      </c>
      <c r="S78" s="56"/>
    </row>
    <row r="79" spans="3:19" ht="16" x14ac:dyDescent="0.2">
      <c r="C79" s="24" t="s">
        <v>10</v>
      </c>
      <c r="D79" s="42">
        <f>'[1]12_13 fleet'!$D214*'Light Vehicle Supporting Data'!D$174</f>
        <v>3982.2929650587334</v>
      </c>
      <c r="E79" s="43">
        <f>'[2]13_14 fleet'!$D215*'Light Vehicle Supporting Data'!E$174</f>
        <v>4063.1850813558226</v>
      </c>
      <c r="F79" s="43">
        <f>'[3]14_15 fleet'!$D215*'Light Vehicle Supporting Data'!F$174</f>
        <v>4157.6348571252856</v>
      </c>
      <c r="G79" s="43">
        <f>'[4]15_16 fleet'!$D215*'Light Vehicle Supporting Data'!G$174</f>
        <v>4197.8363226024858</v>
      </c>
      <c r="H79" s="43">
        <f>'[5]16_17 fleet_v2'!$D215*'Light Vehicle Supporting Data'!H$174</f>
        <v>4314.8062279351852</v>
      </c>
      <c r="I79" s="43">
        <f>'[6]17_18 fleet_v3'!$D240*'Light Vehicle Supporting Data'!I$174</f>
        <v>4501.0794707111354</v>
      </c>
      <c r="J79" s="43">
        <f>'[7]18_19 fleet_v3'!$D240*'Light Vehicle Supporting Data'!J$174</f>
        <v>4734.0170984864217</v>
      </c>
      <c r="K79" s="43">
        <f>$J79*('Vehicle Share Diversion Support'!K37/'Vehicle Share Diversion Support'!$J37)</f>
        <v>4779.5223039491411</v>
      </c>
      <c r="L79" s="43">
        <f>$J79*('Vehicle Share Diversion Support'!L37/'Vehicle Share Diversion Support'!$J37)</f>
        <v>4606.4146328398992</v>
      </c>
      <c r="M79" s="43">
        <f>$J79*('Vehicle Share Diversion Support'!M37/'Vehicle Share Diversion Support'!$J37)</f>
        <v>4306.7365552768852</v>
      </c>
      <c r="N79" s="43">
        <f>$J79*('Vehicle Share Diversion Support'!N37/'Vehicle Share Diversion Support'!$J37)</f>
        <v>4033.7504967891323</v>
      </c>
      <c r="O79" s="43">
        <f>$J79*('Vehicle Share Diversion Support'!O37/'Vehicle Share Diversion Support'!$J37)</f>
        <v>3772.9336065561329</v>
      </c>
      <c r="P79" s="56">
        <f>$J79*('Vehicle Share Diversion Support'!P37/'Vehicle Share Diversion Support'!$J37)</f>
        <v>3446.1595592206891</v>
      </c>
      <c r="Q79" s="56">
        <f>$J79*('Vehicle Share Diversion Support'!Q37/'Vehicle Share Diversion Support'!$J37)</f>
        <v>3123.7226136018735</v>
      </c>
      <c r="R79" s="57">
        <f>$J79*('Vehicle Share Diversion Support'!R37/'Vehicle Share Diversion Support'!$J37)</f>
        <v>2810.9540755305447</v>
      </c>
      <c r="S79" s="56"/>
    </row>
    <row r="80" spans="3:19" ht="16" x14ac:dyDescent="0.2">
      <c r="C80" s="24" t="s">
        <v>11</v>
      </c>
      <c r="D80" s="42">
        <f>'[1]12_13 fleet'!$D215*'Light Vehicle Supporting Data'!D$174</f>
        <v>40531.139100229702</v>
      </c>
      <c r="E80" s="43">
        <f>'[2]13_14 fleet'!$D216*'Light Vehicle Supporting Data'!E$174</f>
        <v>42474.633638559753</v>
      </c>
      <c r="F80" s="43">
        <f>'[3]14_15 fleet'!$D216*'Light Vehicle Supporting Data'!F$174</f>
        <v>44574.555842948866</v>
      </c>
      <c r="G80" s="43">
        <f>'[4]15_16 fleet'!$D216*'Light Vehicle Supporting Data'!G$174</f>
        <v>46518.223116728201</v>
      </c>
      <c r="H80" s="43">
        <f>'[5]16_17 fleet_v2'!$D216*'Light Vehicle Supporting Data'!H$174</f>
        <v>48291.246962976365</v>
      </c>
      <c r="I80" s="43">
        <f>'[6]17_18 fleet_v3'!$D241*'Light Vehicle Supporting Data'!I$174</f>
        <v>49910.969890892207</v>
      </c>
      <c r="J80" s="43">
        <f>'[7]18_19 fleet_v3'!$D241*'Light Vehicle Supporting Data'!J$174</f>
        <v>52735.330129008682</v>
      </c>
      <c r="K80" s="43">
        <f>$J80*('Vehicle Share Diversion Support'!K38/'Vehicle Share Diversion Support'!$J38)</f>
        <v>56404.703534316897</v>
      </c>
      <c r="L80" s="43">
        <f>$J80*('Vehicle Share Diversion Support'!L38/'Vehicle Share Diversion Support'!$J38)</f>
        <v>57093.039711467667</v>
      </c>
      <c r="M80" s="43">
        <f>$J80*('Vehicle Share Diversion Support'!M38/'Vehicle Share Diversion Support'!$J38)</f>
        <v>57068.277472731104</v>
      </c>
      <c r="N80" s="43">
        <f>$J80*('Vehicle Share Diversion Support'!N38/'Vehicle Share Diversion Support'!$J38)</f>
        <v>56288.217129136603</v>
      </c>
      <c r="O80" s="43">
        <f>$J80*('Vehicle Share Diversion Support'!O38/'Vehicle Share Diversion Support'!$J38)</f>
        <v>55263.027798871502</v>
      </c>
      <c r="P80" s="56">
        <f>$J80*('Vehicle Share Diversion Support'!P38/'Vehicle Share Diversion Support'!$J38)</f>
        <v>53119.823676718603</v>
      </c>
      <c r="Q80" s="56">
        <f>$J80*('Vehicle Share Diversion Support'!Q38/'Vehicle Share Diversion Support'!$J38)</f>
        <v>50670.995298764981</v>
      </c>
      <c r="R80" s="57">
        <f>$J80*('Vehicle Share Diversion Support'!R38/'Vehicle Share Diversion Support'!$J38)</f>
        <v>47985.105491171846</v>
      </c>
      <c r="S80" s="56"/>
    </row>
    <row r="81" spans="3:28" ht="16" x14ac:dyDescent="0.2">
      <c r="C81" s="24" t="s">
        <v>12</v>
      </c>
      <c r="D81" s="42">
        <f>'[1]12_13 fleet'!$D216*'Light Vehicle Supporting Data'!D$174</f>
        <v>14539.95303938596</v>
      </c>
      <c r="E81" s="43">
        <f>'[2]13_14 fleet'!$D217*'Light Vehicle Supporting Data'!E$174</f>
        <v>15070.539759001547</v>
      </c>
      <c r="F81" s="43">
        <f>'[3]14_15 fleet'!$D217*'Light Vehicle Supporting Data'!F$174</f>
        <v>15761.975186985983</v>
      </c>
      <c r="G81" s="43">
        <f>'[4]15_16 fleet'!$D217*'Light Vehicle Supporting Data'!G$174</f>
        <v>16762.172691954285</v>
      </c>
      <c r="H81" s="43">
        <f>'[5]16_17 fleet_v2'!$D217*'Light Vehicle Supporting Data'!H$174</f>
        <v>18151.943441658368</v>
      </c>
      <c r="I81" s="43">
        <f>'[6]17_18 fleet_v3'!$D242*'Light Vehicle Supporting Data'!I$174</f>
        <v>19109.58295287472</v>
      </c>
      <c r="J81" s="43">
        <f>'[7]18_19 fleet_v3'!$D242*'Light Vehicle Supporting Data'!J$174</f>
        <v>20626.431566656876</v>
      </c>
      <c r="K81" s="43">
        <f>$J81*('Vehicle Share Diversion Support'!K39/'Vehicle Share Diversion Support'!$J39)</f>
        <v>21708.626327347974</v>
      </c>
      <c r="L81" s="43">
        <f>$J81*('Vehicle Share Diversion Support'!L39/'Vehicle Share Diversion Support'!$J39)</f>
        <v>21632.716352604966</v>
      </c>
      <c r="M81" s="43">
        <f>$J81*('Vehicle Share Diversion Support'!M39/'Vehicle Share Diversion Support'!$J39)</f>
        <v>21288.61568437429</v>
      </c>
      <c r="N81" s="43">
        <f>$J81*('Vehicle Share Diversion Support'!N39/'Vehicle Share Diversion Support'!$J39)</f>
        <v>20688.100289229234</v>
      </c>
      <c r="O81" s="43">
        <f>$J81*('Vehicle Share Diversion Support'!O39/'Vehicle Share Diversion Support'!$J39)</f>
        <v>20019.199014068588</v>
      </c>
      <c r="P81" s="56">
        <f>$J81*('Vehicle Share Diversion Support'!P39/'Vehicle Share Diversion Support'!$J39)</f>
        <v>18955.278226576487</v>
      </c>
      <c r="Q81" s="56">
        <f>$J81*('Vehicle Share Diversion Support'!Q39/'Vehicle Share Diversion Support'!$J39)</f>
        <v>17811.253751172328</v>
      </c>
      <c r="R81" s="57">
        <f>$J81*('Vehicle Share Diversion Support'!R39/'Vehicle Share Diversion Support'!$J39)</f>
        <v>16615.102593461746</v>
      </c>
      <c r="S81" s="56"/>
    </row>
    <row r="82" spans="3:28" ht="17" thickBot="1" x14ac:dyDescent="0.25">
      <c r="C82" s="25" t="s">
        <v>13</v>
      </c>
      <c r="D82" s="45">
        <f>'[1]12_13 fleet'!$D217*'Light Vehicle Supporting Data'!D$174</f>
        <v>11362.580913963433</v>
      </c>
      <c r="E82" s="46">
        <f>'[2]13_14 fleet'!$D218*'Light Vehicle Supporting Data'!E$174</f>
        <v>11726.342074941402</v>
      </c>
      <c r="F82" s="46">
        <f>'[3]14_15 fleet'!$D218*'Light Vehicle Supporting Data'!F$174</f>
        <v>12078.377129111728</v>
      </c>
      <c r="G82" s="46">
        <f>'[4]15_16 fleet'!$D218*'Light Vehicle Supporting Data'!G$174</f>
        <v>12586.467306111264</v>
      </c>
      <c r="H82" s="46">
        <f>'[5]16_17 fleet_v2'!$D218*'Light Vehicle Supporting Data'!H$174</f>
        <v>13198.763039739295</v>
      </c>
      <c r="I82" s="46">
        <f>'[6]17_18 fleet_v3'!$D243*'Light Vehicle Supporting Data'!I$174</f>
        <v>13848.321171554593</v>
      </c>
      <c r="J82" s="46">
        <f>'[7]18_19 fleet_v3'!$D243*'Light Vehicle Supporting Data'!J$174</f>
        <v>14541.124144896599</v>
      </c>
      <c r="K82" s="46">
        <f>$J82*('Vehicle Share Diversion Support'!K40/'Vehicle Share Diversion Support'!$J40)</f>
        <v>14906.584246848182</v>
      </c>
      <c r="L82" s="46">
        <f>$J82*('Vehicle Share Diversion Support'!L40/'Vehicle Share Diversion Support'!$J40)</f>
        <v>14501.52534081386</v>
      </c>
      <c r="M82" s="46">
        <f>$J82*('Vehicle Share Diversion Support'!M40/'Vehicle Share Diversion Support'!$J40)</f>
        <v>13980.101496220306</v>
      </c>
      <c r="N82" s="46">
        <f>$J82*('Vehicle Share Diversion Support'!N40/'Vehicle Share Diversion Support'!$J40)</f>
        <v>13295.944099765886</v>
      </c>
      <c r="O82" s="46">
        <f>$J82*('Vehicle Share Diversion Support'!O40/'Vehicle Share Diversion Support'!$J40)</f>
        <v>12590.655966673619</v>
      </c>
      <c r="P82" s="59">
        <f>$J82*('Vehicle Share Diversion Support'!P40/'Vehicle Share Diversion Support'!$J40)</f>
        <v>11645.621792355054</v>
      </c>
      <c r="Q82" s="59">
        <f>$J82*('Vehicle Share Diversion Support'!Q40/'Vehicle Share Diversion Support'!$J40)</f>
        <v>10689.511707621512</v>
      </c>
      <c r="R82" s="60">
        <f>$J82*('Vehicle Share Diversion Support'!R40/'Vehicle Share Diversion Support'!$J40)</f>
        <v>9740.8591057460344</v>
      </c>
      <c r="S82" s="56"/>
    </row>
    <row r="83" spans="3:28" ht="19" thickTop="1" thickBot="1" x14ac:dyDescent="0.25">
      <c r="C83" s="20" t="s">
        <v>24</v>
      </c>
      <c r="D83" s="48">
        <f t="shared" ref="D83:O83" si="71">SUM(D69:D82)</f>
        <v>269719</v>
      </c>
      <c r="E83" s="48">
        <f t="shared" si="71"/>
        <v>280536.99999999994</v>
      </c>
      <c r="F83" s="48">
        <f t="shared" si="71"/>
        <v>294556.00000000006</v>
      </c>
      <c r="G83" s="48">
        <f t="shared" ref="G83:H83" si="72">SUM(G69:G82)</f>
        <v>312011.00000000006</v>
      </c>
      <c r="H83" s="48">
        <f t="shared" si="72"/>
        <v>333170.99999999994</v>
      </c>
      <c r="I83" s="48">
        <f t="shared" si="71"/>
        <v>353466.77011529828</v>
      </c>
      <c r="J83" s="48">
        <f t="shared" ref="J83" si="73">SUM(J69:J82)</f>
        <v>377109.02146801999</v>
      </c>
      <c r="K83" s="48">
        <f t="shared" si="71"/>
        <v>399478.35415384633</v>
      </c>
      <c r="L83" s="48">
        <f t="shared" si="71"/>
        <v>401039.0141754545</v>
      </c>
      <c r="M83" s="48">
        <f t="shared" si="71"/>
        <v>397789.86041914712</v>
      </c>
      <c r="N83" s="48">
        <f t="shared" si="71"/>
        <v>389442.80213319982</v>
      </c>
      <c r="O83" s="48">
        <f t="shared" si="71"/>
        <v>379773.97873485781</v>
      </c>
      <c r="P83" s="62">
        <f t="shared" ref="P83:R83" si="74">SUM(P69:P82)</f>
        <v>362012.96852260426</v>
      </c>
      <c r="Q83" s="62">
        <f t="shared" si="74"/>
        <v>342563.21270466322</v>
      </c>
      <c r="R83" s="63">
        <f t="shared" si="74"/>
        <v>321912.7442168502</v>
      </c>
      <c r="S83" s="43"/>
    </row>
    <row r="84" spans="3:28" ht="19" thickTop="1" thickBot="1" x14ac:dyDescent="0.25">
      <c r="C84" s="31" t="s">
        <v>96</v>
      </c>
      <c r="D84" s="48">
        <f>SUM('[1]12_13 fleet'!$D$203:$D$217)</f>
        <v>269719</v>
      </c>
      <c r="E84" s="48">
        <f>SUM('[2]13_14 fleet'!$D$204:$D$218)</f>
        <v>280537</v>
      </c>
      <c r="F84" s="48">
        <f>SUM('[3]14_15 fleet'!$D$204:$D$218)</f>
        <v>294556</v>
      </c>
      <c r="G84" s="48">
        <f>SUM('[4]15_16 fleet'!$D$204:$D$218)</f>
        <v>312011</v>
      </c>
      <c r="H84" s="48">
        <f>SUM('[5]16_17 fleet_v2'!$D$204:$D$218)</f>
        <v>333171</v>
      </c>
      <c r="I84" s="48">
        <f>SUM('[6]17_18 fleet_v3'!$D$205:$D$219)</f>
        <v>129261</v>
      </c>
      <c r="J84" s="48">
        <f>SUM('[7]18_19 fleet_v3'!$D$205:$D$219)</f>
        <v>139633</v>
      </c>
      <c r="K84" s="62"/>
      <c r="L84" s="62"/>
      <c r="M84" s="62"/>
      <c r="N84" s="62"/>
      <c r="O84" s="62"/>
      <c r="P84" s="62"/>
      <c r="Q84" s="62"/>
      <c r="R84" s="63"/>
      <c r="S84" s="56"/>
    </row>
    <row r="85" spans="3:28" ht="14" thickTop="1" x14ac:dyDescent="0.15"/>
    <row r="86" spans="3:28" ht="14" thickBot="1" x14ac:dyDescent="0.2"/>
    <row r="87" spans="3:28" ht="17" thickTop="1" x14ac:dyDescent="0.2">
      <c r="C87" s="32" t="s">
        <v>128</v>
      </c>
      <c r="D87" s="33"/>
      <c r="E87" s="33"/>
      <c r="F87" s="33"/>
      <c r="G87" s="33"/>
      <c r="H87" s="33"/>
      <c r="I87" s="33"/>
      <c r="J87" s="33"/>
      <c r="K87" s="34"/>
      <c r="L87" s="34"/>
      <c r="M87" s="34"/>
      <c r="N87" s="34"/>
      <c r="O87" s="34"/>
      <c r="P87" s="34"/>
      <c r="Q87" s="34"/>
      <c r="R87" s="35"/>
      <c r="S87" s="121"/>
    </row>
    <row r="88" spans="3:28" ht="14" thickBot="1" x14ac:dyDescent="0.2">
      <c r="C88" s="36"/>
      <c r="D88" s="37" t="s">
        <v>25</v>
      </c>
      <c r="E88" s="37" t="s">
        <v>37</v>
      </c>
      <c r="F88" s="37" t="s">
        <v>38</v>
      </c>
      <c r="G88" s="37" t="s">
        <v>177</v>
      </c>
      <c r="H88" s="37" t="s">
        <v>178</v>
      </c>
      <c r="I88" s="37" t="s">
        <v>26</v>
      </c>
      <c r="J88" s="37"/>
      <c r="K88" s="37" t="s">
        <v>27</v>
      </c>
      <c r="L88" s="37" t="s">
        <v>28</v>
      </c>
      <c r="M88" s="37" t="s">
        <v>29</v>
      </c>
      <c r="N88" s="37" t="s">
        <v>30</v>
      </c>
      <c r="O88" s="37" t="s">
        <v>31</v>
      </c>
      <c r="P88" s="37" t="s">
        <v>174</v>
      </c>
      <c r="Q88" s="37" t="s">
        <v>175</v>
      </c>
      <c r="R88" s="38" t="s">
        <v>176</v>
      </c>
      <c r="S88" s="65"/>
    </row>
    <row r="89" spans="3:28" ht="15" thickTop="1" thickBot="1" x14ac:dyDescent="0.2">
      <c r="C89" s="70"/>
      <c r="D89" s="65" t="s">
        <v>39</v>
      </c>
      <c r="E89" s="65" t="s">
        <v>39</v>
      </c>
      <c r="F89" s="65" t="s">
        <v>39</v>
      </c>
      <c r="G89" s="65" t="s">
        <v>39</v>
      </c>
      <c r="H89" s="65" t="s">
        <v>39</v>
      </c>
      <c r="I89" s="65" t="s">
        <v>39</v>
      </c>
      <c r="J89" s="65"/>
      <c r="K89" s="65" t="s">
        <v>32</v>
      </c>
      <c r="L89" s="65" t="s">
        <v>32</v>
      </c>
      <c r="M89" s="65" t="s">
        <v>32</v>
      </c>
      <c r="N89" s="65" t="s">
        <v>32</v>
      </c>
      <c r="O89" s="65" t="s">
        <v>32</v>
      </c>
      <c r="P89" s="65" t="s">
        <v>32</v>
      </c>
      <c r="Q89" s="65" t="s">
        <v>32</v>
      </c>
      <c r="R89" s="66" t="s">
        <v>32</v>
      </c>
      <c r="S89" s="65"/>
      <c r="T89" s="56"/>
      <c r="U89" s="56"/>
      <c r="V89" s="56"/>
      <c r="W89" s="56"/>
      <c r="X89" s="56"/>
      <c r="Y89" s="56"/>
      <c r="Z89" s="56"/>
      <c r="AA89" s="56"/>
      <c r="AB89" s="56"/>
    </row>
    <row r="90" spans="3:28" ht="17" thickTop="1" x14ac:dyDescent="0.2">
      <c r="C90" s="24" t="s">
        <v>0</v>
      </c>
      <c r="D90" s="52">
        <f>'Vehicle Share Diversion Support'!D86</f>
        <v>123.18200576581287</v>
      </c>
      <c r="E90" s="53">
        <f>'Vehicle Share Diversion Support'!E86</f>
        <v>133.99119481901039</v>
      </c>
      <c r="F90" s="53">
        <f>'Vehicle Share Diversion Support'!F86</f>
        <v>144.58018892751744</v>
      </c>
      <c r="G90" s="53">
        <f>'Vehicle Share Diversion Support'!G86</f>
        <v>149.01755583123835</v>
      </c>
      <c r="H90" s="53">
        <f>'Vehicle Share Diversion Support'!H86</f>
        <v>158.09913792085203</v>
      </c>
      <c r="I90" s="53">
        <f>'Vehicle Share Diversion Support'!I86</f>
        <v>178.28654091766253</v>
      </c>
      <c r="J90" s="53">
        <f>'Vehicle Share Diversion Support'!J86</f>
        <v>206.99496386062876</v>
      </c>
      <c r="K90" s="53">
        <f>'Vehicle Share Diversion Support'!K86*(1-'Vehicle Share Diversion Support'!K106)</f>
        <v>223.96997969040086</v>
      </c>
      <c r="L90" s="53">
        <f>'Vehicle Share Diversion Support'!L86*(1-'Vehicle Share Diversion Support'!L106)</f>
        <v>252.79467920710891</v>
      </c>
      <c r="M90" s="53">
        <f>'Vehicle Share Diversion Support'!M86*(1-'Vehicle Share Diversion Support'!M106)</f>
        <v>274.49353027184878</v>
      </c>
      <c r="N90" s="53">
        <f>'Vehicle Share Diversion Support'!N86*(1-'Vehicle Share Diversion Support'!N106)</f>
        <v>294.51442302201042</v>
      </c>
      <c r="O90" s="53">
        <f>'Vehicle Share Diversion Support'!O86*(1-'Vehicle Share Diversion Support'!O106)</f>
        <v>315.51007599596886</v>
      </c>
      <c r="P90" s="53">
        <f>'Vehicle Share Diversion Support'!P86*(1-'Vehicle Share Diversion Support'!P106)</f>
        <v>336.97697974573873</v>
      </c>
      <c r="Q90" s="53">
        <f>'Vehicle Share Diversion Support'!Q86*(1-'Vehicle Share Diversion Support'!Q106)</f>
        <v>356.92547570617421</v>
      </c>
      <c r="R90" s="54">
        <f>'Vehicle Share Diversion Support'!R86*(1-'Vehicle Share Diversion Support'!R106)</f>
        <v>374.24628987396864</v>
      </c>
      <c r="S90" s="56"/>
      <c r="T90" s="56"/>
      <c r="U90" s="56"/>
      <c r="V90" s="56"/>
      <c r="W90" s="56"/>
      <c r="X90" s="56"/>
      <c r="Y90" s="56"/>
      <c r="Z90" s="56"/>
      <c r="AA90" s="56"/>
      <c r="AB90" s="56"/>
    </row>
    <row r="91" spans="3:28" ht="16" x14ac:dyDescent="0.2">
      <c r="C91" s="24" t="s">
        <v>1</v>
      </c>
      <c r="D91" s="55">
        <f>'Vehicle Share Diversion Support'!D87</f>
        <v>796.91126556532868</v>
      </c>
      <c r="E91" s="56">
        <f>'Vehicle Share Diversion Support'!E87</f>
        <v>836.71681085294404</v>
      </c>
      <c r="F91" s="56">
        <f>'Vehicle Share Diversion Support'!F87</f>
        <v>878.13557647721814</v>
      </c>
      <c r="G91" s="56">
        <f>'Vehicle Share Diversion Support'!G87</f>
        <v>964.2349908010907</v>
      </c>
      <c r="H91" s="56">
        <f>'Vehicle Share Diversion Support'!H87</f>
        <v>1103.5760688482669</v>
      </c>
      <c r="I91" s="56">
        <f>'Vehicle Share Diversion Support'!I87</f>
        <v>1147.2268898110201</v>
      </c>
      <c r="J91" s="56">
        <f>'Vehicle Share Diversion Support'!J87</f>
        <v>1331.0740851312646</v>
      </c>
      <c r="K91" s="56">
        <f>'Vehicle Share Diversion Support'!K87*(1-'Vehicle Share Diversion Support'!K107)</f>
        <v>1513.4052838028379</v>
      </c>
      <c r="L91" s="56">
        <f>'Vehicle Share Diversion Support'!L87*(1-'Vehicle Share Diversion Support'!L107)</f>
        <v>1776.9678525743498</v>
      </c>
      <c r="M91" s="56">
        <f>'Vehicle Share Diversion Support'!M87*(1-'Vehicle Share Diversion Support'!M107)</f>
        <v>2006.1976792473481</v>
      </c>
      <c r="N91" s="56">
        <f>'Vehicle Share Diversion Support'!N87*(1-'Vehicle Share Diversion Support'!N107)</f>
        <v>2235.1598058431719</v>
      </c>
      <c r="O91" s="56">
        <f>'Vehicle Share Diversion Support'!O87*(1-'Vehicle Share Diversion Support'!O107)</f>
        <v>2485.6178305742988</v>
      </c>
      <c r="P91" s="56">
        <f>'Vehicle Share Diversion Support'!P87*(1-'Vehicle Share Diversion Support'!P107)</f>
        <v>2755.7541319734773</v>
      </c>
      <c r="Q91" s="56">
        <f>'Vehicle Share Diversion Support'!Q87*(1-'Vehicle Share Diversion Support'!Q107)</f>
        <v>3029.9599787916904</v>
      </c>
      <c r="R91" s="57">
        <f>'Vehicle Share Diversion Support'!R87*(1-'Vehicle Share Diversion Support'!R107)</f>
        <v>3297.8884381812895</v>
      </c>
      <c r="S91" s="56"/>
      <c r="T91" s="56"/>
      <c r="U91" s="56"/>
      <c r="V91" s="56"/>
      <c r="W91" s="56"/>
      <c r="X91" s="56"/>
      <c r="Y91" s="56"/>
      <c r="Z91" s="56"/>
      <c r="AA91" s="56"/>
      <c r="AB91" s="56"/>
    </row>
    <row r="92" spans="3:28" ht="16" x14ac:dyDescent="0.2">
      <c r="C92" s="24" t="s">
        <v>2</v>
      </c>
      <c r="D92" s="55">
        <f>'Vehicle Share Diversion Support'!D88</f>
        <v>408.85730536135173</v>
      </c>
      <c r="E92" s="56">
        <f>'Vehicle Share Diversion Support'!E88</f>
        <v>431.07674572912146</v>
      </c>
      <c r="F92" s="56">
        <f>'Vehicle Share Diversion Support'!F88</f>
        <v>474.23591970394472</v>
      </c>
      <c r="G92" s="56">
        <f>'Vehicle Share Diversion Support'!G88</f>
        <v>489.26799966914183</v>
      </c>
      <c r="H92" s="56">
        <f>'Vehicle Share Diversion Support'!H88</f>
        <v>553.16275518529289</v>
      </c>
      <c r="I92" s="56">
        <f>'Vehicle Share Diversion Support'!I88</f>
        <v>639.37054486796524</v>
      </c>
      <c r="J92" s="56">
        <f>'Vehicle Share Diversion Support'!J88</f>
        <v>736.06913197457345</v>
      </c>
      <c r="K92" s="56">
        <f>'Vehicle Share Diversion Support'!K88*(1-'Vehicle Share Diversion Support'!K108)</f>
        <v>808.22047911268874</v>
      </c>
      <c r="L92" s="56">
        <f>'Vehicle Share Diversion Support'!L88*(1-'Vehicle Share Diversion Support'!L108)</f>
        <v>924.50948288327481</v>
      </c>
      <c r="M92" s="56">
        <f>'Vehicle Share Diversion Support'!M88*(1-'Vehicle Share Diversion Support'!M108)</f>
        <v>1018.6944401565172</v>
      </c>
      <c r="N92" s="56">
        <f>'Vehicle Share Diversion Support'!N88*(1-'Vehicle Share Diversion Support'!N108)</f>
        <v>1109.7912043373747</v>
      </c>
      <c r="O92" s="56">
        <f>'Vehicle Share Diversion Support'!O88*(1-'Vehicle Share Diversion Support'!O108)</f>
        <v>1208.4753787093848</v>
      </c>
      <c r="P92" s="56">
        <f>'Vehicle Share Diversion Support'!P88*(1-'Vehicle Share Diversion Support'!P108)</f>
        <v>1311.942102875782</v>
      </c>
      <c r="Q92" s="56">
        <f>'Vehicle Share Diversion Support'!Q88*(1-'Vehicle Share Diversion Support'!Q108)</f>
        <v>1412.4785004110231</v>
      </c>
      <c r="R92" s="57">
        <f>'Vehicle Share Diversion Support'!R88*(1-'Vehicle Share Diversion Support'!R108)</f>
        <v>1505.3991466983889</v>
      </c>
      <c r="S92" s="56"/>
      <c r="T92" s="56"/>
      <c r="U92" s="56"/>
      <c r="V92" s="56"/>
      <c r="W92" s="56"/>
      <c r="X92" s="56"/>
      <c r="Y92" s="56"/>
      <c r="Z92" s="56"/>
      <c r="AA92" s="56"/>
      <c r="AB92" s="56"/>
    </row>
    <row r="93" spans="3:28" ht="16" x14ac:dyDescent="0.2">
      <c r="C93" s="24" t="s">
        <v>3</v>
      </c>
      <c r="D93" s="55">
        <f>'Vehicle Share Diversion Support'!D89</f>
        <v>230.40054623344915</v>
      </c>
      <c r="E93" s="56">
        <f>'Vehicle Share Diversion Support'!E89</f>
        <v>247.67207284547206</v>
      </c>
      <c r="F93" s="56">
        <f>'Vehicle Share Diversion Support'!F89</f>
        <v>252.53342745175246</v>
      </c>
      <c r="G93" s="56">
        <f>'Vehicle Share Diversion Support'!G89</f>
        <v>261.47822763403434</v>
      </c>
      <c r="H93" s="56">
        <f>'Vehicle Share Diversion Support'!H89</f>
        <v>314.90029448206673</v>
      </c>
      <c r="I93" s="56">
        <f>'Vehicle Share Diversion Support'!I89</f>
        <v>332.41987143926207</v>
      </c>
      <c r="J93" s="56">
        <f>'Vehicle Share Diversion Support'!J89</f>
        <v>374.72866342559507</v>
      </c>
      <c r="K93" s="56">
        <f>'Vehicle Share Diversion Support'!K89*(1-'Vehicle Share Diversion Support'!K109)</f>
        <v>408.65630138205194</v>
      </c>
      <c r="L93" s="56">
        <f>'Vehicle Share Diversion Support'!L89*(1-'Vehicle Share Diversion Support'!L109)</f>
        <v>464.33849234092867</v>
      </c>
      <c r="M93" s="56">
        <f>'Vehicle Share Diversion Support'!M89*(1-'Vehicle Share Diversion Support'!M109)</f>
        <v>508.35957992963176</v>
      </c>
      <c r="N93" s="56">
        <f>'Vehicle Share Diversion Support'!N89*(1-'Vehicle Share Diversion Support'!N109)</f>
        <v>550.06168359501771</v>
      </c>
      <c r="O93" s="56">
        <f>'Vehicle Share Diversion Support'!O89*(1-'Vehicle Share Diversion Support'!O109)</f>
        <v>594.9279683904283</v>
      </c>
      <c r="P93" s="56">
        <f>'Vehicle Share Diversion Support'!P89*(1-'Vehicle Share Diversion Support'!P109)</f>
        <v>641.50155526581193</v>
      </c>
      <c r="Q93" s="56">
        <f>'Vehicle Share Diversion Support'!Q89*(1-'Vehicle Share Diversion Support'!Q109)</f>
        <v>685.99563825127348</v>
      </c>
      <c r="R93" s="57">
        <f>'Vehicle Share Diversion Support'!R89*(1-'Vehicle Share Diversion Support'!R109)</f>
        <v>726.18560901782826</v>
      </c>
      <c r="S93" s="56"/>
      <c r="T93" s="56"/>
      <c r="U93" s="56"/>
      <c r="V93" s="56"/>
      <c r="W93" s="56"/>
      <c r="X93" s="56"/>
      <c r="Y93" s="56"/>
      <c r="Z93" s="56"/>
      <c r="AA93" s="56"/>
      <c r="AB93" s="56"/>
    </row>
    <row r="94" spans="3:28" ht="16" x14ac:dyDescent="0.2">
      <c r="C94" s="24" t="s">
        <v>4</v>
      </c>
      <c r="D94" s="55">
        <f>'Vehicle Share Diversion Support'!D90</f>
        <v>41.62162097590825</v>
      </c>
      <c r="E94" s="56">
        <f>'Vehicle Share Diversion Support'!E90</f>
        <v>44.989457248690393</v>
      </c>
      <c r="F94" s="56">
        <f>'Vehicle Share Diversion Support'!F90</f>
        <v>46.634801678968095</v>
      </c>
      <c r="G94" s="56">
        <f>'Vehicle Share Diversion Support'!G90</f>
        <v>46.919188549454489</v>
      </c>
      <c r="H94" s="56">
        <f>'Vehicle Share Diversion Support'!H90</f>
        <v>47.787395141786178</v>
      </c>
      <c r="I94" s="56">
        <f>'Vehicle Share Diversion Support'!I90</f>
        <v>48.876928788014936</v>
      </c>
      <c r="J94" s="56">
        <f>'Vehicle Share Diversion Support'!J90</f>
        <v>54.32955846721363</v>
      </c>
      <c r="K94" s="56">
        <f>'Vehicle Share Diversion Support'!K90*(1-'Vehicle Share Diversion Support'!K110)</f>
        <v>57.523898089709441</v>
      </c>
      <c r="L94" s="56">
        <f>'Vehicle Share Diversion Support'!L90*(1-'Vehicle Share Diversion Support'!L110)</f>
        <v>63.869020860784737</v>
      </c>
      <c r="M94" s="56">
        <f>'Vehicle Share Diversion Support'!M90*(1-'Vehicle Share Diversion Support'!M110)</f>
        <v>68.353912409179003</v>
      </c>
      <c r="N94" s="56">
        <f>'Vehicle Share Diversion Support'!N90*(1-'Vehicle Share Diversion Support'!N110)</f>
        <v>72.218261479418572</v>
      </c>
      <c r="O94" s="56">
        <f>'Vehicle Share Diversion Support'!O90*(1-'Vehicle Share Diversion Support'!O110)</f>
        <v>76.278726296643171</v>
      </c>
      <c r="P94" s="56">
        <f>'Vehicle Share Diversion Support'!P90*(1-'Vehicle Share Diversion Support'!P110)</f>
        <v>80.323046257922996</v>
      </c>
      <c r="Q94" s="56">
        <f>'Vehicle Share Diversion Support'!Q90*(1-'Vehicle Share Diversion Support'!Q110)</f>
        <v>83.881699745407687</v>
      </c>
      <c r="R94" s="57">
        <f>'Vehicle Share Diversion Support'!R90*(1-'Vehicle Share Diversion Support'!R110)</f>
        <v>86.715536786776894</v>
      </c>
      <c r="S94" s="56"/>
      <c r="T94" s="56"/>
      <c r="U94" s="56"/>
      <c r="V94" s="56"/>
      <c r="W94" s="56"/>
      <c r="X94" s="56"/>
      <c r="Y94" s="56"/>
      <c r="Z94" s="56"/>
      <c r="AA94" s="56"/>
      <c r="AB94" s="56"/>
    </row>
    <row r="95" spans="3:28" ht="16" x14ac:dyDescent="0.2">
      <c r="C95" s="24" t="s">
        <v>5</v>
      </c>
      <c r="D95" s="55">
        <f>'Vehicle Share Diversion Support'!D91</f>
        <v>119.7878662525421</v>
      </c>
      <c r="E95" s="56">
        <f>'Vehicle Share Diversion Support'!E91</f>
        <v>123.79693049010913</v>
      </c>
      <c r="F95" s="56">
        <f>'Vehicle Share Diversion Support'!F91</f>
        <v>132.64448652125961</v>
      </c>
      <c r="G95" s="56">
        <f>'Vehicle Share Diversion Support'!G91</f>
        <v>138.57080390921578</v>
      </c>
      <c r="H95" s="56">
        <f>'Vehicle Share Diversion Support'!H91</f>
        <v>152.58031042608991</v>
      </c>
      <c r="I95" s="56">
        <f>'Vehicle Share Diversion Support'!I91</f>
        <v>164.03343862328714</v>
      </c>
      <c r="J95" s="56">
        <f>'Vehicle Share Diversion Support'!J91</f>
        <v>191.98194267257898</v>
      </c>
      <c r="K95" s="56">
        <f>'Vehicle Share Diversion Support'!K91*(1-'Vehicle Share Diversion Support'!K111)</f>
        <v>203.57956260007163</v>
      </c>
      <c r="L95" s="56">
        <f>'Vehicle Share Diversion Support'!L91*(1-'Vehicle Share Diversion Support'!L111)</f>
        <v>226.65797104434952</v>
      </c>
      <c r="M95" s="56">
        <f>'Vehicle Share Diversion Support'!M91*(1-'Vehicle Share Diversion Support'!M111)</f>
        <v>242.97216128182117</v>
      </c>
      <c r="N95" s="56">
        <f>'Vehicle Share Diversion Support'!N91*(1-'Vehicle Share Diversion Support'!N111)</f>
        <v>257.52031435005603</v>
      </c>
      <c r="O95" s="56">
        <f>'Vehicle Share Diversion Support'!O91*(1-'Vehicle Share Diversion Support'!O111)</f>
        <v>272.67675517338625</v>
      </c>
      <c r="P95" s="56">
        <f>'Vehicle Share Diversion Support'!P91*(1-'Vehicle Share Diversion Support'!P111)</f>
        <v>287.84923246593996</v>
      </c>
      <c r="Q95" s="56">
        <f>'Vehicle Share Diversion Support'!Q91*(1-'Vehicle Share Diversion Support'!Q111)</f>
        <v>301.35079917577605</v>
      </c>
      <c r="R95" s="57">
        <f>'Vehicle Share Diversion Support'!R91*(1-'Vehicle Share Diversion Support'!R111)</f>
        <v>312.3073910842453</v>
      </c>
      <c r="S95" s="56"/>
      <c r="T95" s="56"/>
      <c r="U95" s="56"/>
      <c r="V95" s="56"/>
      <c r="W95" s="56"/>
      <c r="X95" s="56"/>
      <c r="Y95" s="56"/>
      <c r="Z95" s="56"/>
      <c r="AA95" s="56"/>
      <c r="AB95" s="56"/>
    </row>
    <row r="96" spans="3:28" ht="16" x14ac:dyDescent="0.2">
      <c r="C96" s="24" t="s">
        <v>6</v>
      </c>
      <c r="D96" s="55">
        <f>'Vehicle Share Diversion Support'!D92</f>
        <v>74.686375725055086</v>
      </c>
      <c r="E96" s="56">
        <f>'Vehicle Share Diversion Support'!E92</f>
        <v>80.091404935888505</v>
      </c>
      <c r="F96" s="56">
        <f>'Vehicle Share Diversion Support'!F92</f>
        <v>84.414317101540789</v>
      </c>
      <c r="G96" s="56">
        <f>'Vehicle Share Diversion Support'!G92</f>
        <v>86.302003454782096</v>
      </c>
      <c r="H96" s="56">
        <f>'Vehicle Share Diversion Support'!H92</f>
        <v>89.176342836659074</v>
      </c>
      <c r="I96" s="56">
        <f>'Vehicle Share Diversion Support'!I92</f>
        <v>100.06848868653357</v>
      </c>
      <c r="J96" s="56">
        <f>'Vehicle Share Diversion Support'!J92</f>
        <v>105.43126147535749</v>
      </c>
      <c r="K96" s="56">
        <f>'Vehicle Share Diversion Support'!K92*(1-'Vehicle Share Diversion Support'!K112)</f>
        <v>112.72510600462455</v>
      </c>
      <c r="L96" s="56">
        <f>'Vehicle Share Diversion Support'!L92*(1-'Vehicle Share Diversion Support'!L112)</f>
        <v>126.68558002583335</v>
      </c>
      <c r="M96" s="56">
        <f>'Vehicle Share Diversion Support'!M92*(1-'Vehicle Share Diversion Support'!M112)</f>
        <v>137.24276235002418</v>
      </c>
      <c r="N96" s="56">
        <f>'Vehicle Share Diversion Support'!N92*(1-'Vehicle Share Diversion Support'!N112)</f>
        <v>147.22321079957058</v>
      </c>
      <c r="O96" s="56">
        <f>'Vehicle Share Diversion Support'!O92*(1-'Vehicle Share Diversion Support'!O112)</f>
        <v>158.00609332176049</v>
      </c>
      <c r="P96" s="56">
        <f>'Vehicle Share Diversion Support'!P92*(1-'Vehicle Share Diversion Support'!P112)</f>
        <v>169.06422601520359</v>
      </c>
      <c r="Q96" s="56">
        <f>'Vehicle Share Diversion Support'!Q92*(1-'Vehicle Share Diversion Support'!Q112)</f>
        <v>179.39895923526049</v>
      </c>
      <c r="R96" s="57">
        <f>'Vehicle Share Diversion Support'!R92*(1-'Vehicle Share Diversion Support'!R112)</f>
        <v>188.44766510720058</v>
      </c>
      <c r="S96" s="56"/>
      <c r="T96" s="56"/>
      <c r="U96" s="56"/>
      <c r="V96" s="56"/>
      <c r="W96" s="56"/>
      <c r="X96" s="56"/>
      <c r="Y96" s="56"/>
      <c r="Z96" s="56"/>
      <c r="AA96" s="56"/>
      <c r="AB96" s="56"/>
    </row>
    <row r="97" spans="3:28" ht="16" x14ac:dyDescent="0.2">
      <c r="C97" s="24" t="s">
        <v>7</v>
      </c>
      <c r="D97" s="55">
        <f>'Vehicle Share Diversion Support'!D93</f>
        <v>175.50024718008748</v>
      </c>
      <c r="E97" s="56">
        <f>'Vehicle Share Diversion Support'!E93</f>
        <v>187.09543188002314</v>
      </c>
      <c r="F97" s="56">
        <f>'Vehicle Share Diversion Support'!F93</f>
        <v>195.39727413282864</v>
      </c>
      <c r="G97" s="56">
        <f>'Vehicle Share Diversion Support'!G93</f>
        <v>205.71184986786184</v>
      </c>
      <c r="H97" s="56">
        <f>'Vehicle Share Diversion Support'!H93</f>
        <v>218.8521601836112</v>
      </c>
      <c r="I97" s="56">
        <f>'Vehicle Share Diversion Support'!I93</f>
        <v>230.93262378884</v>
      </c>
      <c r="J97" s="56">
        <f>'Vehicle Share Diversion Support'!J93</f>
        <v>252.69962187445398</v>
      </c>
      <c r="K97" s="56">
        <f>'Vehicle Share Diversion Support'!K93*(1-'Vehicle Share Diversion Support'!K113)</f>
        <v>267.16089295663045</v>
      </c>
      <c r="L97" s="56">
        <f>'Vehicle Share Diversion Support'!L93*(1-'Vehicle Share Diversion Support'!L113)</f>
        <v>296.54494930708393</v>
      </c>
      <c r="M97" s="56">
        <f>'Vehicle Share Diversion Support'!M93*(1-'Vehicle Share Diversion Support'!M113)</f>
        <v>317.26003185736022</v>
      </c>
      <c r="N97" s="56">
        <f>'Vehicle Share Diversion Support'!N93*(1-'Vehicle Share Diversion Support'!N113)</f>
        <v>335.72892716043765</v>
      </c>
      <c r="O97" s="56">
        <f>'Vehicle Share Diversion Support'!O93*(1-'Vehicle Share Diversion Support'!O113)</f>
        <v>355.01655198434025</v>
      </c>
      <c r="P97" s="56">
        <f>'Vehicle Share Diversion Support'!P93*(1-'Vehicle Share Diversion Support'!P113)</f>
        <v>374.27323908979076</v>
      </c>
      <c r="Q97" s="56">
        <f>'Vehicle Share Diversion Support'!Q93*(1-'Vehicle Share Diversion Support'!Q113)</f>
        <v>391.30848317725929</v>
      </c>
      <c r="R97" s="57">
        <f>'Vehicle Share Diversion Support'!R93*(1-'Vehicle Share Diversion Support'!R113)</f>
        <v>404.9975476576862</v>
      </c>
      <c r="S97" s="56"/>
      <c r="T97" s="56"/>
      <c r="U97" s="56"/>
      <c r="V97" s="56"/>
      <c r="W97" s="56"/>
      <c r="X97" s="56"/>
      <c r="Y97" s="56"/>
      <c r="Z97" s="56"/>
      <c r="AA97" s="56"/>
      <c r="AB97" s="56"/>
    </row>
    <row r="98" spans="3:28" ht="16" x14ac:dyDescent="0.2">
      <c r="C98" s="24" t="s">
        <v>8</v>
      </c>
      <c r="D98" s="55">
        <f>'Vehicle Share Diversion Support'!D94</f>
        <v>225.010300853226</v>
      </c>
      <c r="E98" s="56">
        <f>'Vehicle Share Diversion Support'!E94</f>
        <v>239.51372384585136</v>
      </c>
      <c r="F98" s="56">
        <f>'Vehicle Share Diversion Support'!F94</f>
        <v>263.45794608361695</v>
      </c>
      <c r="G98" s="56">
        <f>'Vehicle Share Diversion Support'!G94</f>
        <v>259.72944484008957</v>
      </c>
      <c r="H98" s="56">
        <f>'Vehicle Share Diversion Support'!H94</f>
        <v>270.88421937962119</v>
      </c>
      <c r="I98" s="56">
        <f>'Vehicle Share Diversion Support'!I94</f>
        <v>301.06793611673362</v>
      </c>
      <c r="J98" s="56">
        <f>'Vehicle Share Diversion Support'!J94</f>
        <v>344.4652702607429</v>
      </c>
      <c r="K98" s="56">
        <f>'Vehicle Share Diversion Support'!K94*(1-'Vehicle Share Diversion Support'!K114)</f>
        <v>370.09747491071965</v>
      </c>
      <c r="L98" s="56">
        <f>'Vehicle Share Diversion Support'!L94*(1-'Vehicle Share Diversion Support'!L114)</f>
        <v>416.43488203363796</v>
      </c>
      <c r="M98" s="56">
        <f>'Vehicle Share Diversion Support'!M94*(1-'Vehicle Share Diversion Support'!M114)</f>
        <v>452.10312349238495</v>
      </c>
      <c r="N98" s="56">
        <f>'Vehicle Share Diversion Support'!N94*(1-'Vehicle Share Diversion Support'!N114)</f>
        <v>485.6549992486116</v>
      </c>
      <c r="O98" s="56">
        <f>'Vehicle Share Diversion Support'!O94*(1-'Vehicle Share Diversion Support'!O114)</f>
        <v>521.24543155794913</v>
      </c>
      <c r="P98" s="56">
        <f>'Vehicle Share Diversion Support'!P94*(1-'Vehicle Share Diversion Support'!P114)</f>
        <v>557.74668102876183</v>
      </c>
      <c r="Q98" s="56">
        <f>'Vehicle Share Diversion Support'!Q94*(1-'Vehicle Share Diversion Support'!Q114)</f>
        <v>591.86415807318485</v>
      </c>
      <c r="R98" s="57">
        <f>'Vehicle Share Diversion Support'!R94*(1-'Vehicle Share Diversion Support'!R114)</f>
        <v>621.74131907972014</v>
      </c>
      <c r="S98" s="56"/>
      <c r="T98" s="56"/>
      <c r="U98" s="56"/>
      <c r="V98" s="56"/>
      <c r="W98" s="56"/>
      <c r="X98" s="56"/>
      <c r="Y98" s="56"/>
      <c r="Z98" s="56"/>
      <c r="AA98" s="56"/>
      <c r="AB98" s="56"/>
    </row>
    <row r="99" spans="3:28" ht="16" x14ac:dyDescent="0.2">
      <c r="C99" s="24" t="s">
        <v>9</v>
      </c>
      <c r="D99" s="55">
        <f>'Vehicle Share Diversion Support'!D95</f>
        <v>113.67399656971789</v>
      </c>
      <c r="E99" s="56">
        <f>'Vehicle Share Diversion Support'!E95</f>
        <v>119.8095084612745</v>
      </c>
      <c r="F99" s="56">
        <f>'Vehicle Share Diversion Support'!F95</f>
        <v>118.48678729310265</v>
      </c>
      <c r="G99" s="56">
        <f>'Vehicle Share Diversion Support'!G95</f>
        <v>134.15061893971614</v>
      </c>
      <c r="H99" s="56">
        <f>'Vehicle Share Diversion Support'!H95</f>
        <v>143.47945432057134</v>
      </c>
      <c r="I99" s="56">
        <f>'Vehicle Share Diversion Support'!I95</f>
        <v>162.00434048294056</v>
      </c>
      <c r="J99" s="56">
        <f>'Vehicle Share Diversion Support'!J95</f>
        <v>168.91783363767485</v>
      </c>
      <c r="K99" s="56">
        <f>'Vehicle Share Diversion Support'!K95*(1-'Vehicle Share Diversion Support'!K115)</f>
        <v>180.89059927638101</v>
      </c>
      <c r="L99" s="56">
        <f>'Vehicle Share Diversion Support'!L95*(1-'Vehicle Share Diversion Support'!L115)</f>
        <v>202.82586132195695</v>
      </c>
      <c r="M99" s="56">
        <f>'Vehicle Share Diversion Support'!M95*(1-'Vehicle Share Diversion Support'!M115)</f>
        <v>219.07213065317862</v>
      </c>
      <c r="N99" s="56">
        <f>'Vehicle Share Diversion Support'!N95*(1-'Vehicle Share Diversion Support'!N115)</f>
        <v>233.80974679094632</v>
      </c>
      <c r="O99" s="56">
        <f>'Vehicle Share Diversion Support'!O95*(1-'Vehicle Share Diversion Support'!O115)</f>
        <v>248.90417742863528</v>
      </c>
      <c r="P99" s="56">
        <f>'Vehicle Share Diversion Support'!P95*(1-'Vehicle Share Diversion Support'!P115)</f>
        <v>264.18160485575498</v>
      </c>
      <c r="Q99" s="56">
        <f>'Vehicle Share Diversion Support'!Q95*(1-'Vehicle Share Diversion Support'!Q115)</f>
        <v>278.08898014116494</v>
      </c>
      <c r="R99" s="57">
        <f>'Vehicle Share Diversion Support'!R95*(1-'Vehicle Share Diversion Support'!R115)</f>
        <v>289.79317525405617</v>
      </c>
      <c r="S99" s="56"/>
      <c r="T99" s="56"/>
      <c r="U99" s="56"/>
      <c r="V99" s="56"/>
      <c r="W99" s="56"/>
      <c r="X99" s="56"/>
      <c r="Y99" s="56"/>
      <c r="Z99" s="56"/>
      <c r="AA99" s="56"/>
      <c r="AB99" s="56"/>
    </row>
    <row r="100" spans="3:28" ht="16" x14ac:dyDescent="0.2">
      <c r="C100" s="24" t="s">
        <v>10</v>
      </c>
      <c r="D100" s="55">
        <f>'Vehicle Share Diversion Support'!D96</f>
        <v>58.110369341662711</v>
      </c>
      <c r="E100" s="56">
        <f>'Vehicle Share Diversion Support'!E96</f>
        <v>58.361419866368145</v>
      </c>
      <c r="F100" s="56">
        <f>'Vehicle Share Diversion Support'!F96</f>
        <v>60.996626234669698</v>
      </c>
      <c r="G100" s="56">
        <f>'Vehicle Share Diversion Support'!G96</f>
        <v>57.983915603657991</v>
      </c>
      <c r="H100" s="56">
        <f>'Vehicle Share Diversion Support'!H96</f>
        <v>60.554326359868504</v>
      </c>
      <c r="I100" s="56">
        <f>'Vehicle Share Diversion Support'!I96</f>
        <v>66.316599570900777</v>
      </c>
      <c r="J100" s="56">
        <f>'Vehicle Share Diversion Support'!J96</f>
        <v>68.171964559813574</v>
      </c>
      <c r="K100" s="56">
        <f>'Vehicle Share Diversion Support'!K96*(1-'Vehicle Share Diversion Support'!K116)</f>
        <v>70.865153449600172</v>
      </c>
      <c r="L100" s="56">
        <f>'Vehicle Share Diversion Support'!L96*(1-'Vehicle Share Diversion Support'!L116)</f>
        <v>77.25930337084705</v>
      </c>
      <c r="M100" s="56">
        <f>'Vehicle Share Diversion Support'!M96*(1-'Vehicle Share Diversion Support'!M116)</f>
        <v>81.17346544010023</v>
      </c>
      <c r="N100" s="56">
        <f>'Vehicle Share Diversion Support'!N96*(1-'Vehicle Share Diversion Support'!N116)</f>
        <v>84.317100073898686</v>
      </c>
      <c r="O100" s="56">
        <f>'Vehicle Share Diversion Support'!O96*(1-'Vehicle Share Diversion Support'!O116)</f>
        <v>87.589556036036882</v>
      </c>
      <c r="P100" s="56">
        <f>'Vehicle Share Diversion Support'!P96*(1-'Vehicle Share Diversion Support'!P116)</f>
        <v>90.7129569323548</v>
      </c>
      <c r="Q100" s="56">
        <f>'Vehicle Share Diversion Support'!Q96*(1-'Vehicle Share Diversion Support'!Q116)</f>
        <v>93.170115878358146</v>
      </c>
      <c r="R100" s="57">
        <f>'Vehicle Share Diversion Support'!R96*(1-'Vehicle Share Diversion Support'!R116)</f>
        <v>94.729793511585399</v>
      </c>
      <c r="S100" s="56"/>
      <c r="T100" s="56"/>
      <c r="U100" s="56"/>
      <c r="V100" s="56"/>
      <c r="W100" s="56"/>
      <c r="X100" s="56"/>
      <c r="Y100" s="56"/>
      <c r="Z100" s="56"/>
      <c r="AA100" s="56"/>
      <c r="AB100" s="56"/>
    </row>
    <row r="101" spans="3:28" ht="16" x14ac:dyDescent="0.2">
      <c r="C101" s="24" t="s">
        <v>11</v>
      </c>
      <c r="D101" s="55">
        <f>'Vehicle Share Diversion Support'!D97</f>
        <v>471.58224881401145</v>
      </c>
      <c r="E101" s="56">
        <f>'Vehicle Share Diversion Support'!E97</f>
        <v>544.29198171811208</v>
      </c>
      <c r="F101" s="56">
        <f>'Vehicle Share Diversion Support'!F97</f>
        <v>596.87804588426707</v>
      </c>
      <c r="G101" s="56">
        <f>'Vehicle Share Diversion Support'!G97</f>
        <v>631.34365371088529</v>
      </c>
      <c r="H101" s="56">
        <f>'Vehicle Share Diversion Support'!H97</f>
        <v>650.16663674549113</v>
      </c>
      <c r="I101" s="56">
        <f>'Vehicle Share Diversion Support'!I97</f>
        <v>706.94082897042722</v>
      </c>
      <c r="J101" s="56">
        <f>'Vehicle Share Diversion Support'!J97</f>
        <v>747.25118322124899</v>
      </c>
      <c r="K101" s="56">
        <f>'Vehicle Share Diversion Support'!K97*(1-'Vehicle Share Diversion Support'!K117)</f>
        <v>827.87536647980448</v>
      </c>
      <c r="L101" s="56">
        <f>'Vehicle Share Diversion Support'!L97*(1-'Vehicle Share Diversion Support'!L117)</f>
        <v>949.31894729821465</v>
      </c>
      <c r="M101" s="56">
        <f>'Vehicle Share Diversion Support'!M97*(1-'Vehicle Share Diversion Support'!M117)</f>
        <v>1049.7764541065119</v>
      </c>
      <c r="N101" s="56">
        <f>'Vehicle Share Diversion Support'!N97*(1-'Vehicle Share Diversion Support'!N117)</f>
        <v>1148.4455810360469</v>
      </c>
      <c r="O101" s="56">
        <f>'Vehicle Share Diversion Support'!O97*(1-'Vehicle Share Diversion Support'!O117)</f>
        <v>1255.4887193919951</v>
      </c>
      <c r="P101" s="56">
        <f>'Vehicle Share Diversion Support'!P97*(1-'Vehicle Share Diversion Support'!P117)</f>
        <v>1368.3447926960564</v>
      </c>
      <c r="Q101" s="56">
        <f>'Vehicle Share Diversion Support'!Q97*(1-'Vehicle Share Diversion Support'!Q117)</f>
        <v>1479.0014030353266</v>
      </c>
      <c r="R101" s="57">
        <f>'Vehicle Share Diversion Support'!R97*(1-'Vehicle Share Diversion Support'!R117)</f>
        <v>1582.5020134038257</v>
      </c>
      <c r="S101" s="56"/>
      <c r="T101" s="56"/>
      <c r="U101" s="56"/>
      <c r="V101" s="56"/>
      <c r="W101" s="56"/>
      <c r="X101" s="56"/>
      <c r="Y101" s="56"/>
      <c r="Z101" s="56"/>
      <c r="AA101" s="56"/>
      <c r="AB101" s="56"/>
    </row>
    <row r="102" spans="3:28" ht="16" x14ac:dyDescent="0.2">
      <c r="C102" s="24" t="s">
        <v>12</v>
      </c>
      <c r="D102" s="55">
        <f>'Vehicle Share Diversion Support'!D98</f>
        <v>186.21771931401329</v>
      </c>
      <c r="E102" s="56">
        <f>'Vehicle Share Diversion Support'!E98</f>
        <v>199.47758185336059</v>
      </c>
      <c r="F102" s="56">
        <f>'Vehicle Share Diversion Support'!F98</f>
        <v>215.33680100087935</v>
      </c>
      <c r="G102" s="56">
        <f>'Vehicle Share Diversion Support'!G98</f>
        <v>225.11824397374161</v>
      </c>
      <c r="H102" s="56">
        <f>'Vehicle Share Diversion Support'!H98</f>
        <v>239.97328110402427</v>
      </c>
      <c r="I102" s="56">
        <f>'Vehicle Share Diversion Support'!I98</f>
        <v>274.92508900979198</v>
      </c>
      <c r="J102" s="56">
        <f>'Vehicle Share Diversion Support'!J98</f>
        <v>319.11927265126099</v>
      </c>
      <c r="K102" s="56">
        <f>'Vehicle Share Diversion Support'!K98*(1-'Vehicle Share Diversion Support'!K118)</f>
        <v>346.71131975884845</v>
      </c>
      <c r="L102" s="56">
        <f>'Vehicle Share Diversion Support'!L98*(1-'Vehicle Share Diversion Support'!L118)</f>
        <v>391.13320726140631</v>
      </c>
      <c r="M102" s="56">
        <f>'Vehicle Share Diversion Support'!M98*(1-'Vehicle Share Diversion Support'!M118)</f>
        <v>425.70305902375617</v>
      </c>
      <c r="N102" s="56">
        <f>'Vehicle Share Diversion Support'!N98*(1-'Vehicle Share Diversion Support'!N118)</f>
        <v>458.65191700710056</v>
      </c>
      <c r="O102" s="56">
        <f>'Vehicle Share Diversion Support'!O98*(1-'Vehicle Share Diversion Support'!O118)</f>
        <v>493.90920968394352</v>
      </c>
      <c r="P102" s="56">
        <f>'Vehicle Share Diversion Support'!P98*(1-'Vehicle Share Diversion Support'!P118)</f>
        <v>530.2630562016742</v>
      </c>
      <c r="Q102" s="56">
        <f>'Vehicle Share Diversion Support'!Q98*(1-'Vehicle Share Diversion Support'!Q118)</f>
        <v>564.58057295709727</v>
      </c>
      <c r="R102" s="57">
        <f>'Vehicle Share Diversion Support'!R98*(1-'Vehicle Share Diversion Support'!R118)</f>
        <v>595.0632539504038</v>
      </c>
      <c r="S102" s="56"/>
      <c r="T102" s="56"/>
      <c r="U102" s="56"/>
      <c r="V102" s="56"/>
      <c r="W102" s="56"/>
      <c r="X102" s="56"/>
      <c r="Y102" s="56"/>
      <c r="Z102" s="56"/>
      <c r="AA102" s="56"/>
      <c r="AB102" s="56"/>
    </row>
    <row r="103" spans="3:28" ht="17" thickBot="1" x14ac:dyDescent="0.25">
      <c r="C103" s="25" t="s">
        <v>13</v>
      </c>
      <c r="D103" s="58">
        <f>'Vehicle Share Diversion Support'!D99</f>
        <v>102.70781396576267</v>
      </c>
      <c r="E103" s="59">
        <f>'Vehicle Share Diversion Support'!E99</f>
        <v>112.79088597792406</v>
      </c>
      <c r="F103" s="59">
        <f>'Vehicle Share Diversion Support'!F99</f>
        <v>115.16035045289365</v>
      </c>
      <c r="G103" s="59">
        <f>'Vehicle Share Diversion Support'!G99</f>
        <v>129.22155627521394</v>
      </c>
      <c r="H103" s="59">
        <f>'Vehicle Share Diversion Support'!H99</f>
        <v>136.84541332163863</v>
      </c>
      <c r="I103" s="59">
        <f>'Vehicle Share Diversion Support'!I99</f>
        <v>147.36014342435055</v>
      </c>
      <c r="J103" s="59">
        <f>'Vehicle Share Diversion Support'!J99</f>
        <v>175.03348807020538</v>
      </c>
      <c r="K103" s="59">
        <f>'Vehicle Share Diversion Support'!K99*(1-'Vehicle Share Diversion Support'!K119)</f>
        <v>183.59906921622664</v>
      </c>
      <c r="L103" s="59">
        <f>'Vehicle Share Diversion Support'!L99*(1-'Vehicle Share Diversion Support'!L119)</f>
        <v>202.41060970134399</v>
      </c>
      <c r="M103" s="59">
        <f>'Vehicle Share Diversion Support'!M99*(1-'Vehicle Share Diversion Support'!M119)</f>
        <v>215.3319194147833</v>
      </c>
      <c r="N103" s="59">
        <f>'Vehicle Share Diversion Support'!N99*(1-'Vehicle Share Diversion Support'!N119)</f>
        <v>226.59918870561759</v>
      </c>
      <c r="O103" s="59">
        <f>'Vehicle Share Diversion Support'!O99*(1-'Vehicle Share Diversion Support'!O119)</f>
        <v>238.37083617846363</v>
      </c>
      <c r="P103" s="59">
        <f>'Vehicle Share Diversion Support'!P99*(1-'Vehicle Share Diversion Support'!P119)</f>
        <v>249.99321643015475</v>
      </c>
      <c r="Q103" s="59">
        <f>'Vehicle Share Diversion Support'!Q99*(1-'Vehicle Share Diversion Support'!Q119)</f>
        <v>260.01214966398749</v>
      </c>
      <c r="R103" s="60">
        <f>'Vehicle Share Diversion Support'!R99*(1-'Vehicle Share Diversion Support'!R119)</f>
        <v>267.70821759105092</v>
      </c>
      <c r="S103" s="56"/>
      <c r="T103" s="56"/>
      <c r="U103" s="56"/>
      <c r="V103" s="56"/>
      <c r="W103" s="56"/>
      <c r="X103" s="56"/>
      <c r="Y103" s="56"/>
      <c r="Z103" s="56"/>
      <c r="AA103" s="56"/>
      <c r="AB103" s="56"/>
    </row>
    <row r="104" spans="3:28" ht="19" thickTop="1" thickBot="1" x14ac:dyDescent="0.25">
      <c r="C104" s="31" t="s">
        <v>24</v>
      </c>
      <c r="D104" s="61">
        <f>SUM(D90:D103)</f>
        <v>3128.2496819179296</v>
      </c>
      <c r="E104" s="62">
        <f t="shared" ref="E104:O104" si="75">SUM(E90:E103)</f>
        <v>3359.6751505241505</v>
      </c>
      <c r="F104" s="62">
        <f t="shared" si="75"/>
        <v>3578.8925489444591</v>
      </c>
      <c r="G104" s="62">
        <f t="shared" ref="G104:H104" si="76">SUM(G90:G103)</f>
        <v>3779.0500530601239</v>
      </c>
      <c r="H104" s="62">
        <f t="shared" si="76"/>
        <v>4140.0377962558396</v>
      </c>
      <c r="I104" s="62">
        <f t="shared" si="75"/>
        <v>4499.8302644977302</v>
      </c>
      <c r="J104" s="62">
        <f t="shared" ref="J104" si="77">SUM(J90:J103)</f>
        <v>5076.2682412826125</v>
      </c>
      <c r="K104" s="62">
        <f t="shared" si="75"/>
        <v>5575.2804867305958</v>
      </c>
      <c r="L104" s="62">
        <f t="shared" si="75"/>
        <v>6371.7508392311192</v>
      </c>
      <c r="M104" s="62">
        <f t="shared" si="75"/>
        <v>7016.7342496344463</v>
      </c>
      <c r="N104" s="62">
        <f t="shared" si="75"/>
        <v>7639.6963634492786</v>
      </c>
      <c r="O104" s="62">
        <f t="shared" si="75"/>
        <v>8312.0173107232331</v>
      </c>
      <c r="P104" s="62">
        <f t="shared" ref="P104:R104" si="78">SUM(P90:P103)</f>
        <v>9018.9268218344259</v>
      </c>
      <c r="Q104" s="62">
        <f t="shared" si="78"/>
        <v>9708.0169142429841</v>
      </c>
      <c r="R104" s="63">
        <f t="shared" si="78"/>
        <v>10347.725397198026</v>
      </c>
      <c r="S104" s="56"/>
    </row>
    <row r="105" spans="3:28" ht="14" thickTop="1" x14ac:dyDescent="0.15"/>
    <row r="106" spans="3:28" ht="14" thickBot="1" x14ac:dyDescent="0.2"/>
    <row r="107" spans="3:28" ht="17" thickTop="1" x14ac:dyDescent="0.2">
      <c r="C107" s="32" t="s">
        <v>125</v>
      </c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5"/>
      <c r="S107" s="121"/>
    </row>
    <row r="108" spans="3:28" ht="14" thickBot="1" x14ac:dyDescent="0.2">
      <c r="C108" s="18"/>
      <c r="D108" s="65" t="s">
        <v>25</v>
      </c>
      <c r="E108" s="65" t="s">
        <v>37</v>
      </c>
      <c r="F108" s="65" t="s">
        <v>38</v>
      </c>
      <c r="G108" s="37" t="s">
        <v>177</v>
      </c>
      <c r="H108" s="37" t="s">
        <v>178</v>
      </c>
      <c r="I108" s="65" t="s">
        <v>26</v>
      </c>
      <c r="J108" s="65"/>
      <c r="K108" s="65" t="s">
        <v>27</v>
      </c>
      <c r="L108" s="65" t="s">
        <v>28</v>
      </c>
      <c r="M108" s="65" t="s">
        <v>29</v>
      </c>
      <c r="N108" s="65" t="s">
        <v>30</v>
      </c>
      <c r="O108" s="65" t="s">
        <v>31</v>
      </c>
      <c r="P108" s="37" t="s">
        <v>174</v>
      </c>
      <c r="Q108" s="37" t="s">
        <v>175</v>
      </c>
      <c r="R108" s="38" t="s">
        <v>176</v>
      </c>
      <c r="S108" s="65"/>
    </row>
    <row r="109" spans="3:28" ht="15" thickTop="1" thickBot="1" x14ac:dyDescent="0.2">
      <c r="C109" s="70"/>
      <c r="D109" s="71" t="s">
        <v>39</v>
      </c>
      <c r="E109" s="71" t="s">
        <v>39</v>
      </c>
      <c r="F109" s="71" t="s">
        <v>39</v>
      </c>
      <c r="G109" s="71" t="s">
        <v>39</v>
      </c>
      <c r="H109" s="71" t="s">
        <v>39</v>
      </c>
      <c r="I109" s="71" t="s">
        <v>39</v>
      </c>
      <c r="J109" s="71"/>
      <c r="K109" s="71" t="s">
        <v>32</v>
      </c>
      <c r="L109" s="71" t="s">
        <v>32</v>
      </c>
      <c r="M109" s="71" t="s">
        <v>32</v>
      </c>
      <c r="N109" s="71" t="s">
        <v>32</v>
      </c>
      <c r="O109" s="71" t="s">
        <v>32</v>
      </c>
      <c r="P109" s="65" t="s">
        <v>32</v>
      </c>
      <c r="Q109" s="65" t="s">
        <v>32</v>
      </c>
      <c r="R109" s="66" t="s">
        <v>32</v>
      </c>
      <c r="S109" s="65"/>
    </row>
    <row r="110" spans="3:28" ht="17" thickTop="1" x14ac:dyDescent="0.2">
      <c r="C110" s="24" t="s">
        <v>0</v>
      </c>
      <c r="D110" s="42">
        <f>'[1]12_13 fleet'!$D189*'Light Vehicle Supporting Data'!D$184</f>
        <v>5948.8133335750581</v>
      </c>
      <c r="E110" s="43">
        <f>'[2]13_14 fleet'!$D190*'Light Vehicle Supporting Data'!E$184</f>
        <v>6190.4603624359934</v>
      </c>
      <c r="F110" s="43">
        <f>'[3]14_15 fleet'!$D190*'Light Vehicle Supporting Data'!F$184</f>
        <v>6632.1569410399661</v>
      </c>
      <c r="G110" s="43">
        <f>'[4]15_16 fleet'!$D190*'Light Vehicle Supporting Data'!G$184</f>
        <v>7000.2253725285564</v>
      </c>
      <c r="H110" s="43">
        <f>'[5]16_17 fleet_v2'!$D190*'Light Vehicle Supporting Data'!H$184</f>
        <v>7555.0329594660807</v>
      </c>
      <c r="I110" s="202">
        <f>'[6]17_18 fleet_v3'!$D215*'Light Vehicle Supporting Data'!I$184</f>
        <v>8181.4926470588234</v>
      </c>
      <c r="J110" s="202">
        <f>'[7]18_19 fleet_v3'!$D215*'Light Vehicle Supporting Data'!J$184</f>
        <v>8944.8300536672614</v>
      </c>
      <c r="K110" s="202">
        <f t="shared" ref="K110:R123" si="79">$J110*(K90/$J90)</f>
        <v>9678.367860209537</v>
      </c>
      <c r="L110" s="202">
        <f t="shared" si="79"/>
        <v>10923.963568028681</v>
      </c>
      <c r="M110" s="202">
        <f t="shared" si="79"/>
        <v>11861.631477981404</v>
      </c>
      <c r="N110" s="202">
        <f t="shared" si="79"/>
        <v>12726.790126447233</v>
      </c>
      <c r="O110" s="202">
        <f t="shared" si="79"/>
        <v>13634.070884467417</v>
      </c>
      <c r="P110" s="129">
        <f t="shared" si="79"/>
        <v>14561.71570363998</v>
      </c>
      <c r="Q110" s="129">
        <f t="shared" si="79"/>
        <v>15423.74588478248</v>
      </c>
      <c r="R110" s="197">
        <f t="shared" si="79"/>
        <v>16172.226602537477</v>
      </c>
      <c r="S110" s="56"/>
    </row>
    <row r="111" spans="3:28" ht="16" x14ac:dyDescent="0.2">
      <c r="C111" s="24" t="s">
        <v>1</v>
      </c>
      <c r="D111" s="42">
        <f>'[1]12_13 fleet'!$D190*'Light Vehicle Supporting Data'!D$184</f>
        <v>43423.134743801253</v>
      </c>
      <c r="E111" s="43">
        <f>'[2]13_14 fleet'!$D191*'Light Vehicle Supporting Data'!E$184</f>
        <v>46272.340235803087</v>
      </c>
      <c r="F111" s="43">
        <f>'[3]14_15 fleet'!$D191*'Light Vehicle Supporting Data'!F$184</f>
        <v>51343.181171047334</v>
      </c>
      <c r="G111" s="43">
        <f>'[4]15_16 fleet'!$D191*'Light Vehicle Supporting Data'!G$184</f>
        <v>58563.349142846098</v>
      </c>
      <c r="H111" s="43">
        <f>'[5]16_17 fleet_v2'!$D191*'Light Vehicle Supporting Data'!H$184</f>
        <v>66892.708061319528</v>
      </c>
      <c r="I111" s="202">
        <f>'[6]17_18 fleet_v3'!$D216*'Light Vehicle Supporting Data'!I$184</f>
        <v>76271.573529411762</v>
      </c>
      <c r="J111" s="202">
        <f>'[7]18_19 fleet_v3'!$D216*'Light Vehicle Supporting Data'!J$184</f>
        <v>81545.617173524137</v>
      </c>
      <c r="K111" s="202">
        <f t="shared" si="79"/>
        <v>92715.776890213121</v>
      </c>
      <c r="L111" s="202">
        <f t="shared" si="79"/>
        <v>108862.41558928511</v>
      </c>
      <c r="M111" s="202">
        <f t="shared" si="79"/>
        <v>122905.7268515476</v>
      </c>
      <c r="N111" s="202">
        <f t="shared" si="79"/>
        <v>136932.63799885445</v>
      </c>
      <c r="O111" s="202">
        <f t="shared" si="79"/>
        <v>152276.45276536868</v>
      </c>
      <c r="P111" s="167">
        <f t="shared" si="79"/>
        <v>168825.81817232634</v>
      </c>
      <c r="Q111" s="167">
        <f t="shared" si="79"/>
        <v>185624.49621824059</v>
      </c>
      <c r="R111" s="198">
        <f t="shared" si="79"/>
        <v>202038.60255787516</v>
      </c>
      <c r="S111" s="56"/>
    </row>
    <row r="112" spans="3:28" ht="16" x14ac:dyDescent="0.2">
      <c r="C112" s="24" t="s">
        <v>2</v>
      </c>
      <c r="D112" s="42">
        <f>'[1]12_13 fleet'!$D191*'Light Vehicle Supporting Data'!D$184</f>
        <v>16535.379188648571</v>
      </c>
      <c r="E112" s="43">
        <f>'[2]13_14 fleet'!$D192*'Light Vehicle Supporting Data'!E$184</f>
        <v>18189.105649472454</v>
      </c>
      <c r="F112" s="43">
        <f>'[3]14_15 fleet'!$D192*'Light Vehicle Supporting Data'!F$184</f>
        <v>19620.297721773033</v>
      </c>
      <c r="G112" s="43">
        <f>'[4]15_16 fleet'!$D192*'Light Vehicle Supporting Data'!G$184</f>
        <v>20873.599413424559</v>
      </c>
      <c r="H112" s="43">
        <f>'[5]16_17 fleet_v2'!$D192*'Light Vehicle Supporting Data'!H$184</f>
        <v>23038.298096234401</v>
      </c>
      <c r="I112" s="202">
        <f>'[6]17_18 fleet_v3'!$D217*'Light Vehicle Supporting Data'!I$184</f>
        <v>26722.073529411766</v>
      </c>
      <c r="J112" s="202">
        <f>'[7]18_19 fleet_v3'!$D217*'Light Vehicle Supporting Data'!J$184</f>
        <v>29388.9564698867</v>
      </c>
      <c r="K112" s="202">
        <f t="shared" si="79"/>
        <v>32269.735880643195</v>
      </c>
      <c r="L112" s="202">
        <f t="shared" si="79"/>
        <v>36912.794964743327</v>
      </c>
      <c r="M112" s="202">
        <f t="shared" si="79"/>
        <v>40673.308059479481</v>
      </c>
      <c r="N112" s="202">
        <f t="shared" si="79"/>
        <v>44310.519186478945</v>
      </c>
      <c r="O112" s="202">
        <f t="shared" si="79"/>
        <v>48250.672059220116</v>
      </c>
      <c r="P112" s="167">
        <f t="shared" si="79"/>
        <v>52381.777305341289</v>
      </c>
      <c r="Q112" s="167">
        <f t="shared" si="79"/>
        <v>56395.883701674305</v>
      </c>
      <c r="R112" s="198">
        <f t="shared" si="79"/>
        <v>60105.916781810942</v>
      </c>
      <c r="S112" s="56"/>
    </row>
    <row r="113" spans="3:19" ht="16" x14ac:dyDescent="0.2">
      <c r="C113" s="24" t="s">
        <v>3</v>
      </c>
      <c r="D113" s="42">
        <f>'[1]12_13 fleet'!$D192*'Light Vehicle Supporting Data'!D$184</f>
        <v>13549.96361427872</v>
      </c>
      <c r="E113" s="43">
        <f>'[2]13_14 fleet'!$D193*'Light Vehicle Supporting Data'!E$184</f>
        <v>14290.296471966696</v>
      </c>
      <c r="F113" s="43">
        <f>'[3]14_15 fleet'!$D193*'Light Vehicle Supporting Data'!F$184</f>
        <v>15195.524337150413</v>
      </c>
      <c r="G113" s="43">
        <f>'[4]15_16 fleet'!$D193*'Light Vehicle Supporting Data'!G$184</f>
        <v>16617.030126012254</v>
      </c>
      <c r="H113" s="43">
        <f>'[5]16_17 fleet_v2'!$D193*'Light Vehicle Supporting Data'!H$184</f>
        <v>18264.749923858206</v>
      </c>
      <c r="I113" s="202">
        <f>'[6]17_18 fleet_v3'!$D218*'Light Vehicle Supporting Data'!I$184</f>
        <v>21209.213235294119</v>
      </c>
      <c r="J113" s="202">
        <f>'[7]18_19 fleet_v3'!$D218*'Light Vehicle Supporting Data'!J$184</f>
        <v>22900.989862850325</v>
      </c>
      <c r="K113" s="202">
        <f t="shared" si="79"/>
        <v>24974.427442480657</v>
      </c>
      <c r="L113" s="202">
        <f t="shared" si="79"/>
        <v>28377.362459603326</v>
      </c>
      <c r="M113" s="202">
        <f t="shared" si="79"/>
        <v>31067.646334353423</v>
      </c>
      <c r="N113" s="202">
        <f t="shared" si="79"/>
        <v>33616.208925136292</v>
      </c>
      <c r="O113" s="202">
        <f t="shared" si="79"/>
        <v>36358.145781235558</v>
      </c>
      <c r="P113" s="167">
        <f t="shared" si="79"/>
        <v>39204.421887150565</v>
      </c>
      <c r="Q113" s="167">
        <f t="shared" si="79"/>
        <v>41923.612178312258</v>
      </c>
      <c r="R113" s="198">
        <f t="shared" si="79"/>
        <v>44379.762996078221</v>
      </c>
      <c r="S113" s="56"/>
    </row>
    <row r="114" spans="3:19" ht="16" x14ac:dyDescent="0.2">
      <c r="C114" s="24" t="s">
        <v>4</v>
      </c>
      <c r="D114" s="42">
        <f>'[1]12_13 fleet'!$D193*'Light Vehicle Supporting Data'!D$184</f>
        <v>2091.6924406412973</v>
      </c>
      <c r="E114" s="43">
        <f>'[2]13_14 fleet'!$D194*'Light Vehicle Supporting Data'!E$184</f>
        <v>2224.6028751527988</v>
      </c>
      <c r="F114" s="43">
        <f>'[3]14_15 fleet'!$D194*'Light Vehicle Supporting Data'!F$184</f>
        <v>2313.4500373694027</v>
      </c>
      <c r="G114" s="43">
        <f>'[4]15_16 fleet'!$D194*'Light Vehicle Supporting Data'!G$184</f>
        <v>2370.4308043911019</v>
      </c>
      <c r="H114" s="43">
        <f>'[5]16_17 fleet_v2'!$D194*'Light Vehicle Supporting Data'!H$184</f>
        <v>2466.3165468261009</v>
      </c>
      <c r="I114" s="202">
        <f>'[6]17_18 fleet_v3'!$D219*'Light Vehicle Supporting Data'!I$184</f>
        <v>2958.8382352941176</v>
      </c>
      <c r="J114" s="202">
        <f>'[7]18_19 fleet_v3'!$D219*'Light Vehicle Supporting Data'!J$184</f>
        <v>3156.875372689326</v>
      </c>
      <c r="K114" s="202">
        <f t="shared" si="79"/>
        <v>3342.4857912306115</v>
      </c>
      <c r="L114" s="202">
        <f t="shared" si="79"/>
        <v>3711.1757341975845</v>
      </c>
      <c r="M114" s="202">
        <f t="shared" si="79"/>
        <v>3971.7750116029488</v>
      </c>
      <c r="N114" s="202">
        <f t="shared" si="79"/>
        <v>4196.3170243762743</v>
      </c>
      <c r="O114" s="202">
        <f t="shared" si="79"/>
        <v>4432.2545461380851</v>
      </c>
      <c r="P114" s="167">
        <f t="shared" si="79"/>
        <v>4667.2539542916575</v>
      </c>
      <c r="Q114" s="167">
        <f t="shared" si="79"/>
        <v>4874.0332080077533</v>
      </c>
      <c r="R114" s="198">
        <f t="shared" si="79"/>
        <v>5038.6962499780266</v>
      </c>
      <c r="S114" s="56"/>
    </row>
    <row r="115" spans="3:19" ht="16" x14ac:dyDescent="0.2">
      <c r="C115" s="24" t="s">
        <v>5</v>
      </c>
      <c r="D115" s="42">
        <f>'[1]12_13 fleet'!$D194*'Light Vehicle Supporting Data'!D$184</f>
        <v>6570.3162070861808</v>
      </c>
      <c r="E115" s="43">
        <f>'[2]13_14 fleet'!$D195*'Light Vehicle Supporting Data'!E$184</f>
        <v>6886.9622072881511</v>
      </c>
      <c r="F115" s="43">
        <f>'[3]14_15 fleet'!$D195*'Light Vehicle Supporting Data'!F$184</f>
        <v>7153.4837011911168</v>
      </c>
      <c r="G115" s="43">
        <f>'[4]15_16 fleet'!$D195*'Light Vehicle Supporting Data'!G$184</f>
        <v>7638.6107052434245</v>
      </c>
      <c r="H115" s="43">
        <f>'[5]16_17 fleet_v2'!$D195*'Light Vehicle Supporting Data'!H$184</f>
        <v>8351.458099942176</v>
      </c>
      <c r="I115" s="202">
        <f>'[6]17_18 fleet_v3'!$D220*'Light Vehicle Supporting Data'!I$184</f>
        <v>9574.6911764705892</v>
      </c>
      <c r="J115" s="202">
        <f>'[7]18_19 fleet_v3'!$D220*'Light Vehicle Supporting Data'!J$184</f>
        <v>10315.468097793679</v>
      </c>
      <c r="K115" s="202">
        <f t="shared" si="79"/>
        <v>10938.625029674617</v>
      </c>
      <c r="L115" s="202">
        <f t="shared" si="79"/>
        <v>12178.661372367611</v>
      </c>
      <c r="M115" s="202">
        <f t="shared" si="79"/>
        <v>13055.246464659276</v>
      </c>
      <c r="N115" s="202">
        <f t="shared" si="79"/>
        <v>13836.939819607449</v>
      </c>
      <c r="O115" s="202">
        <f t="shared" si="79"/>
        <v>14651.317357477274</v>
      </c>
      <c r="P115" s="167">
        <f t="shared" si="79"/>
        <v>15466.556558086695</v>
      </c>
      <c r="Q115" s="167">
        <f t="shared" si="79"/>
        <v>16192.015310752187</v>
      </c>
      <c r="R115" s="198">
        <f t="shared" si="79"/>
        <v>16780.728877866757</v>
      </c>
      <c r="S115" s="56"/>
    </row>
    <row r="116" spans="3:19" ht="16" x14ac:dyDescent="0.2">
      <c r="C116" s="24" t="s">
        <v>6</v>
      </c>
      <c r="D116" s="42">
        <f>'[1]12_13 fleet'!$D195*'Light Vehicle Supporting Data'!D$184</f>
        <v>4421.5776089728479</v>
      </c>
      <c r="E116" s="43">
        <f>'[2]13_14 fleet'!$D196*'Light Vehicle Supporting Data'!E$184</f>
        <v>4661.3586110938986</v>
      </c>
      <c r="F116" s="43">
        <f>'[3]14_15 fleet'!$D196*'Light Vehicle Supporting Data'!F$184</f>
        <v>4821.0217474246465</v>
      </c>
      <c r="G116" s="43">
        <f>'[4]15_16 fleet'!$D196*'Light Vehicle Supporting Data'!G$184</f>
        <v>4952.9896503739783</v>
      </c>
      <c r="H116" s="43">
        <f>'[5]16_17 fleet_v2'!$D196*'Light Vehicle Supporting Data'!H$184</f>
        <v>5121.7340378104709</v>
      </c>
      <c r="I116" s="202">
        <f>'[6]17_18 fleet_v3'!$D221*'Light Vehicle Supporting Data'!I$184</f>
        <v>6156.3602941176468</v>
      </c>
      <c r="J116" s="202">
        <f>'[7]18_19 fleet_v3'!$D221*'Light Vehicle Supporting Data'!J$184</f>
        <v>6466.9767441860458</v>
      </c>
      <c r="K116" s="202">
        <f t="shared" si="79"/>
        <v>6914.3689340016217</v>
      </c>
      <c r="L116" s="202">
        <f t="shared" si="79"/>
        <v>7770.6809952404255</v>
      </c>
      <c r="M116" s="202">
        <f t="shared" si="79"/>
        <v>8418.2408519593137</v>
      </c>
      <c r="N116" s="202">
        <f t="shared" si="79"/>
        <v>9030.4248201351093</v>
      </c>
      <c r="O116" s="202">
        <f t="shared" si="79"/>
        <v>9691.8287484433276</v>
      </c>
      <c r="P116" s="167">
        <f t="shared" si="79"/>
        <v>10370.116060592529</v>
      </c>
      <c r="Q116" s="167">
        <f t="shared" si="79"/>
        <v>11004.031262366874</v>
      </c>
      <c r="R116" s="198">
        <f t="shared" si="79"/>
        <v>11559.063703598677</v>
      </c>
      <c r="S116" s="56"/>
    </row>
    <row r="117" spans="3:19" ht="16" x14ac:dyDescent="0.2">
      <c r="C117" s="24" t="s">
        <v>7</v>
      </c>
      <c r="D117" s="42">
        <f>'[1]12_13 fleet'!$D196*'Light Vehicle Supporting Data'!D$184</f>
        <v>8553.9211914646748</v>
      </c>
      <c r="E117" s="43">
        <f>'[2]13_14 fleet'!$D197*'Light Vehicle Supporting Data'!E$184</f>
        <v>9036.5110043318818</v>
      </c>
      <c r="F117" s="43">
        <f>'[3]14_15 fleet'!$D197*'Light Vehicle Supporting Data'!F$184</f>
        <v>9483.9444006000012</v>
      </c>
      <c r="G117" s="43">
        <f>'[4]15_16 fleet'!$D197*'Light Vehicle Supporting Data'!G$184</f>
        <v>10097.094658974507</v>
      </c>
      <c r="H117" s="43">
        <f>'[5]16_17 fleet_v2'!$D197*'Light Vehicle Supporting Data'!H$184</f>
        <v>10787.758623886013</v>
      </c>
      <c r="I117" s="202">
        <f>'[6]17_18 fleet_v3'!$D222*'Light Vehicle Supporting Data'!I$184</f>
        <v>12177.080882352942</v>
      </c>
      <c r="J117" s="202">
        <f>'[7]18_19 fleet_v3'!$D222*'Light Vehicle Supporting Data'!J$184</f>
        <v>12768.133571854501</v>
      </c>
      <c r="K117" s="202">
        <f t="shared" si="79"/>
        <v>13498.817058542742</v>
      </c>
      <c r="L117" s="202">
        <f t="shared" si="79"/>
        <v>14983.502922267087</v>
      </c>
      <c r="M117" s="202">
        <f t="shared" si="79"/>
        <v>16030.172240535105</v>
      </c>
      <c r="N117" s="202">
        <f t="shared" si="79"/>
        <v>16963.348635517781</v>
      </c>
      <c r="O117" s="202">
        <f t="shared" si="79"/>
        <v>17937.892911479365</v>
      </c>
      <c r="P117" s="167">
        <f t="shared" si="79"/>
        <v>18910.873999816547</v>
      </c>
      <c r="Q117" s="167">
        <f t="shared" si="79"/>
        <v>19771.612414557843</v>
      </c>
      <c r="R117" s="198">
        <f t="shared" si="79"/>
        <v>20463.278680076262</v>
      </c>
      <c r="S117" s="56"/>
    </row>
    <row r="118" spans="3:19" ht="16" x14ac:dyDescent="0.2">
      <c r="C118" s="24" t="s">
        <v>8</v>
      </c>
      <c r="D118" s="42">
        <f>'[1]12_13 fleet'!$D197*'Light Vehicle Supporting Data'!D$184</f>
        <v>13203.683430325664</v>
      </c>
      <c r="E118" s="43">
        <f>'[2]13_14 fleet'!$D198*'Light Vehicle Supporting Data'!E$184</f>
        <v>14044.119095768951</v>
      </c>
      <c r="F118" s="43">
        <f>'[3]14_15 fleet'!$D198*'Light Vehicle Supporting Data'!F$184</f>
        <v>14637.174371383921</v>
      </c>
      <c r="G118" s="43">
        <f>'[4]15_16 fleet'!$D198*'Light Vehicle Supporting Data'!G$184</f>
        <v>15438.318649620225</v>
      </c>
      <c r="H118" s="43">
        <f>'[5]16_17 fleet_v2'!$D198*'Light Vehicle Supporting Data'!H$184</f>
        <v>16913.028360060209</v>
      </c>
      <c r="I118" s="202">
        <f>'[6]17_18 fleet_v3'!$D223*'Light Vehicle Supporting Data'!I$184</f>
        <v>19413.301470588234</v>
      </c>
      <c r="J118" s="202">
        <f>'[7]18_19 fleet_v3'!$D223*'Light Vehicle Supporting Data'!J$184</f>
        <v>20822.993440667859</v>
      </c>
      <c r="K118" s="202">
        <f t="shared" si="79"/>
        <v>22372.465260838027</v>
      </c>
      <c r="L118" s="202">
        <f t="shared" si="79"/>
        <v>25173.570649046582</v>
      </c>
      <c r="M118" s="202">
        <f t="shared" si="79"/>
        <v>27329.722871224003</v>
      </c>
      <c r="N118" s="202">
        <f t="shared" si="79"/>
        <v>29357.940369798438</v>
      </c>
      <c r="O118" s="202">
        <f t="shared" si="79"/>
        <v>31509.389013567063</v>
      </c>
      <c r="P118" s="167">
        <f t="shared" si="79"/>
        <v>33715.896734161317</v>
      </c>
      <c r="Q118" s="167">
        <f t="shared" si="79"/>
        <v>35778.304942020412</v>
      </c>
      <c r="R118" s="198">
        <f t="shared" si="79"/>
        <v>37584.385210123895</v>
      </c>
      <c r="S118" s="56"/>
    </row>
    <row r="119" spans="3:19" ht="16" x14ac:dyDescent="0.2">
      <c r="C119" s="24" t="s">
        <v>9</v>
      </c>
      <c r="D119" s="42">
        <f>'[1]12_13 fleet'!$D198*'Light Vehicle Supporting Data'!D$184</f>
        <v>7236.8555207068048</v>
      </c>
      <c r="E119" s="43">
        <f>'[2]13_14 fleet'!$D199*'Light Vehicle Supporting Data'!E$184</f>
        <v>7575.4582838086762</v>
      </c>
      <c r="F119" s="43">
        <f>'[3]14_15 fleet'!$D199*'Light Vehicle Supporting Data'!F$184</f>
        <v>8085.0676046473945</v>
      </c>
      <c r="G119" s="43">
        <f>'[4]15_16 fleet'!$D199*'Light Vehicle Supporting Data'!G$184</f>
        <v>8648.2201107438977</v>
      </c>
      <c r="H119" s="43">
        <f>'[5]16_17 fleet_v2'!$D199*'Light Vehicle Supporting Data'!H$184</f>
        <v>9425.0311850311846</v>
      </c>
      <c r="I119" s="202">
        <f>'[6]17_18 fleet_v3'!$D224*'Light Vehicle Supporting Data'!I$184</f>
        <v>10687.14705882353</v>
      </c>
      <c r="J119" s="202">
        <f>'[7]18_19 fleet_v3'!$D224*'Light Vehicle Supporting Data'!J$184</f>
        <v>11328.228980322003</v>
      </c>
      <c r="K119" s="202">
        <f t="shared" si="79"/>
        <v>12131.165104721505</v>
      </c>
      <c r="L119" s="202">
        <f t="shared" si="79"/>
        <v>13602.2215695389</v>
      </c>
      <c r="M119" s="202">
        <f t="shared" si="79"/>
        <v>14691.754007273254</v>
      </c>
      <c r="N119" s="202">
        <f t="shared" si="79"/>
        <v>15680.110811509969</v>
      </c>
      <c r="O119" s="202">
        <f t="shared" si="79"/>
        <v>16692.396861531808</v>
      </c>
      <c r="P119" s="167">
        <f t="shared" si="79"/>
        <v>17716.955325239596</v>
      </c>
      <c r="Q119" s="167">
        <f t="shared" si="79"/>
        <v>18649.633233519711</v>
      </c>
      <c r="R119" s="198">
        <f t="shared" si="79"/>
        <v>19434.558065989419</v>
      </c>
      <c r="S119" s="56"/>
    </row>
    <row r="120" spans="3:19" ht="16" x14ac:dyDescent="0.2">
      <c r="C120" s="24" t="s">
        <v>10</v>
      </c>
      <c r="D120" s="42">
        <f>'[1]12_13 fleet'!$D199*'Light Vehicle Supporting Data'!D$184</f>
        <v>2027.6406147077839</v>
      </c>
      <c r="E120" s="43">
        <f>'[2]13_14 fleet'!$D200*'Light Vehicle Supporting Data'!E$184</f>
        <v>2023.4579458204944</v>
      </c>
      <c r="F120" s="43">
        <f>'[3]14_15 fleet'!$D200*'Light Vehicle Supporting Data'!F$184</f>
        <v>2019.2656468042626</v>
      </c>
      <c r="G120" s="43">
        <f>'[4]15_16 fleet'!$D200*'Light Vehicle Supporting Data'!G$184</f>
        <v>1916.1566021143774</v>
      </c>
      <c r="H120" s="43">
        <f>'[5]16_17 fleet_v2'!$D200*'Light Vehicle Supporting Data'!H$184</f>
        <v>1878.0024983337087</v>
      </c>
      <c r="I120" s="202">
        <f>'[6]17_18 fleet_v3'!$D225*'Light Vehicle Supporting Data'!I$184</f>
        <v>2141.8455882352941</v>
      </c>
      <c r="J120" s="202">
        <f>'[7]18_19 fleet_v3'!$D225*'Light Vehicle Supporting Data'!J$184</f>
        <v>2186.0942158616576</v>
      </c>
      <c r="K120" s="202">
        <f t="shared" si="79"/>
        <v>2272.4576453476843</v>
      </c>
      <c r="L120" s="202">
        <f t="shared" si="79"/>
        <v>2477.501085835976</v>
      </c>
      <c r="M120" s="202">
        <f t="shared" si="79"/>
        <v>2603.0178890378534</v>
      </c>
      <c r="N120" s="202">
        <f t="shared" si="79"/>
        <v>2703.8259196425674</v>
      </c>
      <c r="O120" s="202">
        <f t="shared" si="79"/>
        <v>2808.7649088104026</v>
      </c>
      <c r="P120" s="167">
        <f t="shared" si="79"/>
        <v>2908.9240970829778</v>
      </c>
      <c r="Q120" s="167">
        <f t="shared" si="79"/>
        <v>2987.718671861554</v>
      </c>
      <c r="R120" s="198">
        <f t="shared" si="79"/>
        <v>3037.7333996843872</v>
      </c>
      <c r="S120" s="56"/>
    </row>
    <row r="121" spans="3:19" ht="16" x14ac:dyDescent="0.2">
      <c r="C121" s="24" t="s">
        <v>11</v>
      </c>
      <c r="D121" s="42">
        <f>'[1]12_13 fleet'!$D200*'Light Vehicle Supporting Data'!D$184</f>
        <v>28655.185627005565</v>
      </c>
      <c r="E121" s="43">
        <f>'[2]13_14 fleet'!$D201*'Light Vehicle Supporting Data'!E$184</f>
        <v>32017.069000287287</v>
      </c>
      <c r="F121" s="43">
        <f>'[3]14_15 fleet'!$D201*'Light Vehicle Supporting Data'!F$184</f>
        <v>34871.857180935855</v>
      </c>
      <c r="G121" s="43">
        <f>'[4]15_16 fleet'!$D201*'Light Vehicle Supporting Data'!G$184</f>
        <v>36526.047312576098</v>
      </c>
      <c r="H121" s="43">
        <f>'[5]16_17 fleet_v2'!$D201*'Light Vehicle Supporting Data'!H$184</f>
        <v>38046.309537366862</v>
      </c>
      <c r="I121" s="202">
        <f>'[6]17_18 fleet_v3'!$D226*'Light Vehicle Supporting Data'!I$184</f>
        <v>41998.889705882357</v>
      </c>
      <c r="J121" s="202">
        <f>'[7]18_19 fleet_v3'!$D226*'Light Vehicle Supporting Data'!J$184</f>
        <v>43673.607632677398</v>
      </c>
      <c r="K121" s="202">
        <f t="shared" si="79"/>
        <v>48385.743289874044</v>
      </c>
      <c r="L121" s="202">
        <f t="shared" si="79"/>
        <v>55483.596618532072</v>
      </c>
      <c r="M121" s="202">
        <f t="shared" si="79"/>
        <v>61354.904466034772</v>
      </c>
      <c r="N121" s="202">
        <f t="shared" si="79"/>
        <v>67121.689225616021</v>
      </c>
      <c r="O121" s="202">
        <f t="shared" si="79"/>
        <v>73377.898823271345</v>
      </c>
      <c r="P121" s="167">
        <f t="shared" si="79"/>
        <v>79973.849388647577</v>
      </c>
      <c r="Q121" s="167">
        <f t="shared" si="79"/>
        <v>86441.250833348196</v>
      </c>
      <c r="R121" s="198">
        <f t="shared" si="79"/>
        <v>92490.414954428066</v>
      </c>
      <c r="S121" s="56"/>
    </row>
    <row r="122" spans="3:19" ht="16" x14ac:dyDescent="0.2">
      <c r="C122" s="24" t="s">
        <v>12</v>
      </c>
      <c r="D122" s="42">
        <f>'[1]12_13 fleet'!$D201*'Light Vehicle Supporting Data'!D$184</f>
        <v>8399.7964853121575</v>
      </c>
      <c r="E122" s="43">
        <f>'[2]13_14 fleet'!$D202*'Light Vehicle Supporting Data'!E$184</f>
        <v>8876.395637699201</v>
      </c>
      <c r="F122" s="43">
        <f>'[3]14_15 fleet'!$D202*'Light Vehicle Supporting Data'!F$184</f>
        <v>9505.9581985334462</v>
      </c>
      <c r="G122" s="43">
        <f>'[4]15_16 fleet'!$D202*'Light Vehicle Supporting Data'!G$184</f>
        <v>10280.205185442879</v>
      </c>
      <c r="H122" s="43">
        <f>'[5]16_17 fleet_v2'!$D202*'Light Vehicle Supporting Data'!H$184</f>
        <v>11451.112729584067</v>
      </c>
      <c r="I122" s="202">
        <f>'[6]17_18 fleet_v3'!$D227*'Light Vehicle Supporting Data'!I$184</f>
        <v>12914.161764705883</v>
      </c>
      <c r="J122" s="202">
        <f>'[7]18_19 fleet_v3'!$D227*'Light Vehicle Supporting Data'!J$184</f>
        <v>13894.239713774596</v>
      </c>
      <c r="K122" s="202">
        <f t="shared" si="79"/>
        <v>15095.578992099961</v>
      </c>
      <c r="L122" s="202">
        <f t="shared" si="79"/>
        <v>17029.67826592653</v>
      </c>
      <c r="M122" s="202">
        <f t="shared" si="79"/>
        <v>18534.826492372402</v>
      </c>
      <c r="N122" s="202">
        <f t="shared" si="79"/>
        <v>19969.397733752718</v>
      </c>
      <c r="O122" s="202">
        <f t="shared" si="79"/>
        <v>21504.476677875617</v>
      </c>
      <c r="P122" s="167">
        <f t="shared" si="79"/>
        <v>23087.298842888231</v>
      </c>
      <c r="Q122" s="167">
        <f t="shared" si="79"/>
        <v>24581.460571886648</v>
      </c>
      <c r="R122" s="198">
        <f t="shared" si="79"/>
        <v>25908.656116426402</v>
      </c>
      <c r="S122" s="56"/>
    </row>
    <row r="123" spans="3:19" ht="17" thickBot="1" x14ac:dyDescent="0.25">
      <c r="C123" s="25" t="s">
        <v>13</v>
      </c>
      <c r="D123" s="45">
        <f>'[1]12_13 fleet'!$D202*'Light Vehicle Supporting Data'!D$184</f>
        <v>4993.0399934734132</v>
      </c>
      <c r="E123" s="46">
        <f>'[2]13_14 fleet'!$D203*'Light Vehicle Supporting Data'!E$184</f>
        <v>5360.8626190704199</v>
      </c>
      <c r="F123" s="46">
        <f>'[3]14_15 fleet'!$D203*'Light Vehicle Supporting Data'!F$184</f>
        <v>5770.6169400991985</v>
      </c>
      <c r="G123" s="46">
        <f>'[4]15_16 fleet'!$D203*'Light Vehicle Supporting Data'!G$184</f>
        <v>6166.7222657080465</v>
      </c>
      <c r="H123" s="46">
        <f>'[5]16_17 fleet_v2'!$D203*'Light Vehicle Supporting Data'!H$184</f>
        <v>6480.4593402809969</v>
      </c>
      <c r="I123" s="203">
        <f>'[6]17_18 fleet_v3'!$D228*'Light Vehicle Supporting Data'!I$184</f>
        <v>7305.6176470588234</v>
      </c>
      <c r="J123" s="203">
        <f>'[7]18_19 fleet_v3'!$D228*'Light Vehicle Supporting Data'!J$184</f>
        <v>7798.7835420393558</v>
      </c>
      <c r="K123" s="203">
        <f t="shared" si="79"/>
        <v>8180.4311570534583</v>
      </c>
      <c r="L123" s="203">
        <f t="shared" si="79"/>
        <v>9018.5972357463324</v>
      </c>
      <c r="M123" s="203">
        <f t="shared" si="79"/>
        <v>9594.3184799824357</v>
      </c>
      <c r="N123" s="203">
        <f t="shared" si="79"/>
        <v>10096.342379968015</v>
      </c>
      <c r="O123" s="203">
        <f t="shared" si="79"/>
        <v>10620.839329586586</v>
      </c>
      <c r="P123" s="171">
        <f t="shared" si="79"/>
        <v>11138.68553619281</v>
      </c>
      <c r="Q123" s="171">
        <f t="shared" si="79"/>
        <v>11585.088635818329</v>
      </c>
      <c r="R123" s="199">
        <f t="shared" si="79"/>
        <v>11927.994262334356</v>
      </c>
      <c r="S123" s="56"/>
    </row>
    <row r="124" spans="3:19" ht="19" thickTop="1" thickBot="1" x14ac:dyDescent="0.25">
      <c r="C124" s="20" t="s">
        <v>24</v>
      </c>
      <c r="D124" s="48">
        <f t="shared" ref="D124:O124" si="80">SUM(D110:D123)</f>
        <v>165611</v>
      </c>
      <c r="E124" s="48">
        <f t="shared" si="80"/>
        <v>177649</v>
      </c>
      <c r="F124" s="48">
        <f t="shared" si="80"/>
        <v>191453</v>
      </c>
      <c r="G124" s="48">
        <f t="shared" ref="G124:H124" si="81">SUM(G110:G123)</f>
        <v>207088.99999999997</v>
      </c>
      <c r="H124" s="48">
        <f t="shared" si="81"/>
        <v>226672.00000000006</v>
      </c>
      <c r="I124" s="48">
        <f t="shared" si="80"/>
        <v>257712.2867647059</v>
      </c>
      <c r="J124" s="48">
        <f t="shared" ref="J124" si="82">SUM(J110:J123)</f>
        <v>275191.79487179482</v>
      </c>
      <c r="K124" s="48">
        <f t="shared" si="80"/>
        <v>302770.44633693079</v>
      </c>
      <c r="L124" s="48">
        <f t="shared" si="80"/>
        <v>346505.72303035954</v>
      </c>
      <c r="M124" s="48">
        <f t="shared" si="80"/>
        <v>382092.29149804323</v>
      </c>
      <c r="N124" s="48">
        <f t="shared" si="80"/>
        <v>416542.49297684128</v>
      </c>
      <c r="O124" s="48">
        <f t="shared" si="80"/>
        <v>453746.40066847263</v>
      </c>
      <c r="P124" s="62">
        <f t="shared" ref="P124:R124" si="83">SUM(P110:P123)</f>
        <v>492930.14356545807</v>
      </c>
      <c r="Q124" s="62">
        <f t="shared" si="83"/>
        <v>531232.88706714916</v>
      </c>
      <c r="R124" s="63">
        <f t="shared" si="83"/>
        <v>566922.01845880807</v>
      </c>
      <c r="S124" s="43"/>
    </row>
    <row r="125" spans="3:19" ht="19" thickTop="1" thickBot="1" x14ac:dyDescent="0.25">
      <c r="C125" s="31" t="s">
        <v>96</v>
      </c>
      <c r="D125" s="48">
        <f>SUM('[1]12_13 fleet'!$D$188:$D$202)</f>
        <v>165611</v>
      </c>
      <c r="E125" s="48">
        <f>SUM('[2]13_14 fleet'!$D$189:$D$203)</f>
        <v>177649</v>
      </c>
      <c r="F125" s="48">
        <f>SUM('[3]14_15 fleet'!$D$189:$D$203)</f>
        <v>191453</v>
      </c>
      <c r="G125" s="48">
        <f>SUM('[4]15_16 fleet'!$D$189:$D$203)</f>
        <v>207089</v>
      </c>
      <c r="H125" s="48">
        <f>SUM('[5]16_17 fleet_v2'!$D$189:$D$203)</f>
        <v>226672</v>
      </c>
      <c r="I125" s="48">
        <f>SUM('[6]17_18 fleet_v3'!$D$190:$D$204)</f>
        <v>1716</v>
      </c>
      <c r="J125" s="48">
        <f>SUM('[7]18_19 fleet_v3'!$D$190:$D$204)</f>
        <v>1760</v>
      </c>
      <c r="K125" s="62"/>
      <c r="L125" s="62"/>
      <c r="M125" s="62"/>
      <c r="N125" s="62"/>
      <c r="O125" s="62"/>
      <c r="P125" s="62"/>
      <c r="Q125" s="62"/>
      <c r="R125" s="63"/>
      <c r="S125" s="56"/>
    </row>
    <row r="126" spans="3:19" ht="14" thickTop="1" x14ac:dyDescent="0.15"/>
    <row r="127" spans="3:19" ht="14" thickBot="1" x14ac:dyDescent="0.2"/>
    <row r="128" spans="3:19" ht="17" thickTop="1" x14ac:dyDescent="0.2">
      <c r="C128" s="32" t="s">
        <v>126</v>
      </c>
      <c r="D128" s="33"/>
      <c r="E128" s="33"/>
      <c r="F128" s="33"/>
      <c r="G128" s="33"/>
      <c r="H128" s="33"/>
      <c r="I128" s="33"/>
      <c r="J128" s="33"/>
      <c r="K128" s="34"/>
      <c r="L128" s="34"/>
      <c r="M128" s="34"/>
      <c r="N128" s="34"/>
      <c r="O128" s="34"/>
      <c r="P128" s="34"/>
      <c r="Q128" s="34"/>
      <c r="R128" s="35"/>
      <c r="S128" s="121"/>
    </row>
    <row r="129" spans="3:19" ht="14" thickBot="1" x14ac:dyDescent="0.2">
      <c r="C129" s="36"/>
      <c r="D129" s="37" t="s">
        <v>25</v>
      </c>
      <c r="E129" s="37" t="s">
        <v>37</v>
      </c>
      <c r="F129" s="37" t="s">
        <v>38</v>
      </c>
      <c r="G129" s="37" t="s">
        <v>177</v>
      </c>
      <c r="H129" s="37" t="s">
        <v>178</v>
      </c>
      <c r="I129" s="37" t="s">
        <v>26</v>
      </c>
      <c r="J129" s="37"/>
      <c r="K129" s="37" t="s">
        <v>27</v>
      </c>
      <c r="L129" s="37" t="s">
        <v>28</v>
      </c>
      <c r="M129" s="37" t="s">
        <v>29</v>
      </c>
      <c r="N129" s="37" t="s">
        <v>30</v>
      </c>
      <c r="O129" s="37" t="s">
        <v>31</v>
      </c>
      <c r="P129" s="37" t="s">
        <v>174</v>
      </c>
      <c r="Q129" s="37" t="s">
        <v>175</v>
      </c>
      <c r="R129" s="38" t="s">
        <v>176</v>
      </c>
      <c r="S129" s="65"/>
    </row>
    <row r="130" spans="3:19" ht="15" thickTop="1" thickBot="1" x14ac:dyDescent="0.2">
      <c r="C130" s="70"/>
      <c r="D130" s="65" t="s">
        <v>39</v>
      </c>
      <c r="E130" s="65" t="s">
        <v>39</v>
      </c>
      <c r="F130" s="65" t="s">
        <v>39</v>
      </c>
      <c r="G130" s="65" t="s">
        <v>39</v>
      </c>
      <c r="H130" s="65" t="s">
        <v>39</v>
      </c>
      <c r="I130" s="65" t="s">
        <v>39</v>
      </c>
      <c r="J130" s="65"/>
      <c r="K130" s="65" t="s">
        <v>32</v>
      </c>
      <c r="L130" s="65" t="s">
        <v>32</v>
      </c>
      <c r="M130" s="65" t="s">
        <v>32</v>
      </c>
      <c r="N130" s="65" t="s">
        <v>32</v>
      </c>
      <c r="O130" s="65" t="s">
        <v>32</v>
      </c>
      <c r="P130" s="65" t="s">
        <v>32</v>
      </c>
      <c r="Q130" s="65" t="s">
        <v>32</v>
      </c>
      <c r="R130" s="66" t="s">
        <v>32</v>
      </c>
      <c r="S130" s="65"/>
    </row>
    <row r="131" spans="3:19" ht="17" thickTop="1" x14ac:dyDescent="0.2">
      <c r="C131" s="24" t="s">
        <v>0</v>
      </c>
      <c r="D131" s="52">
        <f>D7*(('[1]12_13 fleet'!$D377+'[1]12_13 fleet'!$D392)/'Original 2012-13 Data'!$D6)/1000000</f>
        <v>2.1369904443490269</v>
      </c>
      <c r="E131" s="53">
        <f>E7*(('[2]13_14 fleet'!$D379+'[2]13_14 fleet'!$D394)/'Original 2013-14 Data'!$D6)/1000000</f>
        <v>1.9065769815510174</v>
      </c>
      <c r="F131" s="53">
        <f>F7*(('[3]14_15 fleet'!$D379+'[3]14_15 fleet'!$D394)/'Original 2014-15 Data'!$D6)/1000000</f>
        <v>1.8012477605296968</v>
      </c>
      <c r="G131" s="53">
        <f>G7*(('[4]15_16 fleet'!$D379+'[4]15_16 fleet'!$D394)/'Original 2015-16 Data'!$D6)/1000000</f>
        <v>1.9897735475121687</v>
      </c>
      <c r="H131" s="53">
        <f>H7*(('[5]16_17 fleet_v2'!$D379+'[5]16_17 fleet_v2'!$D394)/'Original 2016-17 Data'!$D6)/1000000</f>
        <v>2.2714390165953389</v>
      </c>
      <c r="I131" s="129">
        <f>I7*(('[6]17_18 fleet_v3'!$D429+'[6]17_18 fleet_v3'!$D444)/'Original 2017-18 Data'!$D6)/1000000</f>
        <v>2.4016281465115568</v>
      </c>
      <c r="J131" s="129">
        <f>J7*(('[7]18_19 fleet_v3'!$D429+'[7]18_19 fleet_v3'!$D444)/'Original 2017-18 Data'!$D6)/1000000</f>
        <v>2.3892512761000484</v>
      </c>
      <c r="K131" s="129">
        <f>$J131*(Taxi_Household_Share*('Taxi-Vehicle Share Supporting D'!K116/'Taxi-Vehicle Share Supporting D'!$J116)+Taxi_Tourist_Share*('Taxi-Vehicle Share Supporting D'!K137/'Taxi-Vehicle Share Supporting D'!$J137)+Taxi_Commercial_Share*('Taxi-Vehicle Share Supporting D'!K200/'Taxi-Vehicle Share Supporting D'!$J200))+'Taxi-Vehicle Share Supporting D'!K95*($J49/('Car+SUV'!$J49+$J49))+'Taxi-Vehicle Share Supporting D'!K179</f>
        <v>2.7393890730710413</v>
      </c>
      <c r="L131" s="129">
        <f>$J131*(Taxi_Household_Share*('Taxi-Vehicle Share Supporting D'!L116/'Taxi-Vehicle Share Supporting D'!$J116)+Taxi_Tourist_Share*('Taxi-Vehicle Share Supporting D'!L137/'Taxi-Vehicle Share Supporting D'!$J137)+Taxi_Commercial_Share*('Taxi-Vehicle Share Supporting D'!L200/'Taxi-Vehicle Share Supporting D'!$J200))+'Taxi-Vehicle Share Supporting D'!L95*($J49/('Car+SUV'!$J49+$J49))+'Taxi-Vehicle Share Supporting D'!L179</f>
        <v>19.429285124148855</v>
      </c>
      <c r="M131" s="129">
        <f>$J131*(Taxi_Household_Share*('Taxi-Vehicle Share Supporting D'!M116/'Taxi-Vehicle Share Supporting D'!$J116)+Taxi_Tourist_Share*('Taxi-Vehicle Share Supporting D'!M137/'Taxi-Vehicle Share Supporting D'!$J137)+Taxi_Commercial_Share*('Taxi-Vehicle Share Supporting D'!M200/'Taxi-Vehicle Share Supporting D'!$J200))+'Taxi-Vehicle Share Supporting D'!M95*($J49/('Car+SUV'!$J49+$J49))+'Taxi-Vehicle Share Supporting D'!M179</f>
        <v>36.8507547398291</v>
      </c>
      <c r="N131" s="129">
        <f>$J131*(Taxi_Household_Share*('Taxi-Vehicle Share Supporting D'!N116/'Taxi-Vehicle Share Supporting D'!$J116)+Taxi_Tourist_Share*('Taxi-Vehicle Share Supporting D'!N137/'Taxi-Vehicle Share Supporting D'!$J137)+Taxi_Commercial_Share*('Taxi-Vehicle Share Supporting D'!N200/'Taxi-Vehicle Share Supporting D'!$J200))+'Taxi-Vehicle Share Supporting D'!N95*($J49/('Car+SUV'!$J49+$J49))+'Taxi-Vehicle Share Supporting D'!N179</f>
        <v>54.526545867353995</v>
      </c>
      <c r="O131" s="129">
        <f>$J131*(Taxi_Household_Share*('Taxi-Vehicle Share Supporting D'!O116/'Taxi-Vehicle Share Supporting D'!$J116)+Taxi_Tourist_Share*('Taxi-Vehicle Share Supporting D'!O137/'Taxi-Vehicle Share Supporting D'!$J137)+Taxi_Commercial_Share*('Taxi-Vehicle Share Supporting D'!O200/'Taxi-Vehicle Share Supporting D'!$J200))+'Taxi-Vehicle Share Supporting D'!O95*($J49/('Car+SUV'!$J49+$J49))+'Taxi-Vehicle Share Supporting D'!O179</f>
        <v>72.346454719582169</v>
      </c>
      <c r="P131" s="129">
        <f>$J131*(Taxi_Household_Share*('Taxi-Vehicle Share Supporting D'!P116/'Taxi-Vehicle Share Supporting D'!$J116)+Taxi_Tourist_Share*('Taxi-Vehicle Share Supporting D'!P137/'Taxi-Vehicle Share Supporting D'!$J137)+Taxi_Commercial_Share*('Taxi-Vehicle Share Supporting D'!P200/'Taxi-Vehicle Share Supporting D'!$J200))+'Taxi-Vehicle Share Supporting D'!P95*($J49/('Car+SUV'!$J49+$J49))+'Taxi-Vehicle Share Supporting D'!P179</f>
        <v>90.180473526748543</v>
      </c>
      <c r="Q131" s="129">
        <f>$J131*(Taxi_Household_Share*('Taxi-Vehicle Share Supporting D'!Q116/'Taxi-Vehicle Share Supporting D'!$J116)+Taxi_Tourist_Share*('Taxi-Vehicle Share Supporting D'!Q137/'Taxi-Vehicle Share Supporting D'!$J137)+Taxi_Commercial_Share*('Taxi-Vehicle Share Supporting D'!Q200/'Taxi-Vehicle Share Supporting D'!$J200))+'Taxi-Vehicle Share Supporting D'!Q95*($J49/('Car+SUV'!$J49+$J49))+'Taxi-Vehicle Share Supporting D'!Q179</f>
        <v>107.90984239579772</v>
      </c>
      <c r="R131" s="197">
        <f>$J131*(Taxi_Household_Share*('Taxi-Vehicle Share Supporting D'!R116/'Taxi-Vehicle Share Supporting D'!$J116)+Taxi_Tourist_Share*('Taxi-Vehicle Share Supporting D'!R137/'Taxi-Vehicle Share Supporting D'!$J137)+Taxi_Commercial_Share*('Taxi-Vehicle Share Supporting D'!R200/'Taxi-Vehicle Share Supporting D'!$J200))+'Taxi-Vehicle Share Supporting D'!R95*($J49/('Car+SUV'!$J49+$J49))+'Taxi-Vehicle Share Supporting D'!R179</f>
        <v>125.49982437074766</v>
      </c>
      <c r="S131" s="56"/>
    </row>
    <row r="132" spans="3:19" ht="16" x14ac:dyDescent="0.2">
      <c r="C132" s="24" t="s">
        <v>1</v>
      </c>
      <c r="D132" s="55">
        <f>D8*(('[1]12_13 fleet'!$D378+'[1]12_13 fleet'!$D393)/'Original 2012-13 Data'!$D7)/1000000</f>
        <v>24.207954994419435</v>
      </c>
      <c r="E132" s="56">
        <f>E8*(('[2]13_14 fleet'!$D380+'[2]13_14 fleet'!$D395)/'Original 2013-14 Data'!$D7)/1000000</f>
        <v>22.861305259071852</v>
      </c>
      <c r="F132" s="56">
        <f>F8*(('[3]14_15 fleet'!$D380+'[3]14_15 fleet'!$D395)/'Original 2014-15 Data'!$D7)/1000000</f>
        <v>22.777544786852232</v>
      </c>
      <c r="G132" s="56">
        <f>G8*(('[4]15_16 fleet'!$D380+'[4]15_16 fleet'!$D395)/'Original 2015-16 Data'!$D7)/1000000</f>
        <v>20.876973683471043</v>
      </c>
      <c r="H132" s="56">
        <f>H8*(('[5]16_17 fleet_v2'!$D380+'[5]16_17 fleet_v2'!$D395)/'Original 2016-17 Data'!$D7)/1000000</f>
        <v>22.958100850842346</v>
      </c>
      <c r="I132" s="167">
        <f>I8*(('[6]17_18 fleet_v3'!$D430+'[6]17_18 fleet_v3'!$D445)/'Original 2017-18 Data'!$D7)/1000000</f>
        <v>22.706785273150242</v>
      </c>
      <c r="J132" s="167">
        <f>J8*(('[7]18_19 fleet_v3'!$D430+'[7]18_19 fleet_v3'!$D445)/'Original 2017-18 Data'!$D7)/1000000</f>
        <v>26.240068247414001</v>
      </c>
      <c r="K132" s="167">
        <f>$J132*(Taxi_Household_Share*('Taxi-Vehicle Share Supporting D'!K117/'Taxi-Vehicle Share Supporting D'!$J117)+Taxi_Tourist_Share*('Taxi-Vehicle Share Supporting D'!K138/'Taxi-Vehicle Share Supporting D'!$J138)+Taxi_Commercial_Share*('Taxi-Vehicle Share Supporting D'!K201/'Taxi-Vehicle Share Supporting D'!$J201))+'Taxi-Vehicle Share Supporting D'!K96*($J50/('Car+SUV'!$J50+$J50))+'Taxi-Vehicle Share Supporting D'!K180</f>
        <v>31.207327221943885</v>
      </c>
      <c r="L132" s="167">
        <f>$J132*(Taxi_Household_Share*('Taxi-Vehicle Share Supporting D'!L117/'Taxi-Vehicle Share Supporting D'!$J117)+Taxi_Tourist_Share*('Taxi-Vehicle Share Supporting D'!L138/'Taxi-Vehicle Share Supporting D'!$J138)+Taxi_Commercial_Share*('Taxi-Vehicle Share Supporting D'!L201/'Taxi-Vehicle Share Supporting D'!$J201))+'Taxi-Vehicle Share Supporting D'!L96*($J50/('Car+SUV'!$J50+$J50))+'Taxi-Vehicle Share Supporting D'!L180</f>
        <v>83.616465491241001</v>
      </c>
      <c r="M132" s="167">
        <f>$J132*(Taxi_Household_Share*('Taxi-Vehicle Share Supporting D'!M117/'Taxi-Vehicle Share Supporting D'!$J117)+Taxi_Tourist_Share*('Taxi-Vehicle Share Supporting D'!M138/'Taxi-Vehicle Share Supporting D'!$J138)+Taxi_Commercial_Share*('Taxi-Vehicle Share Supporting D'!M201/'Taxi-Vehicle Share Supporting D'!$J201))+'Taxi-Vehicle Share Supporting D'!M96*($J50/('Car+SUV'!$J50+$J50))+'Taxi-Vehicle Share Supporting D'!M180</f>
        <v>141.36556837925278</v>
      </c>
      <c r="N132" s="167">
        <f>$J132*(Taxi_Household_Share*('Taxi-Vehicle Share Supporting D'!N117/'Taxi-Vehicle Share Supporting D'!$J117)+Taxi_Tourist_Share*('Taxi-Vehicle Share Supporting D'!N138/'Taxi-Vehicle Share Supporting D'!$J138)+Taxi_Commercial_Share*('Taxi-Vehicle Share Supporting D'!N201/'Taxi-Vehicle Share Supporting D'!$J201))+'Taxi-Vehicle Share Supporting D'!N96*($J50/('Car+SUV'!$J50+$J50))+'Taxi-Vehicle Share Supporting D'!N180</f>
        <v>203.49933330685059</v>
      </c>
      <c r="O132" s="167">
        <f>$J132*(Taxi_Household_Share*('Taxi-Vehicle Share Supporting D'!O117/'Taxi-Vehicle Share Supporting D'!$J117)+Taxi_Tourist_Share*('Taxi-Vehicle Share Supporting D'!O138/'Taxi-Vehicle Share Supporting D'!$J138)+Taxi_Commercial_Share*('Taxi-Vehicle Share Supporting D'!O201/'Taxi-Vehicle Share Supporting D'!$J201))+'Taxi-Vehicle Share Supporting D'!O96*($J50/('Car+SUV'!$J50+$J50))+'Taxi-Vehicle Share Supporting D'!O180</f>
        <v>270.27113242838703</v>
      </c>
      <c r="P132" s="167">
        <f>$J132*(Taxi_Household_Share*('Taxi-Vehicle Share Supporting D'!P117/'Taxi-Vehicle Share Supporting D'!$J117)+Taxi_Tourist_Share*('Taxi-Vehicle Share Supporting D'!P138/'Taxi-Vehicle Share Supporting D'!$J138)+Taxi_Commercial_Share*('Taxi-Vehicle Share Supporting D'!P201/'Taxi-Vehicle Share Supporting D'!$J201))+'Taxi-Vehicle Share Supporting D'!P96*($J50/('Car+SUV'!$J50+$J50))+'Taxi-Vehicle Share Supporting D'!P180</f>
        <v>340.83076633067196</v>
      </c>
      <c r="Q132" s="167">
        <f>$J132*(Taxi_Household_Share*('Taxi-Vehicle Share Supporting D'!Q117/'Taxi-Vehicle Share Supporting D'!$J117)+Taxi_Tourist_Share*('Taxi-Vehicle Share Supporting D'!Q138/'Taxi-Vehicle Share Supporting D'!$J138)+Taxi_Commercial_Share*('Taxi-Vehicle Share Supporting D'!Q201/'Taxi-Vehicle Share Supporting D'!$J201))+'Taxi-Vehicle Share Supporting D'!Q96*($J50/('Car+SUV'!$J50+$J50))+'Taxi-Vehicle Share Supporting D'!Q180</f>
        <v>415.60713359557963</v>
      </c>
      <c r="R132" s="198">
        <f>$J132*(Taxi_Household_Share*('Taxi-Vehicle Share Supporting D'!R117/'Taxi-Vehicle Share Supporting D'!$J117)+Taxi_Tourist_Share*('Taxi-Vehicle Share Supporting D'!R138/'Taxi-Vehicle Share Supporting D'!$J138)+Taxi_Commercial_Share*('Taxi-Vehicle Share Supporting D'!R201/'Taxi-Vehicle Share Supporting D'!$J201))+'Taxi-Vehicle Share Supporting D'!R96*($J50/('Car+SUV'!$J50+$J50))+'Taxi-Vehicle Share Supporting D'!R180</f>
        <v>494.57049540566032</v>
      </c>
      <c r="S132" s="56"/>
    </row>
    <row r="133" spans="3:19" ht="16" x14ac:dyDescent="0.2">
      <c r="C133" s="24" t="s">
        <v>2</v>
      </c>
      <c r="D133" s="55">
        <f>D9*(('[1]12_13 fleet'!$D379+'[1]12_13 fleet'!$D394)/'Original 2012-13 Data'!$D8)/1000000</f>
        <v>6.7015468266807012</v>
      </c>
      <c r="E133" s="56">
        <f>E9*(('[2]13_14 fleet'!$D381+'[2]13_14 fleet'!$D396)/'Original 2013-14 Data'!$D8)/1000000</f>
        <v>6.8449134925873842</v>
      </c>
      <c r="F133" s="56">
        <f>F9*(('[3]14_15 fleet'!$D381+'[3]14_15 fleet'!$D396)/'Original 2014-15 Data'!$D8)/1000000</f>
        <v>7.0089014511039371</v>
      </c>
      <c r="G133" s="56">
        <f>G9*(('[4]15_16 fleet'!$D381+'[4]15_16 fleet'!$D396)/'Original 2015-16 Data'!$D8)/1000000</f>
        <v>7.2110971783858417</v>
      </c>
      <c r="H133" s="56">
        <f>H9*(('[5]16_17 fleet_v2'!$D381+'[5]16_17 fleet_v2'!$D396)/'Original 2016-17 Data'!$D8)/1000000</f>
        <v>8.6694360654512526</v>
      </c>
      <c r="I133" s="167">
        <f>I9*(('[6]17_18 fleet_v3'!$D431+'[6]17_18 fleet_v3'!$D446)/'Original 2017-18 Data'!$D8)/1000000</f>
        <v>8.1224296600448458</v>
      </c>
      <c r="J133" s="167">
        <f>J9*(('[7]18_19 fleet_v3'!$D431+'[7]18_19 fleet_v3'!$D446)/'Original 2017-18 Data'!$D8)/1000000</f>
        <v>8.5732206421453494</v>
      </c>
      <c r="K133" s="167">
        <f>$J133*(Taxi_Household_Share*('Taxi-Vehicle Share Supporting D'!K118/'Taxi-Vehicle Share Supporting D'!$J118)+Taxi_Tourist_Share*('Taxi-Vehicle Share Supporting D'!K139/'Taxi-Vehicle Share Supporting D'!$J139)+Taxi_Commercial_Share*('Taxi-Vehicle Share Supporting D'!K202/'Taxi-Vehicle Share Supporting D'!$J202))+'Taxi-Vehicle Share Supporting D'!K97*($J51/('Car+SUV'!$J51+$J51))+'Taxi-Vehicle Share Supporting D'!K181</f>
        <v>9.9164209757925583</v>
      </c>
      <c r="L133" s="167">
        <f>$J133*(Taxi_Household_Share*('Taxi-Vehicle Share Supporting D'!L118/'Taxi-Vehicle Share Supporting D'!$J118)+Taxi_Tourist_Share*('Taxi-Vehicle Share Supporting D'!L139/'Taxi-Vehicle Share Supporting D'!$J139)+Taxi_Commercial_Share*('Taxi-Vehicle Share Supporting D'!L202/'Taxi-Vehicle Share Supporting D'!$J202))+'Taxi-Vehicle Share Supporting D'!L97*($J51/('Car+SUV'!$J51+$J51))+'Taxi-Vehicle Share Supporting D'!L181</f>
        <v>51.340782329898154</v>
      </c>
      <c r="M133" s="167">
        <f>$J133*(Taxi_Household_Share*('Taxi-Vehicle Share Supporting D'!M118/'Taxi-Vehicle Share Supporting D'!$J118)+Taxi_Tourist_Share*('Taxi-Vehicle Share Supporting D'!M139/'Taxi-Vehicle Share Supporting D'!$J139)+Taxi_Commercial_Share*('Taxi-Vehicle Share Supporting D'!M202/'Taxi-Vehicle Share Supporting D'!$J202))+'Taxi-Vehicle Share Supporting D'!M97*($J51/('Car+SUV'!$J51+$J51))+'Taxi-Vehicle Share Supporting D'!M181</f>
        <v>95.747242986216605</v>
      </c>
      <c r="N133" s="167">
        <f>$J133*(Taxi_Household_Share*('Taxi-Vehicle Share Supporting D'!N118/'Taxi-Vehicle Share Supporting D'!$J118)+Taxi_Tourist_Share*('Taxi-Vehicle Share Supporting D'!N139/'Taxi-Vehicle Share Supporting D'!$J139)+Taxi_Commercial_Share*('Taxi-Vehicle Share Supporting D'!N202/'Taxi-Vehicle Share Supporting D'!$J202))+'Taxi-Vehicle Share Supporting D'!N97*($J51/('Car+SUV'!$J51+$J51))+'Taxi-Vehicle Share Supporting D'!N181</f>
        <v>142.14983690204684</v>
      </c>
      <c r="O133" s="167">
        <f>$J133*(Taxi_Household_Share*('Taxi-Vehicle Share Supporting D'!O118/'Taxi-Vehicle Share Supporting D'!$J118)+Taxi_Tourist_Share*('Taxi-Vehicle Share Supporting D'!O139/'Taxi-Vehicle Share Supporting D'!$J139)+Taxi_Commercial_Share*('Taxi-Vehicle Share Supporting D'!O202/'Taxi-Vehicle Share Supporting D'!$J202))+'Taxi-Vehicle Share Supporting D'!O97*($J51/('Car+SUV'!$J51+$J51))+'Taxi-Vehicle Share Supporting D'!O181</f>
        <v>190.53207723167719</v>
      </c>
      <c r="P133" s="167">
        <f>$J133*(Taxi_Household_Share*('Taxi-Vehicle Share Supporting D'!P118/'Taxi-Vehicle Share Supporting D'!$J118)+Taxi_Tourist_Share*('Taxi-Vehicle Share Supporting D'!P139/'Taxi-Vehicle Share Supporting D'!$J139)+Taxi_Commercial_Share*('Taxi-Vehicle Share Supporting D'!P202/'Taxi-Vehicle Share Supporting D'!$J202))+'Taxi-Vehicle Share Supporting D'!P97*($J51/('Car+SUV'!$J51+$J51))+'Taxi-Vehicle Share Supporting D'!P181</f>
        <v>240.41440545667393</v>
      </c>
      <c r="Q133" s="167">
        <f>$J133*(Taxi_Household_Share*('Taxi-Vehicle Share Supporting D'!Q118/'Taxi-Vehicle Share Supporting D'!$J118)+Taxi_Tourist_Share*('Taxi-Vehicle Share Supporting D'!Q139/'Taxi-Vehicle Share Supporting D'!$J139)+Taxi_Commercial_Share*('Taxi-Vehicle Share Supporting D'!Q202/'Taxi-Vehicle Share Supporting D'!$J202))+'Taxi-Vehicle Share Supporting D'!Q97*($J51/('Car+SUV'!$J51+$J51))+'Taxi-Vehicle Share Supporting D'!Q181</f>
        <v>291.60696236171282</v>
      </c>
      <c r="R133" s="198">
        <f>$J133*(Taxi_Household_Share*('Taxi-Vehicle Share Supporting D'!R118/'Taxi-Vehicle Share Supporting D'!$J118)+Taxi_Tourist_Share*('Taxi-Vehicle Share Supporting D'!R139/'Taxi-Vehicle Share Supporting D'!$J139)+Taxi_Commercial_Share*('Taxi-Vehicle Share Supporting D'!R202/'Taxi-Vehicle Share Supporting D'!$J202))+'Taxi-Vehicle Share Supporting D'!R97*($J51/('Car+SUV'!$J51+$J51))+'Taxi-Vehicle Share Supporting D'!R181</f>
        <v>344.03925728733566</v>
      </c>
      <c r="S133" s="56"/>
    </row>
    <row r="134" spans="3:19" ht="16" x14ac:dyDescent="0.2">
      <c r="C134" s="24" t="s">
        <v>3</v>
      </c>
      <c r="D134" s="55">
        <f>D10*(('[1]12_13 fleet'!$D380+'[1]12_13 fleet'!$D395)/'Original 2012-13 Data'!$D9)/1000000</f>
        <v>4.5656498431876278</v>
      </c>
      <c r="E134" s="56">
        <f>E10*(('[2]13_14 fleet'!$D382+'[2]13_14 fleet'!$D397)/'Original 2013-14 Data'!$D9)/1000000</f>
        <v>5.1908971239750379</v>
      </c>
      <c r="F134" s="56">
        <f>F10*(('[3]14_15 fleet'!$D382+'[3]14_15 fleet'!$D397)/'Original 2014-15 Data'!$D9)/1000000</f>
        <v>4.7054084877031324</v>
      </c>
      <c r="G134" s="56">
        <f>G10*(('[4]15_16 fleet'!$D382+'[4]15_16 fleet'!$D397)/'Original 2015-16 Data'!$D9)/1000000</f>
        <v>4.4467812516334702</v>
      </c>
      <c r="H134" s="56">
        <f>H10*(('[5]16_17 fleet_v2'!$D382+'[5]16_17 fleet_v2'!$D397)/'Original 2016-17 Data'!$D9)/1000000</f>
        <v>5.6797428102827707</v>
      </c>
      <c r="I134" s="167">
        <f>I10*(('[6]17_18 fleet_v3'!$D432+'[6]17_18 fleet_v3'!$D447)/'Original 2017-18 Data'!$D9)/1000000</f>
        <v>5.4322233736035059</v>
      </c>
      <c r="J134" s="167">
        <f>J10*(('[7]18_19 fleet_v3'!$D432+'[7]18_19 fleet_v3'!$D447)/'Original 2017-18 Data'!$D9)/1000000</f>
        <v>6.3769371730938067</v>
      </c>
      <c r="K134" s="167">
        <f>$J134*(Taxi_Household_Share*('Taxi-Vehicle Share Supporting D'!K119/'Taxi-Vehicle Share Supporting D'!$J119)+Taxi_Tourist_Share*('Taxi-Vehicle Share Supporting D'!K140/'Taxi-Vehicle Share Supporting D'!$J140)+Taxi_Commercial_Share*('Taxi-Vehicle Share Supporting D'!K203/'Taxi-Vehicle Share Supporting D'!$J203))+'Taxi-Vehicle Share Supporting D'!K98*($J52/('Car+SUV'!$J52+$J52))+'Taxi-Vehicle Share Supporting D'!K182</f>
        <v>7.3532159837933699</v>
      </c>
      <c r="L134" s="167">
        <f>$J134*(Taxi_Household_Share*('Taxi-Vehicle Share Supporting D'!L119/'Taxi-Vehicle Share Supporting D'!$J119)+Taxi_Tourist_Share*('Taxi-Vehicle Share Supporting D'!L140/'Taxi-Vehicle Share Supporting D'!$J140)+Taxi_Commercial_Share*('Taxi-Vehicle Share Supporting D'!L203/'Taxi-Vehicle Share Supporting D'!$J203))+'Taxi-Vehicle Share Supporting D'!L98*($J52/('Car+SUV'!$J52+$J52))+'Taxi-Vehicle Share Supporting D'!L182</f>
        <v>29.676636132829728</v>
      </c>
      <c r="M134" s="167">
        <f>$J134*(Taxi_Household_Share*('Taxi-Vehicle Share Supporting D'!M119/'Taxi-Vehicle Share Supporting D'!$J119)+Taxi_Tourist_Share*('Taxi-Vehicle Share Supporting D'!M140/'Taxi-Vehicle Share Supporting D'!$J140)+Taxi_Commercial_Share*('Taxi-Vehicle Share Supporting D'!M203/'Taxi-Vehicle Share Supporting D'!$J203))+'Taxi-Vehicle Share Supporting D'!M98*($J52/('Car+SUV'!$J52+$J52))+'Taxi-Vehicle Share Supporting D'!M182</f>
        <v>53.278025485795645</v>
      </c>
      <c r="N134" s="167">
        <f>$J134*(Taxi_Household_Share*('Taxi-Vehicle Share Supporting D'!N119/'Taxi-Vehicle Share Supporting D'!$J119)+Taxi_Tourist_Share*('Taxi-Vehicle Share Supporting D'!N140/'Taxi-Vehicle Share Supporting D'!$J140)+Taxi_Commercial_Share*('Taxi-Vehicle Share Supporting D'!N203/'Taxi-Vehicle Share Supporting D'!$J203))+'Taxi-Vehicle Share Supporting D'!N98*($J52/('Car+SUV'!$J52+$J52))+'Taxi-Vehicle Share Supporting D'!N182</f>
        <v>77.605201763743793</v>
      </c>
      <c r="O134" s="167">
        <f>$J134*(Taxi_Household_Share*('Taxi-Vehicle Share Supporting D'!O119/'Taxi-Vehicle Share Supporting D'!$J119)+Taxi_Tourist_Share*('Taxi-Vehicle Share Supporting D'!O140/'Taxi-Vehicle Share Supporting D'!$J140)+Taxi_Commercial_Share*('Taxi-Vehicle Share Supporting D'!O203/'Taxi-Vehicle Share Supporting D'!$J203))+'Taxi-Vehicle Share Supporting D'!O98*($J52/('Car+SUV'!$J52+$J52))+'Taxi-Vehicle Share Supporting D'!O182</f>
        <v>102.67623341200537</v>
      </c>
      <c r="P134" s="167">
        <f>$J134*(Taxi_Household_Share*('Taxi-Vehicle Share Supporting D'!P119/'Taxi-Vehicle Share Supporting D'!$J119)+Taxi_Tourist_Share*('Taxi-Vehicle Share Supporting D'!P140/'Taxi-Vehicle Share Supporting D'!$J140)+Taxi_Commercial_Share*('Taxi-Vehicle Share Supporting D'!P203/'Taxi-Vehicle Share Supporting D'!$J203))+'Taxi-Vehicle Share Supporting D'!P98*($J52/('Car+SUV'!$J52+$J52))+'Taxi-Vehicle Share Supporting D'!P182</f>
        <v>128.15052236250176</v>
      </c>
      <c r="Q134" s="167">
        <f>$J134*(Taxi_Household_Share*('Taxi-Vehicle Share Supporting D'!Q119/'Taxi-Vehicle Share Supporting D'!$J119)+Taxi_Tourist_Share*('Taxi-Vehicle Share Supporting D'!Q140/'Taxi-Vehicle Share Supporting D'!$J140)+Taxi_Commercial_Share*('Taxi-Vehicle Share Supporting D'!Q203/'Taxi-Vehicle Share Supporting D'!$J203))+'Taxi-Vehicle Share Supporting D'!Q98*($J52/('Car+SUV'!$J52+$J52))+'Taxi-Vehicle Share Supporting D'!Q182</f>
        <v>153.98989685103865</v>
      </c>
      <c r="R134" s="198">
        <f>$J134*(Taxi_Household_Share*('Taxi-Vehicle Share Supporting D'!R119/'Taxi-Vehicle Share Supporting D'!$J119)+Taxi_Tourist_Share*('Taxi-Vehicle Share Supporting D'!R140/'Taxi-Vehicle Share Supporting D'!$J140)+Taxi_Commercial_Share*('Taxi-Vehicle Share Supporting D'!R203/'Taxi-Vehicle Share Supporting D'!$J203))+'Taxi-Vehicle Share Supporting D'!R98*($J52/('Car+SUV'!$J52+$J52))+'Taxi-Vehicle Share Supporting D'!R182</f>
        <v>180.15451323476577</v>
      </c>
      <c r="S134" s="56"/>
    </row>
    <row r="135" spans="3:19" ht="16" x14ac:dyDescent="0.2">
      <c r="C135" s="24" t="s">
        <v>4</v>
      </c>
      <c r="D135" s="55">
        <f>D11*(('[1]12_13 fleet'!$D381+'[1]12_13 fleet'!$D396)/'Original 2012-13 Data'!$D10)/1000000</f>
        <v>0.46643296750043733</v>
      </c>
      <c r="E135" s="56">
        <f>E11*(('[2]13_14 fleet'!$D383+'[2]13_14 fleet'!$D398)/'Original 2013-14 Data'!$D10)/1000000</f>
        <v>0.48574461475523228</v>
      </c>
      <c r="F135" s="56">
        <f>F11*(('[3]14_15 fleet'!$D383+'[3]14_15 fleet'!$D398)/'Original 2014-15 Data'!$D10)/1000000</f>
        <v>0.60865303204104837</v>
      </c>
      <c r="G135" s="56">
        <f>G11*(('[4]15_16 fleet'!$D383+'[4]15_16 fleet'!$D398)/'Original 2015-16 Data'!$D10)/1000000</f>
        <v>0.64895256898076514</v>
      </c>
      <c r="H135" s="56">
        <f>H11*(('[5]16_17 fleet_v2'!$D383+'[5]16_17 fleet_v2'!$D398)/'Original 2016-17 Data'!$D10)/1000000</f>
        <v>0.6094854216193395</v>
      </c>
      <c r="I135" s="167">
        <f>I11*(('[6]17_18 fleet_v3'!$D433+'[6]17_18 fleet_v3'!$D448)/'Original 2017-18 Data'!$D10)/1000000</f>
        <v>0.47804102982751895</v>
      </c>
      <c r="J135" s="167">
        <f>J11*(('[7]18_19 fleet_v3'!$D433+'[7]18_19 fleet_v3'!$D448)/'Original 2017-18 Data'!$D10)/1000000</f>
        <v>0.5464272936995388</v>
      </c>
      <c r="K135" s="167">
        <f>$J135*(Taxi_Household_Share*('Taxi-Vehicle Share Supporting D'!K120/'Taxi-Vehicle Share Supporting D'!$J120)+Taxi_Tourist_Share*('Taxi-Vehicle Share Supporting D'!K141/'Taxi-Vehicle Share Supporting D'!$J141)+Taxi_Commercial_Share*('Taxi-Vehicle Share Supporting D'!K204/'Taxi-Vehicle Share Supporting D'!$J204))+'Taxi-Vehicle Share Supporting D'!K99*($J53/('Car+SUV'!$J53+$J53))+'Taxi-Vehicle Share Supporting D'!K183</f>
        <v>0.61771091286619706</v>
      </c>
      <c r="L135" s="167">
        <f>$J135*(Taxi_Household_Share*('Taxi-Vehicle Share Supporting D'!L120/'Taxi-Vehicle Share Supporting D'!$J120)+Taxi_Tourist_Share*('Taxi-Vehicle Share Supporting D'!L141/'Taxi-Vehicle Share Supporting D'!$J141)+Taxi_Commercial_Share*('Taxi-Vehicle Share Supporting D'!L204/'Taxi-Vehicle Share Supporting D'!$J204))+'Taxi-Vehicle Share Supporting D'!L99*($J53/('Car+SUV'!$J53+$J53))+'Taxi-Vehicle Share Supporting D'!L183</f>
        <v>4.7565763965748129</v>
      </c>
      <c r="M135" s="167">
        <f>$J135*(Taxi_Household_Share*('Taxi-Vehicle Share Supporting D'!M120/'Taxi-Vehicle Share Supporting D'!$J120)+Taxi_Tourist_Share*('Taxi-Vehicle Share Supporting D'!M141/'Taxi-Vehicle Share Supporting D'!$J141)+Taxi_Commercial_Share*('Taxi-Vehicle Share Supporting D'!M204/'Taxi-Vehicle Share Supporting D'!$J204))+'Taxi-Vehicle Share Supporting D'!M99*($J53/('Car+SUV'!$J53+$J53))+'Taxi-Vehicle Share Supporting D'!M183</f>
        <v>8.9588638034446753</v>
      </c>
      <c r="N135" s="167">
        <f>$J135*(Taxi_Household_Share*('Taxi-Vehicle Share Supporting D'!N120/'Taxi-Vehicle Share Supporting D'!$J120)+Taxi_Tourist_Share*('Taxi-Vehicle Share Supporting D'!N141/'Taxi-Vehicle Share Supporting D'!$J141)+Taxi_Commercial_Share*('Taxi-Vehicle Share Supporting D'!N204/'Taxi-Vehicle Share Supporting D'!$J204))+'Taxi-Vehicle Share Supporting D'!N99*($J53/('Car+SUV'!$J53+$J53))+'Taxi-Vehicle Share Supporting D'!N183</f>
        <v>13.090728782936015</v>
      </c>
      <c r="O135" s="167">
        <f>$J135*(Taxi_Household_Share*('Taxi-Vehicle Share Supporting D'!O120/'Taxi-Vehicle Share Supporting D'!$J120)+Taxi_Tourist_Share*('Taxi-Vehicle Share Supporting D'!O141/'Taxi-Vehicle Share Supporting D'!$J141)+Taxi_Commercial_Share*('Taxi-Vehicle Share Supporting D'!O204/'Taxi-Vehicle Share Supporting D'!$J204))+'Taxi-Vehicle Share Supporting D'!O99*($J53/('Car+SUV'!$J53+$J53))+'Taxi-Vehicle Share Supporting D'!O183</f>
        <v>17.150608796678252</v>
      </c>
      <c r="P135" s="167">
        <f>$J135*(Taxi_Household_Share*('Taxi-Vehicle Share Supporting D'!P120/'Taxi-Vehicle Share Supporting D'!$J120)+Taxi_Tourist_Share*('Taxi-Vehicle Share Supporting D'!P141/'Taxi-Vehicle Share Supporting D'!$J141)+Taxi_Commercial_Share*('Taxi-Vehicle Share Supporting D'!P204/'Taxi-Vehicle Share Supporting D'!$J204))+'Taxi-Vehicle Share Supporting D'!P99*($J53/('Car+SUV'!$J53+$J53))+'Taxi-Vehicle Share Supporting D'!P183</f>
        <v>21.100326999818481</v>
      </c>
      <c r="Q135" s="167">
        <f>$J135*(Taxi_Household_Share*('Taxi-Vehicle Share Supporting D'!Q120/'Taxi-Vehicle Share Supporting D'!$J120)+Taxi_Tourist_Share*('Taxi-Vehicle Share Supporting D'!Q141/'Taxi-Vehicle Share Supporting D'!$J141)+Taxi_Commercial_Share*('Taxi-Vehicle Share Supporting D'!Q204/'Taxi-Vehicle Share Supporting D'!$J204))+'Taxi-Vehicle Share Supporting D'!Q99*($J53/('Car+SUV'!$J53+$J53))+'Taxi-Vehicle Share Supporting D'!Q183</f>
        <v>24.913272887592999</v>
      </c>
      <c r="R135" s="198">
        <f>$J135*(Taxi_Household_Share*('Taxi-Vehicle Share Supporting D'!R120/'Taxi-Vehicle Share Supporting D'!$J120)+Taxi_Tourist_Share*('Taxi-Vehicle Share Supporting D'!R141/'Taxi-Vehicle Share Supporting D'!$J141)+Taxi_Commercial_Share*('Taxi-Vehicle Share Supporting D'!R204/'Taxi-Vehicle Share Supporting D'!$J204))+'Taxi-Vehicle Share Supporting D'!R99*($J53/('Car+SUV'!$J53+$J53))+'Taxi-Vehicle Share Supporting D'!R183</f>
        <v>28.585367689548978</v>
      </c>
      <c r="S135" s="56"/>
    </row>
    <row r="136" spans="3:19" ht="16" x14ac:dyDescent="0.2">
      <c r="C136" s="24" t="s">
        <v>5</v>
      </c>
      <c r="D136" s="55">
        <f>D12*(('[1]12_13 fleet'!$D382+'[1]12_13 fleet'!$D397)/'Original 2012-13 Data'!$D11)/1000000</f>
        <v>2.4511503593819159</v>
      </c>
      <c r="E136" s="56">
        <f>E12*(('[2]13_14 fleet'!$D384+'[2]13_14 fleet'!$D399)/'Original 2013-14 Data'!$D11)/1000000</f>
        <v>2.2718274547835779</v>
      </c>
      <c r="F136" s="56">
        <f>F12*(('[3]14_15 fleet'!$D384+'[3]14_15 fleet'!$D399)/'Original 2014-15 Data'!$D11)/1000000</f>
        <v>2.197500164416577</v>
      </c>
      <c r="G136" s="56">
        <f>G12*(('[4]15_16 fleet'!$D384+'[4]15_16 fleet'!$D399)/'Original 2015-16 Data'!$D11)/1000000</f>
        <v>2.3410573730877977</v>
      </c>
      <c r="H136" s="56">
        <f>H12*(('[5]16_17 fleet_v2'!$D384+'[5]16_17 fleet_v2'!$D399)/'Original 2016-17 Data'!$D11)/1000000</f>
        <v>2.197966981800124</v>
      </c>
      <c r="I136" s="167">
        <f>I12*(('[6]17_18 fleet_v3'!$D434+'[6]17_18 fleet_v3'!$D449)/'Original 2017-18 Data'!$D11)/1000000</f>
        <v>2.5501888214914947</v>
      </c>
      <c r="J136" s="167">
        <f>J12*(('[7]18_19 fleet_v3'!$D434+'[7]18_19 fleet_v3'!$D449)/'Original 2017-18 Data'!$D11)/1000000</f>
        <v>2.6674928002289775</v>
      </c>
      <c r="K136" s="167">
        <f>$J136*(Taxi_Household_Share*('Taxi-Vehicle Share Supporting D'!K121/'Taxi-Vehicle Share Supporting D'!$J121)+Taxi_Tourist_Share*('Taxi-Vehicle Share Supporting D'!K142/'Taxi-Vehicle Share Supporting D'!$J142)+Taxi_Commercial_Share*('Taxi-Vehicle Share Supporting D'!K205/'Taxi-Vehicle Share Supporting D'!$J205))+'Taxi-Vehicle Share Supporting D'!K100*($J54/('Car+SUV'!$J54+$J54))+'Taxi-Vehicle Share Supporting D'!K184</f>
        <v>3.015624324946049</v>
      </c>
      <c r="L136" s="167">
        <f>$J136*(Taxi_Household_Share*('Taxi-Vehicle Share Supporting D'!L121/'Taxi-Vehicle Share Supporting D'!$J121)+Taxi_Tourist_Share*('Taxi-Vehicle Share Supporting D'!L142/'Taxi-Vehicle Share Supporting D'!$J142)+Taxi_Commercial_Share*('Taxi-Vehicle Share Supporting D'!L205/'Taxi-Vehicle Share Supporting D'!$J205))+'Taxi-Vehicle Share Supporting D'!L100*($J54/('Car+SUV'!$J54+$J54))+'Taxi-Vehicle Share Supporting D'!L184</f>
        <v>14.565874127022258</v>
      </c>
      <c r="M136" s="167">
        <f>$J136*(Taxi_Household_Share*('Taxi-Vehicle Share Supporting D'!M121/'Taxi-Vehicle Share Supporting D'!$J121)+Taxi_Tourist_Share*('Taxi-Vehicle Share Supporting D'!M142/'Taxi-Vehicle Share Supporting D'!$J142)+Taxi_Commercial_Share*('Taxi-Vehicle Share Supporting D'!M205/'Taxi-Vehicle Share Supporting D'!$J205))+'Taxi-Vehicle Share Supporting D'!M100*($J54/('Car+SUV'!$J54+$J54))+'Taxi-Vehicle Share Supporting D'!M184</f>
        <v>26.30687878840526</v>
      </c>
      <c r="N136" s="167">
        <f>$J136*(Taxi_Household_Share*('Taxi-Vehicle Share Supporting D'!N121/'Taxi-Vehicle Share Supporting D'!$J121)+Taxi_Tourist_Share*('Taxi-Vehicle Share Supporting D'!N142/'Taxi-Vehicle Share Supporting D'!$J142)+Taxi_Commercial_Share*('Taxi-Vehicle Share Supporting D'!N205/'Taxi-Vehicle Share Supporting D'!$J205))+'Taxi-Vehicle Share Supporting D'!N100*($J54/('Car+SUV'!$J54+$J54))+'Taxi-Vehicle Share Supporting D'!N184</f>
        <v>37.942878328939109</v>
      </c>
      <c r="O136" s="167">
        <f>$J136*(Taxi_Household_Share*('Taxi-Vehicle Share Supporting D'!O121/'Taxi-Vehicle Share Supporting D'!$J121)+Taxi_Tourist_Share*('Taxi-Vehicle Share Supporting D'!O142/'Taxi-Vehicle Share Supporting D'!$J142)+Taxi_Commercial_Share*('Taxi-Vehicle Share Supporting D'!O205/'Taxi-Vehicle Share Supporting D'!$J205))+'Taxi-Vehicle Share Supporting D'!O100*($J54/('Car+SUV'!$J54+$J54))+'Taxi-Vehicle Share Supporting D'!O184</f>
        <v>49.434211495980236</v>
      </c>
      <c r="P136" s="167">
        <f>$J136*(Taxi_Household_Share*('Taxi-Vehicle Share Supporting D'!P121/'Taxi-Vehicle Share Supporting D'!$J121)+Taxi_Tourist_Share*('Taxi-Vehicle Share Supporting D'!P142/'Taxi-Vehicle Share Supporting D'!$J142)+Taxi_Commercial_Share*('Taxi-Vehicle Share Supporting D'!P205/'Taxi-Vehicle Share Supporting D'!$J205))+'Taxi-Vehicle Share Supporting D'!P100*($J54/('Car+SUV'!$J54+$J54))+'Taxi-Vehicle Share Supporting D'!P184</f>
        <v>60.65445193006385</v>
      </c>
      <c r="Q136" s="167">
        <f>$J136*(Taxi_Household_Share*('Taxi-Vehicle Share Supporting D'!Q121/'Taxi-Vehicle Share Supporting D'!$J121)+Taxi_Tourist_Share*('Taxi-Vehicle Share Supporting D'!Q142/'Taxi-Vehicle Share Supporting D'!$J142)+Taxi_Commercial_Share*('Taxi-Vehicle Share Supporting D'!Q205/'Taxi-Vehicle Share Supporting D'!$J205))+'Taxi-Vehicle Share Supporting D'!Q100*($J54/('Car+SUV'!$J54+$J54))+'Taxi-Vehicle Share Supporting D'!Q184</f>
        <v>71.563844451490723</v>
      </c>
      <c r="R136" s="198">
        <f>$J136*(Taxi_Household_Share*('Taxi-Vehicle Share Supporting D'!R121/'Taxi-Vehicle Share Supporting D'!$J121)+Taxi_Tourist_Share*('Taxi-Vehicle Share Supporting D'!R142/'Taxi-Vehicle Share Supporting D'!$J142)+Taxi_Commercial_Share*('Taxi-Vehicle Share Supporting D'!R205/'Taxi-Vehicle Share Supporting D'!$J205))+'Taxi-Vehicle Share Supporting D'!R100*($J54/('Car+SUV'!$J54+$J54))+'Taxi-Vehicle Share Supporting D'!R184</f>
        <v>82.151166368744214</v>
      </c>
      <c r="S136" s="56"/>
    </row>
    <row r="137" spans="3:19" ht="16" x14ac:dyDescent="0.2">
      <c r="C137" s="24" t="s">
        <v>6</v>
      </c>
      <c r="D137" s="55">
        <f>D13*(('[1]12_13 fleet'!$D383+'[1]12_13 fleet'!$D398)/'Original 2012-13 Data'!$D12)/1000000</f>
        <v>0.68053476523643142</v>
      </c>
      <c r="E137" s="56">
        <f>E13*(('[2]13_14 fleet'!$D385+'[2]13_14 fleet'!$D400)/'Original 2013-14 Data'!$D12)/1000000</f>
        <v>0.80386093039357254</v>
      </c>
      <c r="F137" s="56">
        <f>F13*(('[3]14_15 fleet'!$D385+'[3]14_15 fleet'!$D400)/'Original 2014-15 Data'!$D12)/1000000</f>
        <v>0.84075801682457829</v>
      </c>
      <c r="G137" s="56">
        <f>G13*(('[4]15_16 fleet'!$D385+'[4]15_16 fleet'!$D400)/'Original 2015-16 Data'!$D12)/1000000</f>
        <v>0.8546097466833229</v>
      </c>
      <c r="H137" s="56">
        <f>H13*(('[5]16_17 fleet_v2'!$D385+'[5]16_17 fleet_v2'!$D400)/'Original 2016-17 Data'!$D12)/1000000</f>
        <v>0.95416697611616907</v>
      </c>
      <c r="I137" s="167">
        <f>I13*(('[6]17_18 fleet_v3'!$D435+'[6]17_18 fleet_v3'!$D450)/'Original 2017-18 Data'!$D12)/1000000</f>
        <v>0.94469756651081149</v>
      </c>
      <c r="J137" s="167">
        <f>J13*(('[7]18_19 fleet_v3'!$D435+'[7]18_19 fleet_v3'!$D450)/'Original 2017-18 Data'!$D12)/1000000</f>
        <v>0.99872704126093381</v>
      </c>
      <c r="K137" s="167">
        <f>$J137*(Taxi_Household_Share*('Taxi-Vehicle Share Supporting D'!K122/'Taxi-Vehicle Share Supporting D'!$J122)+Taxi_Tourist_Share*('Taxi-Vehicle Share Supporting D'!K143/'Taxi-Vehicle Share Supporting D'!$J143)+Taxi_Commercial_Share*('Taxi-Vehicle Share Supporting D'!K206/'Taxi-Vehicle Share Supporting D'!$J206))+'Taxi-Vehicle Share Supporting D'!K101*($J55/('Car+SUV'!$J55+$J55))+'Taxi-Vehicle Share Supporting D'!K185</f>
        <v>1.1362905543039412</v>
      </c>
      <c r="L137" s="167">
        <f>$J137*(Taxi_Household_Share*('Taxi-Vehicle Share Supporting D'!L122/'Taxi-Vehicle Share Supporting D'!$J122)+Taxi_Tourist_Share*('Taxi-Vehicle Share Supporting D'!L143/'Taxi-Vehicle Share Supporting D'!$J143)+Taxi_Commercial_Share*('Taxi-Vehicle Share Supporting D'!L206/'Taxi-Vehicle Share Supporting D'!$J206))+'Taxi-Vehicle Share Supporting D'!L101*($J55/('Car+SUV'!$J55+$J55))+'Taxi-Vehicle Share Supporting D'!L185</f>
        <v>9.2934506213975965</v>
      </c>
      <c r="M137" s="167">
        <f>$J137*(Taxi_Household_Share*('Taxi-Vehicle Share Supporting D'!M122/'Taxi-Vehicle Share Supporting D'!$J122)+Taxi_Tourist_Share*('Taxi-Vehicle Share Supporting D'!M143/'Taxi-Vehicle Share Supporting D'!$J143)+Taxi_Commercial_Share*('Taxi-Vehicle Share Supporting D'!M206/'Taxi-Vehicle Share Supporting D'!$J206))+'Taxi-Vehicle Share Supporting D'!M101*($J55/('Car+SUV'!$J55+$J55))+'Taxi-Vehicle Share Supporting D'!M185</f>
        <v>17.776032122878885</v>
      </c>
      <c r="N137" s="167">
        <f>$J137*(Taxi_Household_Share*('Taxi-Vehicle Share Supporting D'!N122/'Taxi-Vehicle Share Supporting D'!$J122)+Taxi_Tourist_Share*('Taxi-Vehicle Share Supporting D'!N143/'Taxi-Vehicle Share Supporting D'!$J143)+Taxi_Commercial_Share*('Taxi-Vehicle Share Supporting D'!N206/'Taxi-Vehicle Share Supporting D'!$J206))+'Taxi-Vehicle Share Supporting D'!N101*($J55/('Car+SUV'!$J55+$J55))+'Taxi-Vehicle Share Supporting D'!N185</f>
        <v>26.398731554953393</v>
      </c>
      <c r="O137" s="167">
        <f>$J137*(Taxi_Household_Share*('Taxi-Vehicle Share Supporting D'!O122/'Taxi-Vehicle Share Supporting D'!$J122)+Taxi_Tourist_Share*('Taxi-Vehicle Share Supporting D'!O143/'Taxi-Vehicle Share Supporting D'!$J143)+Taxi_Commercial_Share*('Taxi-Vehicle Share Supporting D'!O206/'Taxi-Vehicle Share Supporting D'!$J206))+'Taxi-Vehicle Share Supporting D'!O101*($J55/('Car+SUV'!$J55+$J55))+'Taxi-Vehicle Share Supporting D'!O185</f>
        <v>35.155949760381795</v>
      </c>
      <c r="P137" s="167">
        <f>$J137*(Taxi_Household_Share*('Taxi-Vehicle Share Supporting D'!P122/'Taxi-Vehicle Share Supporting D'!$J122)+Taxi_Tourist_Share*('Taxi-Vehicle Share Supporting D'!P143/'Taxi-Vehicle Share Supporting D'!$J143)+Taxi_Commercial_Share*('Taxi-Vehicle Share Supporting D'!P206/'Taxi-Vehicle Share Supporting D'!$J206))+'Taxi-Vehicle Share Supporting D'!P101*($J55/('Car+SUV'!$J55+$J55))+'Taxi-Vehicle Share Supporting D'!P185</f>
        <v>43.955316622082357</v>
      </c>
      <c r="Q137" s="167">
        <f>$J137*(Taxi_Household_Share*('Taxi-Vehicle Share Supporting D'!Q122/'Taxi-Vehicle Share Supporting D'!$J122)+Taxi_Tourist_Share*('Taxi-Vehicle Share Supporting D'!Q143/'Taxi-Vehicle Share Supporting D'!$J143)+Taxi_Commercial_Share*('Taxi-Vehicle Share Supporting D'!Q206/'Taxi-Vehicle Share Supporting D'!$J206))+'Taxi-Vehicle Share Supporting D'!Q101*($J55/('Car+SUV'!$J55+$J55))+'Taxi-Vehicle Share Supporting D'!Q185</f>
        <v>52.73234424410915</v>
      </c>
      <c r="R137" s="198">
        <f>$J137*(Taxi_Household_Share*('Taxi-Vehicle Share Supporting D'!R122/'Taxi-Vehicle Share Supporting D'!$J122)+Taxi_Tourist_Share*('Taxi-Vehicle Share Supporting D'!R143/'Taxi-Vehicle Share Supporting D'!$J143)+Taxi_Commercial_Share*('Taxi-Vehicle Share Supporting D'!R206/'Taxi-Vehicle Share Supporting D'!$J206))+'Taxi-Vehicle Share Supporting D'!R101*($J55/('Car+SUV'!$J55+$J55))+'Taxi-Vehicle Share Supporting D'!R185</f>
        <v>61.469163415285394</v>
      </c>
      <c r="S137" s="56"/>
    </row>
    <row r="138" spans="3:19" ht="16" x14ac:dyDescent="0.2">
      <c r="C138" s="24" t="s">
        <v>7</v>
      </c>
      <c r="D138" s="55">
        <f>D14*(('[1]12_13 fleet'!$D384+'[1]12_13 fleet'!$D399)/'Original 2012-13 Data'!$D13)/1000000</f>
        <v>2.7309031965776076</v>
      </c>
      <c r="E138" s="56">
        <f>E14*(('[2]13_14 fleet'!$D386+'[2]13_14 fleet'!$D401)/'Original 2013-14 Data'!$D13)/1000000</f>
        <v>2.9807477499217496</v>
      </c>
      <c r="F138" s="56">
        <f>F14*(('[3]14_15 fleet'!$D386+'[3]14_15 fleet'!$D401)/'Original 2014-15 Data'!$D13)/1000000</f>
        <v>2.7141562219919431</v>
      </c>
      <c r="G138" s="56">
        <f>G14*(('[4]15_16 fleet'!$D386+'[4]15_16 fleet'!$D401)/'Original 2015-16 Data'!$D13)/1000000</f>
        <v>2.7545407050458715</v>
      </c>
      <c r="H138" s="56">
        <f>H14*(('[5]16_17 fleet_v2'!$D386+'[5]16_17 fleet_v2'!$D401)/'Original 2016-17 Data'!$D13)/1000000</f>
        <v>3.612925313599197</v>
      </c>
      <c r="I138" s="167">
        <f>I14*(('[6]17_18 fleet_v3'!$D436+'[6]17_18 fleet_v3'!$D451)/'Original 2017-18 Data'!$D13)/1000000</f>
        <v>3.1441746339782757</v>
      </c>
      <c r="J138" s="167">
        <f>J14*(('[7]18_19 fleet_v3'!$D436+'[7]18_19 fleet_v3'!$D451)/'Original 2017-18 Data'!$D13)/1000000</f>
        <v>3.2608528613776393</v>
      </c>
      <c r="K138" s="167">
        <f>$J138*(Taxi_Household_Share*('Taxi-Vehicle Share Supporting D'!K123/'Taxi-Vehicle Share Supporting D'!$J123)+Taxi_Tourist_Share*('Taxi-Vehicle Share Supporting D'!K144/'Taxi-Vehicle Share Supporting D'!$J144)+Taxi_Commercial_Share*('Taxi-Vehicle Share Supporting D'!K207/'Taxi-Vehicle Share Supporting D'!$J207))+'Taxi-Vehicle Share Supporting D'!K102*($J56/('Car+SUV'!$J56+$J56))+'Taxi-Vehicle Share Supporting D'!K186</f>
        <v>3.6750944767960547</v>
      </c>
      <c r="L138" s="167">
        <f>$J138*(Taxi_Household_Share*('Taxi-Vehicle Share Supporting D'!L123/'Taxi-Vehicle Share Supporting D'!$J123)+Taxi_Tourist_Share*('Taxi-Vehicle Share Supporting D'!L144/'Taxi-Vehicle Share Supporting D'!$J144)+Taxi_Commercial_Share*('Taxi-Vehicle Share Supporting D'!L207/'Taxi-Vehicle Share Supporting D'!$J207))+'Taxi-Vehicle Share Supporting D'!L102*($J56/('Car+SUV'!$J56+$J56))+'Taxi-Vehicle Share Supporting D'!L186</f>
        <v>21.935443255884216</v>
      </c>
      <c r="M138" s="167">
        <f>$J138*(Taxi_Household_Share*('Taxi-Vehicle Share Supporting D'!M123/'Taxi-Vehicle Share Supporting D'!$J123)+Taxi_Tourist_Share*('Taxi-Vehicle Share Supporting D'!M144/'Taxi-Vehicle Share Supporting D'!$J144)+Taxi_Commercial_Share*('Taxi-Vehicle Share Supporting D'!M207/'Taxi-Vehicle Share Supporting D'!$J207))+'Taxi-Vehicle Share Supporting D'!M102*($J56/('Car+SUV'!$J56+$J56))+'Taxi-Vehicle Share Supporting D'!M186</f>
        <v>40.446344657375029</v>
      </c>
      <c r="N138" s="167">
        <f>$J138*(Taxi_Household_Share*('Taxi-Vehicle Share Supporting D'!N123/'Taxi-Vehicle Share Supporting D'!$J123)+Taxi_Tourist_Share*('Taxi-Vehicle Share Supporting D'!N144/'Taxi-Vehicle Share Supporting D'!$J144)+Taxi_Commercial_Share*('Taxi-Vehicle Share Supporting D'!N207/'Taxi-Vehicle Share Supporting D'!$J207))+'Taxi-Vehicle Share Supporting D'!N102*($J56/('Car+SUV'!$J56+$J56))+'Taxi-Vehicle Share Supporting D'!N186</f>
        <v>58.743935218929799</v>
      </c>
      <c r="O138" s="167">
        <f>$J138*(Taxi_Household_Share*('Taxi-Vehicle Share Supporting D'!O123/'Taxi-Vehicle Share Supporting D'!$J123)+Taxi_Tourist_Share*('Taxi-Vehicle Share Supporting D'!O144/'Taxi-Vehicle Share Supporting D'!$J144)+Taxi_Commercial_Share*('Taxi-Vehicle Share Supporting D'!O207/'Taxi-Vehicle Share Supporting D'!$J207))+'Taxi-Vehicle Share Supporting D'!O102*($J56/('Car+SUV'!$J56+$J56))+'Taxi-Vehicle Share Supporting D'!O186</f>
        <v>76.760300997421439</v>
      </c>
      <c r="P138" s="167">
        <f>$J138*(Taxi_Household_Share*('Taxi-Vehicle Share Supporting D'!P123/'Taxi-Vehicle Share Supporting D'!$J123)+Taxi_Tourist_Share*('Taxi-Vehicle Share Supporting D'!P144/'Taxi-Vehicle Share Supporting D'!$J144)+Taxi_Commercial_Share*('Taxi-Vehicle Share Supporting D'!P207/'Taxi-Vehicle Share Supporting D'!$J207))+'Taxi-Vehicle Share Supporting D'!P102*($J56/('Car+SUV'!$J56+$J56))+'Taxi-Vehicle Share Supporting D'!P186</f>
        <v>94.32237551075869</v>
      </c>
      <c r="Q138" s="167">
        <f>$J138*(Taxi_Household_Share*('Taxi-Vehicle Share Supporting D'!Q123/'Taxi-Vehicle Share Supporting D'!$J123)+Taxi_Tourist_Share*('Taxi-Vehicle Share Supporting D'!Q144/'Taxi-Vehicle Share Supporting D'!$J144)+Taxi_Commercial_Share*('Taxi-Vehicle Share Supporting D'!Q207/'Taxi-Vehicle Share Supporting D'!$J207))+'Taxi-Vehicle Share Supporting D'!Q102*($J56/('Car+SUV'!$J56+$J56))+'Taxi-Vehicle Share Supporting D'!Q186</f>
        <v>111.33349728766102</v>
      </c>
      <c r="R138" s="198">
        <f>$J138*(Taxi_Household_Share*('Taxi-Vehicle Share Supporting D'!R123/'Taxi-Vehicle Share Supporting D'!$J123)+Taxi_Tourist_Share*('Taxi-Vehicle Share Supporting D'!R144/'Taxi-Vehicle Share Supporting D'!$J144)+Taxi_Commercial_Share*('Taxi-Vehicle Share Supporting D'!R207/'Taxi-Vehicle Share Supporting D'!$J207))+'Taxi-Vehicle Share Supporting D'!R102*($J56/('Car+SUV'!$J56+$J56))+'Taxi-Vehicle Share Supporting D'!R186</f>
        <v>127.77572981181302</v>
      </c>
      <c r="S138" s="56"/>
    </row>
    <row r="139" spans="3:19" ht="16" x14ac:dyDescent="0.2">
      <c r="C139" s="24" t="s">
        <v>8</v>
      </c>
      <c r="D139" s="55">
        <f>D15*(('[1]12_13 fleet'!$D385+'[1]12_13 fleet'!$D400)/'Original 2012-13 Data'!$D14)/1000000</f>
        <v>5.4098485066248028</v>
      </c>
      <c r="E139" s="56">
        <f>E15*(('[2]13_14 fleet'!$D387+'[2]13_14 fleet'!$D402)/'Original 2013-14 Data'!$D14)/1000000</f>
        <v>5.4074270602940286</v>
      </c>
      <c r="F139" s="56">
        <f>F15*(('[3]14_15 fleet'!$D387+'[3]14_15 fleet'!$D402)/'Original 2014-15 Data'!$D14)/1000000</f>
        <v>5.6698621525705484</v>
      </c>
      <c r="G139" s="56">
        <f>G15*(('[4]15_16 fleet'!$D387+'[4]15_16 fleet'!$D402)/'Original 2015-16 Data'!$D14)/1000000</f>
        <v>4.6810265844742505</v>
      </c>
      <c r="H139" s="56">
        <f>H15*(('[5]16_17 fleet_v2'!$D387+'[5]16_17 fleet_v2'!$D402)/'Original 2016-17 Data'!$D14)/1000000</f>
        <v>5.3128824433484922</v>
      </c>
      <c r="I139" s="167">
        <f>I15*(('[6]17_18 fleet_v3'!$D437+'[6]17_18 fleet_v3'!$D452)/'Original 2017-18 Data'!$D14)/1000000</f>
        <v>5.8840942291690723</v>
      </c>
      <c r="J139" s="167">
        <f>J15*(('[7]18_19 fleet_v3'!$D437+'[7]18_19 fleet_v3'!$D452)/'Original 2017-18 Data'!$D14)/1000000</f>
        <v>6.221388644895768</v>
      </c>
      <c r="K139" s="167">
        <f>$J139*(Taxi_Household_Share*('Taxi-Vehicle Share Supporting D'!K124/'Taxi-Vehicle Share Supporting D'!$J124)+Taxi_Tourist_Share*('Taxi-Vehicle Share Supporting D'!K145/'Taxi-Vehicle Share Supporting D'!$J145)+Taxi_Commercial_Share*('Taxi-Vehicle Share Supporting D'!K208/'Taxi-Vehicle Share Supporting D'!$J208))+'Taxi-Vehicle Share Supporting D'!K103*($J57/('Car+SUV'!$J57+$J57))+'Taxi-Vehicle Share Supporting D'!K187</f>
        <v>7.1007888026893538</v>
      </c>
      <c r="L139" s="167">
        <f>$J139*(Taxi_Household_Share*('Taxi-Vehicle Share Supporting D'!L124/'Taxi-Vehicle Share Supporting D'!$J124)+Taxi_Tourist_Share*('Taxi-Vehicle Share Supporting D'!L145/'Taxi-Vehicle Share Supporting D'!$J145)+Taxi_Commercial_Share*('Taxi-Vehicle Share Supporting D'!L208/'Taxi-Vehicle Share Supporting D'!$J208))+'Taxi-Vehicle Share Supporting D'!L103*($J57/('Car+SUV'!$J57+$J57))+'Taxi-Vehicle Share Supporting D'!L187</f>
        <v>24.264715191524367</v>
      </c>
      <c r="M139" s="167">
        <f>$J139*(Taxi_Household_Share*('Taxi-Vehicle Share Supporting D'!M124/'Taxi-Vehicle Share Supporting D'!$J124)+Taxi_Tourist_Share*('Taxi-Vehicle Share Supporting D'!M145/'Taxi-Vehicle Share Supporting D'!$J145)+Taxi_Commercial_Share*('Taxi-Vehicle Share Supporting D'!M208/'Taxi-Vehicle Share Supporting D'!$J208))+'Taxi-Vehicle Share Supporting D'!M103*($J57/('Car+SUV'!$J57+$J57))+'Taxi-Vehicle Share Supporting D'!M187</f>
        <v>42.051297009173268</v>
      </c>
      <c r="N139" s="167">
        <f>$J139*(Taxi_Household_Share*('Taxi-Vehicle Share Supporting D'!N124/'Taxi-Vehicle Share Supporting D'!$J124)+Taxi_Tourist_Share*('Taxi-Vehicle Share Supporting D'!N145/'Taxi-Vehicle Share Supporting D'!$J145)+Taxi_Commercial_Share*('Taxi-Vehicle Share Supporting D'!N208/'Taxi-Vehicle Share Supporting D'!$J208))+'Taxi-Vehicle Share Supporting D'!N103*($J57/('Car+SUV'!$J57+$J57))+'Taxi-Vehicle Share Supporting D'!N187</f>
        <v>60.103190099488749</v>
      </c>
      <c r="O139" s="167">
        <f>$J139*(Taxi_Household_Share*('Taxi-Vehicle Share Supporting D'!O124/'Taxi-Vehicle Share Supporting D'!$J124)+Taxi_Tourist_Share*('Taxi-Vehicle Share Supporting D'!O145/'Taxi-Vehicle Share Supporting D'!$J145)+Taxi_Commercial_Share*('Taxi-Vehicle Share Supporting D'!O208/'Taxi-Vehicle Share Supporting D'!$J208))+'Taxi-Vehicle Share Supporting D'!O103*($J57/('Car+SUV'!$J57+$J57))+'Taxi-Vehicle Share Supporting D'!O187</f>
        <v>78.374796219327195</v>
      </c>
      <c r="P139" s="167">
        <f>$J139*(Taxi_Household_Share*('Taxi-Vehicle Share Supporting D'!P124/'Taxi-Vehicle Share Supporting D'!$J124)+Taxi_Tourist_Share*('Taxi-Vehicle Share Supporting D'!P145/'Taxi-Vehicle Share Supporting D'!$J145)+Taxi_Commercial_Share*('Taxi-Vehicle Share Supporting D'!P208/'Taxi-Vehicle Share Supporting D'!$J208))+'Taxi-Vehicle Share Supporting D'!P103*($J57/('Car+SUV'!$J57+$J57))+'Taxi-Vehicle Share Supporting D'!P187</f>
        <v>96.588210384733259</v>
      </c>
      <c r="Q139" s="167">
        <f>$J139*(Taxi_Household_Share*('Taxi-Vehicle Share Supporting D'!Q124/'Taxi-Vehicle Share Supporting D'!$J124)+Taxi_Tourist_Share*('Taxi-Vehicle Share Supporting D'!Q145/'Taxi-Vehicle Share Supporting D'!$J145)+Taxi_Commercial_Share*('Taxi-Vehicle Share Supporting D'!Q208/'Taxi-Vehicle Share Supporting D'!$J208))+'Taxi-Vehicle Share Supporting D'!Q103*($J57/('Car+SUV'!$J57+$J57))+'Taxi-Vehicle Share Supporting D'!Q187</f>
        <v>114.73223809782122</v>
      </c>
      <c r="R139" s="198">
        <f>$J139*(Taxi_Household_Share*('Taxi-Vehicle Share Supporting D'!R124/'Taxi-Vehicle Share Supporting D'!$J124)+Taxi_Tourist_Share*('Taxi-Vehicle Share Supporting D'!R145/'Taxi-Vehicle Share Supporting D'!$J145)+Taxi_Commercial_Share*('Taxi-Vehicle Share Supporting D'!R208/'Taxi-Vehicle Share Supporting D'!$J208))+'Taxi-Vehicle Share Supporting D'!R103*($J57/('Car+SUV'!$J57+$J57))+'Taxi-Vehicle Share Supporting D'!R187</f>
        <v>132.77262251445734</v>
      </c>
      <c r="S139" s="56"/>
    </row>
    <row r="140" spans="3:19" ht="16" x14ac:dyDescent="0.2">
      <c r="C140" s="24" t="s">
        <v>9</v>
      </c>
      <c r="D140" s="55">
        <f>D16*(('[1]12_13 fleet'!$D386+'[1]12_13 fleet'!$D401)/'Original 2012-13 Data'!$D15)/1000000</f>
        <v>2.2648937460723992</v>
      </c>
      <c r="E140" s="56">
        <f>E16*(('[2]13_14 fleet'!$D388+'[2]13_14 fleet'!$D403)/'Original 2013-14 Data'!$D15)/1000000</f>
        <v>2.3638065775581509</v>
      </c>
      <c r="F140" s="56">
        <f>F16*(('[3]14_15 fleet'!$D388+'[3]14_15 fleet'!$D403)/'Original 2014-15 Data'!$D15)/1000000</f>
        <v>2.2470574761273259</v>
      </c>
      <c r="G140" s="56">
        <f>G16*(('[4]15_16 fleet'!$D388+'[4]15_16 fleet'!$D403)/'Original 2015-16 Data'!$D15)/1000000</f>
        <v>2.6859995346010592</v>
      </c>
      <c r="H140" s="56">
        <f>H16*(('[5]16_17 fleet_v2'!$D388+'[5]16_17 fleet_v2'!$D403)/'Original 2016-17 Data'!$D15)/1000000</f>
        <v>2.7721070575112203</v>
      </c>
      <c r="I140" s="167">
        <f>I16*(('[6]17_18 fleet_v3'!$D438+'[6]17_18 fleet_v3'!$D453)/'Original 2017-18 Data'!$D15)/1000000</f>
        <v>2.8166648500984079</v>
      </c>
      <c r="J140" s="167">
        <f>J16*(('[7]18_19 fleet_v3'!$D438+'[7]18_19 fleet_v3'!$D453)/'Original 2017-18 Data'!$D15)/1000000</f>
        <v>2.996068551308428</v>
      </c>
      <c r="K140" s="167">
        <f>$J140*(Taxi_Household_Share*('Taxi-Vehicle Share Supporting D'!K125/'Taxi-Vehicle Share Supporting D'!$J125)+Taxi_Tourist_Share*('Taxi-Vehicle Share Supporting D'!K146/'Taxi-Vehicle Share Supporting D'!$J146)+Taxi_Commercial_Share*('Taxi-Vehicle Share Supporting D'!K209/'Taxi-Vehicle Share Supporting D'!$J209))+'Taxi-Vehicle Share Supporting D'!K104*($J58/('Car+SUV'!$J58+$J58))+'Taxi-Vehicle Share Supporting D'!K188</f>
        <v>3.4069144178590598</v>
      </c>
      <c r="L140" s="167">
        <f>$J140*(Taxi_Household_Share*('Taxi-Vehicle Share Supporting D'!L125/'Taxi-Vehicle Share Supporting D'!$J125)+Taxi_Tourist_Share*('Taxi-Vehicle Share Supporting D'!L146/'Taxi-Vehicle Share Supporting D'!$J146)+Taxi_Commercial_Share*('Taxi-Vehicle Share Supporting D'!L209/'Taxi-Vehicle Share Supporting D'!$J209))+'Taxi-Vehicle Share Supporting D'!L104*($J58/('Car+SUV'!$J58+$J58))+'Taxi-Vehicle Share Supporting D'!L188</f>
        <v>14.172405974843976</v>
      </c>
      <c r="M140" s="167">
        <f>$J140*(Taxi_Household_Share*('Taxi-Vehicle Share Supporting D'!M125/'Taxi-Vehicle Share Supporting D'!$J125)+Taxi_Tourist_Share*('Taxi-Vehicle Share Supporting D'!M146/'Taxi-Vehicle Share Supporting D'!$J146)+Taxi_Commercial_Share*('Taxi-Vehicle Share Supporting D'!M209/'Taxi-Vehicle Share Supporting D'!$J209))+'Taxi-Vehicle Share Supporting D'!M104*($J58/('Car+SUV'!$J58+$J58))+'Taxi-Vehicle Share Supporting D'!M188</f>
        <v>25.266090144830514</v>
      </c>
      <c r="N140" s="167">
        <f>$J140*(Taxi_Household_Share*('Taxi-Vehicle Share Supporting D'!N125/'Taxi-Vehicle Share Supporting D'!$J125)+Taxi_Tourist_Share*('Taxi-Vehicle Share Supporting D'!N146/'Taxi-Vehicle Share Supporting D'!$J146)+Taxi_Commercial_Share*('Taxi-Vehicle Share Supporting D'!N209/'Taxi-Vehicle Share Supporting D'!$J209))+'Taxi-Vehicle Share Supporting D'!N104*($J58/('Car+SUV'!$J58+$J58))+'Taxi-Vehicle Share Supporting D'!N188</f>
        <v>36.403054270194133</v>
      </c>
      <c r="O140" s="167">
        <f>$J140*(Taxi_Household_Share*('Taxi-Vehicle Share Supporting D'!O125/'Taxi-Vehicle Share Supporting D'!$J125)+Taxi_Tourist_Share*('Taxi-Vehicle Share Supporting D'!O146/'Taxi-Vehicle Share Supporting D'!$J146)+Taxi_Commercial_Share*('Taxi-Vehicle Share Supporting D'!O209/'Taxi-Vehicle Share Supporting D'!$J209))+'Taxi-Vehicle Share Supporting D'!O104*($J58/('Car+SUV'!$J58+$J58))+'Taxi-Vehicle Share Supporting D'!O188</f>
        <v>47.487704437375797</v>
      </c>
      <c r="P140" s="167">
        <f>$J140*(Taxi_Household_Share*('Taxi-Vehicle Share Supporting D'!P125/'Taxi-Vehicle Share Supporting D'!$J125)+Taxi_Tourist_Share*('Taxi-Vehicle Share Supporting D'!P146/'Taxi-Vehicle Share Supporting D'!$J146)+Taxi_Commercial_Share*('Taxi-Vehicle Share Supporting D'!P209/'Taxi-Vehicle Share Supporting D'!$J209))+'Taxi-Vehicle Share Supporting D'!P104*($J58/('Car+SUV'!$J58+$J58))+'Taxi-Vehicle Share Supporting D'!P188</f>
        <v>58.422879060758703</v>
      </c>
      <c r="Q140" s="167">
        <f>$J140*(Taxi_Household_Share*('Taxi-Vehicle Share Supporting D'!Q125/'Taxi-Vehicle Share Supporting D'!$J125)+Taxi_Tourist_Share*('Taxi-Vehicle Share Supporting D'!Q146/'Taxi-Vehicle Share Supporting D'!$J146)+Taxi_Commercial_Share*('Taxi-Vehicle Share Supporting D'!Q209/'Taxi-Vehicle Share Supporting D'!$J209))+'Taxi-Vehicle Share Supporting D'!Q104*($J58/('Car+SUV'!$J58+$J58))+'Taxi-Vehicle Share Supporting D'!Q188</f>
        <v>69.184596089809716</v>
      </c>
      <c r="R140" s="198">
        <f>$J140*(Taxi_Household_Share*('Taxi-Vehicle Share Supporting D'!R125/'Taxi-Vehicle Share Supporting D'!$J125)+Taxi_Tourist_Share*('Taxi-Vehicle Share Supporting D'!R146/'Taxi-Vehicle Share Supporting D'!$J146)+Taxi_Commercial_Share*('Taxi-Vehicle Share Supporting D'!R209/'Taxi-Vehicle Share Supporting D'!$J209))+'Taxi-Vehicle Share Supporting D'!R104*($J58/('Car+SUV'!$J58+$J58))+'Taxi-Vehicle Share Supporting D'!R188</f>
        <v>79.759990268867213</v>
      </c>
      <c r="S140" s="56"/>
    </row>
    <row r="141" spans="3:19" ht="16" x14ac:dyDescent="0.2">
      <c r="C141" s="24" t="s">
        <v>10</v>
      </c>
      <c r="D141" s="55">
        <f>D17*(('[1]12_13 fleet'!$D387+'[1]12_13 fleet'!$D402)/'Original 2012-13 Data'!$D16)/1000000</f>
        <v>1.2682562076734483</v>
      </c>
      <c r="E141" s="56">
        <f>E17*(('[2]13_14 fleet'!$D389+'[2]13_14 fleet'!$D404)/'Original 2013-14 Data'!$D16)/1000000</f>
        <v>1.4448745499123756</v>
      </c>
      <c r="F141" s="56">
        <f>F17*(('[3]14_15 fleet'!$D389+'[3]14_15 fleet'!$D404)/'Original 2014-15 Data'!$D16)/1000000</f>
        <v>1.5652889724821897</v>
      </c>
      <c r="G141" s="56">
        <f>G17*(('[4]15_16 fleet'!$D389+'[4]15_16 fleet'!$D404)/'Original 2015-16 Data'!$D16)/1000000</f>
        <v>1.7035079649915017</v>
      </c>
      <c r="H141" s="56">
        <f>H17*(('[5]16_17 fleet_v2'!$D389+'[5]16_17 fleet_v2'!$D404)/'Original 2016-17 Data'!$D16)/1000000</f>
        <v>1.6452509945192739</v>
      </c>
      <c r="I141" s="167">
        <f>I17*(('[6]17_18 fleet_v3'!$D439+'[6]17_18 fleet_v3'!$D454)/'Original 2017-18 Data'!$D16)/1000000</f>
        <v>1.9296559966046951</v>
      </c>
      <c r="J141" s="167">
        <f>J17*(('[7]18_19 fleet_v3'!$D439+'[7]18_19 fleet_v3'!$D454)/'Original 2017-18 Data'!$D16)/1000000</f>
        <v>2.1982395559530739</v>
      </c>
      <c r="K141" s="167">
        <f>$J141*(Taxi_Household_Share*('Taxi-Vehicle Share Supporting D'!K126/'Taxi-Vehicle Share Supporting D'!$J126)+Taxi_Tourist_Share*('Taxi-Vehicle Share Supporting D'!K147/'Taxi-Vehicle Share Supporting D'!$J147)+Taxi_Commercial_Share*('Taxi-Vehicle Share Supporting D'!K210/'Taxi-Vehicle Share Supporting D'!$J210))+'Taxi-Vehicle Share Supporting D'!K105*($J59/('Car+SUV'!$J59+$J59))+'Taxi-Vehicle Share Supporting D'!K189</f>
        <v>2.454214170737139</v>
      </c>
      <c r="L141" s="167">
        <f>$J141*(Taxi_Household_Share*('Taxi-Vehicle Share Supporting D'!L126/'Taxi-Vehicle Share Supporting D'!$J126)+Taxi_Tourist_Share*('Taxi-Vehicle Share Supporting D'!L147/'Taxi-Vehicle Share Supporting D'!$J147)+Taxi_Commercial_Share*('Taxi-Vehicle Share Supporting D'!L210/'Taxi-Vehicle Share Supporting D'!$J210))+'Taxi-Vehicle Share Supporting D'!L105*($J59/('Car+SUV'!$J59+$J59))+'Taxi-Vehicle Share Supporting D'!L189</f>
        <v>7.1539077504828432</v>
      </c>
      <c r="M141" s="167">
        <f>$J141*(Taxi_Household_Share*('Taxi-Vehicle Share Supporting D'!M126/'Taxi-Vehicle Share Supporting D'!$J126)+Taxi_Tourist_Share*('Taxi-Vehicle Share Supporting D'!M147/'Taxi-Vehicle Share Supporting D'!$J147)+Taxi_Commercial_Share*('Taxi-Vehicle Share Supporting D'!M210/'Taxi-Vehicle Share Supporting D'!$J210))+'Taxi-Vehicle Share Supporting D'!M105*($J59/('Car+SUV'!$J59+$J59))+'Taxi-Vehicle Share Supporting D'!M189</f>
        <v>11.731313530814212</v>
      </c>
      <c r="N141" s="167">
        <f>$J141*(Taxi_Household_Share*('Taxi-Vehicle Share Supporting D'!N126/'Taxi-Vehicle Share Supporting D'!$J126)+Taxi_Tourist_Share*('Taxi-Vehicle Share Supporting D'!N147/'Taxi-Vehicle Share Supporting D'!$J147)+Taxi_Commercial_Share*('Taxi-Vehicle Share Supporting D'!N210/'Taxi-Vehicle Share Supporting D'!$J210))+'Taxi-Vehicle Share Supporting D'!N105*($J59/('Car+SUV'!$J59+$J59))+'Taxi-Vehicle Share Supporting D'!N189</f>
        <v>16.089765792916943</v>
      </c>
      <c r="O141" s="167">
        <f>$J141*(Taxi_Household_Share*('Taxi-Vehicle Share Supporting D'!O126/'Taxi-Vehicle Share Supporting D'!$J126)+Taxi_Tourist_Share*('Taxi-Vehicle Share Supporting D'!O147/'Taxi-Vehicle Share Supporting D'!$J147)+Taxi_Commercial_Share*('Taxi-Vehicle Share Supporting D'!O210/'Taxi-Vehicle Share Supporting D'!$J210))+'Taxi-Vehicle Share Supporting D'!O105*($J59/('Car+SUV'!$J59+$J59))+'Taxi-Vehicle Share Supporting D'!O189</f>
        <v>20.259229818803874</v>
      </c>
      <c r="P141" s="167">
        <f>$J141*(Taxi_Household_Share*('Taxi-Vehicle Share Supporting D'!P126/'Taxi-Vehicle Share Supporting D'!$J126)+Taxi_Tourist_Share*('Taxi-Vehicle Share Supporting D'!P147/'Taxi-Vehicle Share Supporting D'!$J147)+Taxi_Commercial_Share*('Taxi-Vehicle Share Supporting D'!P210/'Taxi-Vehicle Share Supporting D'!$J210))+'Taxi-Vehicle Share Supporting D'!P105*($J59/('Car+SUV'!$J59+$J59))+'Taxi-Vehicle Share Supporting D'!P189</f>
        <v>24.157938048126475</v>
      </c>
      <c r="Q141" s="167">
        <f>$J141*(Taxi_Household_Share*('Taxi-Vehicle Share Supporting D'!Q126/'Taxi-Vehicle Share Supporting D'!$J126)+Taxi_Tourist_Share*('Taxi-Vehicle Share Supporting D'!Q147/'Taxi-Vehicle Share Supporting D'!$J147)+Taxi_Commercial_Share*('Taxi-Vehicle Share Supporting D'!Q210/'Taxi-Vehicle Share Supporting D'!$J210))+'Taxi-Vehicle Share Supporting D'!Q105*($J59/('Car+SUV'!$J59+$J59))+'Taxi-Vehicle Share Supporting D'!Q189</f>
        <v>27.818388686277352</v>
      </c>
      <c r="R141" s="198">
        <f>$J141*(Taxi_Household_Share*('Taxi-Vehicle Share Supporting D'!R126/'Taxi-Vehicle Share Supporting D'!$J126)+Taxi_Tourist_Share*('Taxi-Vehicle Share Supporting D'!R147/'Taxi-Vehicle Share Supporting D'!$J147)+Taxi_Commercial_Share*('Taxi-Vehicle Share Supporting D'!R210/'Taxi-Vehicle Share Supporting D'!$J210))+'Taxi-Vehicle Share Supporting D'!R105*($J59/('Car+SUV'!$J59+$J59))+'Taxi-Vehicle Share Supporting D'!R189</f>
        <v>31.251711488356303</v>
      </c>
      <c r="S141" s="56"/>
    </row>
    <row r="142" spans="3:19" ht="16" x14ac:dyDescent="0.2">
      <c r="C142" s="24" t="s">
        <v>11</v>
      </c>
      <c r="D142" s="55">
        <f>D18*(('[1]12_13 fleet'!$D388+'[1]12_13 fleet'!$D403)/'Original 2012-13 Data'!$D17)/1000000</f>
        <v>8.2677911780326365</v>
      </c>
      <c r="E142" s="56">
        <f>E18*(('[2]13_14 fleet'!$D390+'[2]13_14 fleet'!$D405)/'Original 2013-14 Data'!$D17)/1000000</f>
        <v>7.5795922240104634</v>
      </c>
      <c r="F142" s="56">
        <f>F18*(('[3]14_15 fleet'!$D390+'[3]14_15 fleet'!$D405)/'Original 2014-15 Data'!$D17)/1000000</f>
        <v>7.4576000049046254</v>
      </c>
      <c r="G142" s="56">
        <f>G18*(('[4]15_16 fleet'!$D390+'[4]15_16 fleet'!$D405)/'Original 2015-16 Data'!$D17)/1000000</f>
        <v>8.0034110467880311</v>
      </c>
      <c r="H142" s="56">
        <f>H18*(('[5]16_17 fleet_v2'!$D390+'[5]16_17 fleet_v2'!$D405)/'Original 2016-17 Data'!$D17)/1000000</f>
        <v>9.4588481044587134</v>
      </c>
      <c r="I142" s="167">
        <f>I18*(('[6]17_18 fleet_v3'!$D440+'[6]17_18 fleet_v3'!$D455)/'Original 2017-18 Data'!$D17)/1000000</f>
        <v>11.299799375422243</v>
      </c>
      <c r="J142" s="167">
        <f>J18*(('[7]18_19 fleet_v3'!$D440+'[7]18_19 fleet_v3'!$D455)/'Original 2017-18 Data'!$D17)/1000000</f>
        <v>12.020501375857929</v>
      </c>
      <c r="K142" s="167">
        <f>$J142*(Taxi_Household_Share*('Taxi-Vehicle Share Supporting D'!K127/'Taxi-Vehicle Share Supporting D'!$J127)+Taxi_Tourist_Share*('Taxi-Vehicle Share Supporting D'!K148/'Taxi-Vehicle Share Supporting D'!$J148)+Taxi_Commercial_Share*('Taxi-Vehicle Share Supporting D'!K211/'Taxi-Vehicle Share Supporting D'!$J211))+'Taxi-Vehicle Share Supporting D'!K106*($J60/('Car+SUV'!$J60+$J60))+'Taxi-Vehicle Share Supporting D'!K190</f>
        <v>13.990592943718225</v>
      </c>
      <c r="L142" s="167">
        <f>$J142*(Taxi_Household_Share*('Taxi-Vehicle Share Supporting D'!L127/'Taxi-Vehicle Share Supporting D'!$J127)+Taxi_Tourist_Share*('Taxi-Vehicle Share Supporting D'!L148/'Taxi-Vehicle Share Supporting D'!$J148)+Taxi_Commercial_Share*('Taxi-Vehicle Share Supporting D'!L211/'Taxi-Vehicle Share Supporting D'!$J211))+'Taxi-Vehicle Share Supporting D'!L106*($J60/('Car+SUV'!$J60+$J60))+'Taxi-Vehicle Share Supporting D'!L190</f>
        <v>47.474185331295573</v>
      </c>
      <c r="M142" s="167">
        <f>$J142*(Taxi_Household_Share*('Taxi-Vehicle Share Supporting D'!M127/'Taxi-Vehicle Share Supporting D'!$J127)+Taxi_Tourist_Share*('Taxi-Vehicle Share Supporting D'!M148/'Taxi-Vehicle Share Supporting D'!$J148)+Taxi_Commercial_Share*('Taxi-Vehicle Share Supporting D'!M211/'Taxi-Vehicle Share Supporting D'!$J211))+'Taxi-Vehicle Share Supporting D'!M106*($J60/('Car+SUV'!$J60+$J60))+'Taxi-Vehicle Share Supporting D'!M190</f>
        <v>83.483590649530342</v>
      </c>
      <c r="N142" s="167">
        <f>$J142*(Taxi_Household_Share*('Taxi-Vehicle Share Supporting D'!N127/'Taxi-Vehicle Share Supporting D'!$J127)+Taxi_Tourist_Share*('Taxi-Vehicle Share Supporting D'!N148/'Taxi-Vehicle Share Supporting D'!$J148)+Taxi_Commercial_Share*('Taxi-Vehicle Share Supporting D'!N211/'Taxi-Vehicle Share Supporting D'!$J211))+'Taxi-Vehicle Share Supporting D'!N106*($J60/('Car+SUV'!$J60+$J60))+'Taxi-Vehicle Share Supporting D'!N190</f>
        <v>121.39496262201436</v>
      </c>
      <c r="O142" s="167">
        <f>$J142*(Taxi_Household_Share*('Taxi-Vehicle Share Supporting D'!O127/'Taxi-Vehicle Share Supporting D'!$J127)+Taxi_Tourist_Share*('Taxi-Vehicle Share Supporting D'!O148/'Taxi-Vehicle Share Supporting D'!$J148)+Taxi_Commercial_Share*('Taxi-Vehicle Share Supporting D'!O211/'Taxi-Vehicle Share Supporting D'!$J211))+'Taxi-Vehicle Share Supporting D'!O106*($J60/('Car+SUV'!$J60+$J60))+'Taxi-Vehicle Share Supporting D'!O190</f>
        <v>161.23503369199383</v>
      </c>
      <c r="P142" s="167">
        <f>$J142*(Taxi_Household_Share*('Taxi-Vehicle Share Supporting D'!P127/'Taxi-Vehicle Share Supporting D'!$J127)+Taxi_Tourist_Share*('Taxi-Vehicle Share Supporting D'!P148/'Taxi-Vehicle Share Supporting D'!$J148)+Taxi_Commercial_Share*('Taxi-Vehicle Share Supporting D'!P211/'Taxi-Vehicle Share Supporting D'!$J211))+'Taxi-Vehicle Share Supporting D'!P106*($J60/('Car+SUV'!$J60+$J60))+'Taxi-Vehicle Share Supporting D'!P190</f>
        <v>202.45764057466795</v>
      </c>
      <c r="Q142" s="167">
        <f>$J142*(Taxi_Household_Share*('Taxi-Vehicle Share Supporting D'!Q127/'Taxi-Vehicle Share Supporting D'!$J127)+Taxi_Tourist_Share*('Taxi-Vehicle Share Supporting D'!Q148/'Taxi-Vehicle Share Supporting D'!$J148)+Taxi_Commercial_Share*('Taxi-Vehicle Share Supporting D'!Q211/'Taxi-Vehicle Share Supporting D'!$J211))+'Taxi-Vehicle Share Supporting D'!Q106*($J60/('Car+SUV'!$J60+$J60))+'Taxi-Vehicle Share Supporting D'!Q190</f>
        <v>245.1152308659656</v>
      </c>
      <c r="R142" s="198">
        <f>$J142*(Taxi_Household_Share*('Taxi-Vehicle Share Supporting D'!R127/'Taxi-Vehicle Share Supporting D'!$J127)+Taxi_Tourist_Share*('Taxi-Vehicle Share Supporting D'!R148/'Taxi-Vehicle Share Supporting D'!$J148)+Taxi_Commercial_Share*('Taxi-Vehicle Share Supporting D'!R211/'Taxi-Vehicle Share Supporting D'!$J211))+'Taxi-Vehicle Share Supporting D'!R106*($J60/('Car+SUV'!$J60+$J60))+'Taxi-Vehicle Share Supporting D'!R190</f>
        <v>289.17495012123044</v>
      </c>
      <c r="S142" s="56"/>
    </row>
    <row r="143" spans="3:19" ht="16" x14ac:dyDescent="0.2">
      <c r="C143" s="24" t="s">
        <v>12</v>
      </c>
      <c r="D143" s="55">
        <f>D19*(('[1]12_13 fleet'!$D389+'[1]12_13 fleet'!$D404)/'Original 2012-13 Data'!$D18)/1000000</f>
        <v>8.8852847822872576</v>
      </c>
      <c r="E143" s="56">
        <f>E19*(('[2]13_14 fleet'!$D391+'[2]13_14 fleet'!$D406)/'Original 2013-14 Data'!$D18)/1000000</f>
        <v>9.4565840599050173</v>
      </c>
      <c r="F143" s="56">
        <f>F19*(('[3]14_15 fleet'!$D391+'[3]14_15 fleet'!$D406)/'Original 2014-15 Data'!$D18)/1000000</f>
        <v>9.9130153199018984</v>
      </c>
      <c r="G143" s="56">
        <f>G19*(('[4]15_16 fleet'!$D391+'[4]15_16 fleet'!$D406)/'Original 2015-16 Data'!$D18)/1000000</f>
        <v>10.181114355663841</v>
      </c>
      <c r="H143" s="56">
        <f>H19*(('[5]16_17 fleet_v2'!$D391+'[5]16_17 fleet_v2'!$D406)/'Original 2016-17 Data'!$D18)/1000000</f>
        <v>11.211403017097737</v>
      </c>
      <c r="I143" s="167">
        <f>I19*(('[6]17_18 fleet_v3'!$D441+'[6]17_18 fleet_v3'!$D456)/'Original 2017-18 Data'!$D18)/1000000</f>
        <v>12.818022248196002</v>
      </c>
      <c r="J143" s="167">
        <f>J19*(('[7]18_19 fleet_v3'!$D441+'[7]18_19 fleet_v3'!$D456)/'Original 2017-18 Data'!$D18)/1000000</f>
        <v>13.438252455677342</v>
      </c>
      <c r="K143" s="167">
        <f>$J143*(Taxi_Household_Share*('Taxi-Vehicle Share Supporting D'!K128/'Taxi-Vehicle Share Supporting D'!$J128)+Taxi_Tourist_Share*('Taxi-Vehicle Share Supporting D'!K149/'Taxi-Vehicle Share Supporting D'!$J149)+Taxi_Commercial_Share*('Taxi-Vehicle Share Supporting D'!K212/'Taxi-Vehicle Share Supporting D'!$J212))+'Taxi-Vehicle Share Supporting D'!K107*($J61/('Car+SUV'!$J61+$J61))+'Taxi-Vehicle Share Supporting D'!K191</f>
        <v>15.457413197719942</v>
      </c>
      <c r="L143" s="167">
        <f>$J143*(Taxi_Household_Share*('Taxi-Vehicle Share Supporting D'!L128/'Taxi-Vehicle Share Supporting D'!$J128)+Taxi_Tourist_Share*('Taxi-Vehicle Share Supporting D'!L149/'Taxi-Vehicle Share Supporting D'!$J149)+Taxi_Commercial_Share*('Taxi-Vehicle Share Supporting D'!L212/'Taxi-Vehicle Share Supporting D'!$J212))+'Taxi-Vehicle Share Supporting D'!L107*($J61/('Car+SUV'!$J61+$J61))+'Taxi-Vehicle Share Supporting D'!L191</f>
        <v>33.341917190933572</v>
      </c>
      <c r="M143" s="167">
        <f>$J143*(Taxi_Household_Share*('Taxi-Vehicle Share Supporting D'!M128/'Taxi-Vehicle Share Supporting D'!$J128)+Taxi_Tourist_Share*('Taxi-Vehicle Share Supporting D'!M149/'Taxi-Vehicle Share Supporting D'!$J149)+Taxi_Commercial_Share*('Taxi-Vehicle Share Supporting D'!M212/'Taxi-Vehicle Share Supporting D'!$J212))+'Taxi-Vehicle Share Supporting D'!M107*($J61/('Car+SUV'!$J61+$J61))+'Taxi-Vehicle Share Supporting D'!M191</f>
        <v>51.869584869917361</v>
      </c>
      <c r="N143" s="167">
        <f>$J143*(Taxi_Household_Share*('Taxi-Vehicle Share Supporting D'!N128/'Taxi-Vehicle Share Supporting D'!$J128)+Taxi_Tourist_Share*('Taxi-Vehicle Share Supporting D'!N149/'Taxi-Vehicle Share Supporting D'!$J149)+Taxi_Commercial_Share*('Taxi-Vehicle Share Supporting D'!N212/'Taxi-Vehicle Share Supporting D'!$J212))+'Taxi-Vehicle Share Supporting D'!N107*($J61/('Car+SUV'!$J61+$J61))+'Taxi-Vehicle Share Supporting D'!N191</f>
        <v>70.820946133478259</v>
      </c>
      <c r="O143" s="167">
        <f>$J143*(Taxi_Household_Share*('Taxi-Vehicle Share Supporting D'!O128/'Taxi-Vehicle Share Supporting D'!$J128)+Taxi_Tourist_Share*('Taxi-Vehicle Share Supporting D'!O149/'Taxi-Vehicle Share Supporting D'!$J149)+Taxi_Commercial_Share*('Taxi-Vehicle Share Supporting D'!O212/'Taxi-Vehicle Share Supporting D'!$J212))+'Taxi-Vehicle Share Supporting D'!O107*($J61/('Car+SUV'!$J61+$J61))+'Taxi-Vehicle Share Supporting D'!O191</f>
        <v>90.294988621885651</v>
      </c>
      <c r="P143" s="167">
        <f>$J143*(Taxi_Household_Share*('Taxi-Vehicle Share Supporting D'!P128/'Taxi-Vehicle Share Supporting D'!$J128)+Taxi_Tourist_Share*('Taxi-Vehicle Share Supporting D'!P149/'Taxi-Vehicle Share Supporting D'!$J149)+Taxi_Commercial_Share*('Taxi-Vehicle Share Supporting D'!P212/'Taxi-Vehicle Share Supporting D'!$J212))+'Taxi-Vehicle Share Supporting D'!P107*($J61/('Car+SUV'!$J61+$J61))+'Taxi-Vehicle Share Supporting D'!P191</f>
        <v>109.72715720337354</v>
      </c>
      <c r="Q143" s="167">
        <f>$J143*(Taxi_Household_Share*('Taxi-Vehicle Share Supporting D'!Q128/'Taxi-Vehicle Share Supporting D'!$J128)+Taxi_Tourist_Share*('Taxi-Vehicle Share Supporting D'!Q149/'Taxi-Vehicle Share Supporting D'!$J149)+Taxi_Commercial_Share*('Taxi-Vehicle Share Supporting D'!Q212/'Taxi-Vehicle Share Supporting D'!$J212))+'Taxi-Vehicle Share Supporting D'!Q107*($J61/('Car+SUV'!$J61+$J61))+'Taxi-Vehicle Share Supporting D'!Q191</f>
        <v>129.39338213360253</v>
      </c>
      <c r="R143" s="198">
        <f>$J143*(Taxi_Household_Share*('Taxi-Vehicle Share Supporting D'!R128/'Taxi-Vehicle Share Supporting D'!$J128)+Taxi_Tourist_Share*('Taxi-Vehicle Share Supporting D'!R149/'Taxi-Vehicle Share Supporting D'!$J149)+Taxi_Commercial_Share*('Taxi-Vehicle Share Supporting D'!R212/'Taxi-Vehicle Share Supporting D'!$J212))+'Taxi-Vehicle Share Supporting D'!R107*($J61/('Car+SUV'!$J61+$J61))+'Taxi-Vehicle Share Supporting D'!R191</f>
        <v>149.28499994646151</v>
      </c>
      <c r="S143" s="56"/>
    </row>
    <row r="144" spans="3:19" ht="17" thickBot="1" x14ac:dyDescent="0.25">
      <c r="C144" s="25" t="s">
        <v>13</v>
      </c>
      <c r="D144" s="58">
        <f>D20*(('[1]12_13 fleet'!$D390+'[1]12_13 fleet'!$D405)/'Original 2012-13 Data'!$D19)/1000000</f>
        <v>1.9999256891387558</v>
      </c>
      <c r="E144" s="59">
        <f>E20*(('[2]13_14 fleet'!$D392+'[2]13_14 fleet'!$D407)/'Original 2013-14 Data'!$D19)/1000000</f>
        <v>1.9867663960138944</v>
      </c>
      <c r="F144" s="59">
        <f>F20*(('[3]14_15 fleet'!$D392+'[3]14_15 fleet'!$D407)/'Original 2014-15 Data'!$D19)/1000000</f>
        <v>1.7398331203081547</v>
      </c>
      <c r="G144" s="59">
        <f>G20*(('[4]15_16 fleet'!$D392+'[4]15_16 fleet'!$D407)/'Original 2015-16 Data'!$D19)/1000000</f>
        <v>2.1484549810517803</v>
      </c>
      <c r="H144" s="59">
        <f>H20*(('[5]16_17 fleet_v2'!$D392+'[5]16_17 fleet_v2'!$D407)/'Original 2016-17 Data'!$D19)/1000000</f>
        <v>2.2566842768752626</v>
      </c>
      <c r="I144" s="171">
        <f>I20*(('[6]17_18 fleet_v3'!$D442+'[6]17_18 fleet_v3'!$D457)/'Original 2017-18 Data'!$D19)/1000000</f>
        <v>2.4005987009255754</v>
      </c>
      <c r="J144" s="171">
        <f>J20*(('[7]18_19 fleet_v3'!$D442+'[7]18_19 fleet_v3'!$D457)/'Original 2017-18 Data'!$D19)/1000000</f>
        <v>2.6202091836468839</v>
      </c>
      <c r="K144" s="171">
        <f>$J144*(Taxi_Household_Share*('Taxi-Vehicle Share Supporting D'!K129/'Taxi-Vehicle Share Supporting D'!$J129)+Taxi_Tourist_Share*('Taxi-Vehicle Share Supporting D'!K150/'Taxi-Vehicle Share Supporting D'!$J150)+Taxi_Commercial_Share*('Taxi-Vehicle Share Supporting D'!K213/'Taxi-Vehicle Share Supporting D'!$J213))+'Taxi-Vehicle Share Supporting D'!K108*($J62/('Car+SUV'!$J62+$J62))+'Taxi-Vehicle Share Supporting D'!K192</f>
        <v>2.9398164606713015</v>
      </c>
      <c r="L144" s="171">
        <f>$J144*(Taxi_Household_Share*('Taxi-Vehicle Share Supporting D'!L129/'Taxi-Vehicle Share Supporting D'!$J129)+Taxi_Tourist_Share*('Taxi-Vehicle Share Supporting D'!L150/'Taxi-Vehicle Share Supporting D'!$J150)+Taxi_Commercial_Share*('Taxi-Vehicle Share Supporting D'!L213/'Taxi-Vehicle Share Supporting D'!$J213))+'Taxi-Vehicle Share Supporting D'!L108*($J62/('Car+SUV'!$J62+$J62))+'Taxi-Vehicle Share Supporting D'!L192</f>
        <v>13.035599141716922</v>
      </c>
      <c r="M144" s="171">
        <f>$J144*(Taxi_Household_Share*('Taxi-Vehicle Share Supporting D'!M129/'Taxi-Vehicle Share Supporting D'!$J129)+Taxi_Tourist_Share*('Taxi-Vehicle Share Supporting D'!M150/'Taxi-Vehicle Share Supporting D'!$J150)+Taxi_Commercial_Share*('Taxi-Vehicle Share Supporting D'!M213/'Taxi-Vehicle Share Supporting D'!$J213))+'Taxi-Vehicle Share Supporting D'!M108*($J62/('Car+SUV'!$J62+$J62))+'Taxi-Vehicle Share Supporting D'!M192</f>
        <v>23.146189977403317</v>
      </c>
      <c r="N144" s="171">
        <f>$J144*(Taxi_Household_Share*('Taxi-Vehicle Share Supporting D'!N129/'Taxi-Vehicle Share Supporting D'!$J129)+Taxi_Tourist_Share*('Taxi-Vehicle Share Supporting D'!N150/'Taxi-Vehicle Share Supporting D'!$J150)+Taxi_Commercial_Share*('Taxi-Vehicle Share Supporting D'!N213/'Taxi-Vehicle Share Supporting D'!$J213))+'Taxi-Vehicle Share Supporting D'!N108*($J62/('Car+SUV'!$J62+$J62))+'Taxi-Vehicle Share Supporting D'!N192</f>
        <v>33.030854981906252</v>
      </c>
      <c r="O144" s="171">
        <f>$J144*(Taxi_Household_Share*('Taxi-Vehicle Share Supporting D'!O129/'Taxi-Vehicle Share Supporting D'!$J129)+Taxi_Tourist_Share*('Taxi-Vehicle Share Supporting D'!O150/'Taxi-Vehicle Share Supporting D'!$J150)+Taxi_Commercial_Share*('Taxi-Vehicle Share Supporting D'!O213/'Taxi-Vehicle Share Supporting D'!$J213))+'Taxi-Vehicle Share Supporting D'!O108*($J62/('Car+SUV'!$J62+$J62))+'Taxi-Vehicle Share Supporting D'!O192</f>
        <v>42.682391087229277</v>
      </c>
      <c r="P144" s="171">
        <f>$J144*(Taxi_Household_Share*('Taxi-Vehicle Share Supporting D'!P129/'Taxi-Vehicle Share Supporting D'!$J129)+Taxi_Tourist_Share*('Taxi-Vehicle Share Supporting D'!P150/'Taxi-Vehicle Share Supporting D'!$J150)+Taxi_Commercial_Share*('Taxi-Vehicle Share Supporting D'!P213/'Taxi-Vehicle Share Supporting D'!$J213))+'Taxi-Vehicle Share Supporting D'!P108*($J62/('Car+SUV'!$J62+$J62))+'Taxi-Vehicle Share Supporting D'!P192</f>
        <v>51.977869938168055</v>
      </c>
      <c r="Q144" s="171">
        <f>$J144*(Taxi_Household_Share*('Taxi-Vehicle Share Supporting D'!Q129/'Taxi-Vehicle Share Supporting D'!$J129)+Taxi_Tourist_Share*('Taxi-Vehicle Share Supporting D'!Q150/'Taxi-Vehicle Share Supporting D'!$J150)+Taxi_Commercial_Share*('Taxi-Vehicle Share Supporting D'!Q213/'Taxi-Vehicle Share Supporting D'!$J213))+'Taxi-Vehicle Share Supporting D'!Q108*($J62/('Car+SUV'!$J62+$J62))+'Taxi-Vehicle Share Supporting D'!Q192</f>
        <v>60.897817045144123</v>
      </c>
      <c r="R144" s="199">
        <f>$J144*(Taxi_Household_Share*('Taxi-Vehicle Share Supporting D'!R129/'Taxi-Vehicle Share Supporting D'!$J129)+Taxi_Tourist_Share*('Taxi-Vehicle Share Supporting D'!R150/'Taxi-Vehicle Share Supporting D'!$J150)+Taxi_Commercial_Share*('Taxi-Vehicle Share Supporting D'!R213/'Taxi-Vehicle Share Supporting D'!$J213))+'Taxi-Vehicle Share Supporting D'!R108*($J62/('Car+SUV'!$J62+$J62))+'Taxi-Vehicle Share Supporting D'!R192</f>
        <v>69.44097263993244</v>
      </c>
      <c r="S144" s="56"/>
    </row>
    <row r="145" spans="3:19" ht="19" thickTop="1" thickBot="1" x14ac:dyDescent="0.25">
      <c r="C145" s="31" t="s">
        <v>24</v>
      </c>
      <c r="D145" s="61">
        <f t="shared" ref="D145:O145" si="84">SUM(D131:D144)</f>
        <v>72.037163507162475</v>
      </c>
      <c r="E145" s="62">
        <f t="shared" si="84"/>
        <v>71.584924474733342</v>
      </c>
      <c r="F145" s="62">
        <f t="shared" si="84"/>
        <v>71.246826967757883</v>
      </c>
      <c r="G145" s="62">
        <f t="shared" ref="G145:H145" si="85">SUM(G131:G144)</f>
        <v>70.527300522370751</v>
      </c>
      <c r="H145" s="62">
        <f t="shared" si="85"/>
        <v>79.610439330117231</v>
      </c>
      <c r="I145" s="200">
        <f t="shared" si="84"/>
        <v>82.929003905534231</v>
      </c>
      <c r="J145" s="200">
        <f t="shared" ref="J145" si="86">SUM(J131:J144)</f>
        <v>90.547637102659706</v>
      </c>
      <c r="K145" s="200">
        <f t="shared" si="84"/>
        <v>105.01081351690812</v>
      </c>
      <c r="L145" s="200">
        <f t="shared" si="84"/>
        <v>374.0572440597939</v>
      </c>
      <c r="M145" s="200">
        <f t="shared" si="84"/>
        <v>658.27777714486695</v>
      </c>
      <c r="N145" s="200">
        <f t="shared" si="84"/>
        <v>951.79996562575241</v>
      </c>
      <c r="O145" s="200">
        <f t="shared" si="84"/>
        <v>1254.6611127187289</v>
      </c>
      <c r="P145" s="200">
        <f t="shared" ref="P145:R145" si="87">SUM(P131:P144)</f>
        <v>1562.9403339491473</v>
      </c>
      <c r="Q145" s="200">
        <f t="shared" si="87"/>
        <v>1876.798446993603</v>
      </c>
      <c r="R145" s="201">
        <f t="shared" si="87"/>
        <v>2195.9307645632066</v>
      </c>
      <c r="S145" s="56"/>
    </row>
    <row r="146" spans="3:19" ht="14" thickTop="1" x14ac:dyDescent="0.15"/>
    <row r="147" spans="3:19" ht="14" thickBot="1" x14ac:dyDescent="0.2"/>
    <row r="148" spans="3:19" ht="17" thickTop="1" x14ac:dyDescent="0.2">
      <c r="C148" s="32" t="s">
        <v>127</v>
      </c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5"/>
      <c r="S148" s="121"/>
    </row>
    <row r="149" spans="3:19" ht="14" thickBot="1" x14ac:dyDescent="0.2">
      <c r="C149" s="18"/>
      <c r="D149" s="65" t="s">
        <v>25</v>
      </c>
      <c r="E149" s="65" t="s">
        <v>37</v>
      </c>
      <c r="F149" s="65" t="s">
        <v>38</v>
      </c>
      <c r="G149" s="37" t="s">
        <v>177</v>
      </c>
      <c r="H149" s="37" t="s">
        <v>178</v>
      </c>
      <c r="I149" s="65" t="s">
        <v>26</v>
      </c>
      <c r="J149" s="65"/>
      <c r="K149" s="65" t="s">
        <v>27</v>
      </c>
      <c r="L149" s="65" t="s">
        <v>28</v>
      </c>
      <c r="M149" s="65" t="s">
        <v>29</v>
      </c>
      <c r="N149" s="65" t="s">
        <v>30</v>
      </c>
      <c r="O149" s="65" t="s">
        <v>31</v>
      </c>
      <c r="P149" s="37" t="s">
        <v>174</v>
      </c>
      <c r="Q149" s="37" t="s">
        <v>175</v>
      </c>
      <c r="R149" s="38" t="s">
        <v>176</v>
      </c>
      <c r="S149" s="65"/>
    </row>
    <row r="150" spans="3:19" ht="15" thickTop="1" thickBot="1" x14ac:dyDescent="0.2">
      <c r="C150" s="70"/>
      <c r="D150" s="71" t="s">
        <v>39</v>
      </c>
      <c r="E150" s="71" t="s">
        <v>39</v>
      </c>
      <c r="F150" s="71" t="s">
        <v>39</v>
      </c>
      <c r="G150" s="71" t="s">
        <v>39</v>
      </c>
      <c r="H150" s="71" t="s">
        <v>39</v>
      </c>
      <c r="I150" s="71" t="s">
        <v>39</v>
      </c>
      <c r="J150" s="71"/>
      <c r="K150" s="71" t="s">
        <v>32</v>
      </c>
      <c r="L150" s="71" t="s">
        <v>32</v>
      </c>
      <c r="M150" s="71" t="s">
        <v>32</v>
      </c>
      <c r="N150" s="71" t="s">
        <v>32</v>
      </c>
      <c r="O150" s="71" t="s">
        <v>32</v>
      </c>
      <c r="P150" s="65" t="s">
        <v>32</v>
      </c>
      <c r="Q150" s="65" t="s">
        <v>32</v>
      </c>
      <c r="R150" s="66" t="s">
        <v>32</v>
      </c>
      <c r="S150" s="65"/>
    </row>
    <row r="151" spans="3:19" ht="17" thickTop="1" x14ac:dyDescent="0.2">
      <c r="C151" s="24" t="s">
        <v>0</v>
      </c>
      <c r="D151" s="42">
        <f>('[1]12_13 fleet'!$D159+'[1]12_13 fleet'!$D174)*'Light Vehicle Supporting Data'!D$194</f>
        <v>79</v>
      </c>
      <c r="E151" s="43">
        <f>('[2]13_14 fleet'!$D160+'[2]13_14 fleet'!$D175)*'Light Vehicle Supporting Data'!E$194</f>
        <v>79</v>
      </c>
      <c r="F151" s="43">
        <f>('[3]14_15 fleet'!$D160+'[3]14_15 fleet'!$D175)*'Light Vehicle Supporting Data'!F$194</f>
        <v>76</v>
      </c>
      <c r="G151" s="43">
        <f>('[4]15_16 fleet'!$D160+'[4]15_16 fleet'!$D175)*'Light Vehicle Supporting Data'!G$194</f>
        <v>81</v>
      </c>
      <c r="H151" s="43">
        <f>('[5]16_17 fleet_v2'!$D160+'[5]16_17 fleet_v2'!$D175)*'Light Vehicle Supporting Data'!H$194</f>
        <v>90</v>
      </c>
      <c r="I151" s="202">
        <f>('[6]17_18 fleet_v3'!$D185+'[6]17_18 fleet_v3'!$D200)*'Light Vehicle Supporting Data'!I$194</f>
        <v>95.4431048412156</v>
      </c>
      <c r="J151" s="202">
        <f>('[7]18_19 fleet_v3'!$D185+'[7]18_19 fleet_v3'!$D200)*'Light Vehicle Supporting Data'!J$194</f>
        <v>88.097072465818485</v>
      </c>
      <c r="K151" s="202">
        <f t="shared" ref="K151:R164" si="88">$J151*(K131/$J131)</f>
        <v>101.00744115802462</v>
      </c>
      <c r="L151" s="202">
        <f t="shared" si="88"/>
        <v>716.40147550119627</v>
      </c>
      <c r="M151" s="202">
        <f t="shared" si="88"/>
        <v>1358.7702738549822</v>
      </c>
      <c r="N151" s="202">
        <f t="shared" si="88"/>
        <v>2010.5164787974823</v>
      </c>
      <c r="O151" s="202">
        <f t="shared" si="88"/>
        <v>2667.5766286413818</v>
      </c>
      <c r="P151" s="129">
        <f t="shared" si="88"/>
        <v>3325.1570442836564</v>
      </c>
      <c r="Q151" s="129">
        <f t="shared" si="88"/>
        <v>3978.8787811531811</v>
      </c>
      <c r="R151" s="197">
        <f t="shared" si="88"/>
        <v>4627.4610094942054</v>
      </c>
      <c r="S151" s="56"/>
    </row>
    <row r="152" spans="3:19" ht="16" x14ac:dyDescent="0.2">
      <c r="C152" s="24" t="s">
        <v>1</v>
      </c>
      <c r="D152" s="42">
        <f>('[1]12_13 fleet'!$D160+'[1]12_13 fleet'!$D175)*'Light Vehicle Supporting Data'!D$194</f>
        <v>664</v>
      </c>
      <c r="E152" s="43">
        <f>('[2]13_14 fleet'!$D161+'[2]13_14 fleet'!$D176)*'Light Vehicle Supporting Data'!E$194</f>
        <v>668</v>
      </c>
      <c r="F152" s="43">
        <f>('[3]14_15 fleet'!$D161+'[3]14_15 fleet'!$D176)*'Light Vehicle Supporting Data'!F$194</f>
        <v>719</v>
      </c>
      <c r="G152" s="43">
        <f>('[4]15_16 fleet'!$D161+'[4]15_16 fleet'!$D176)*'Light Vehicle Supporting Data'!G$194</f>
        <v>741</v>
      </c>
      <c r="H152" s="43">
        <f>('[5]16_17 fleet_v2'!$D161+'[5]16_17 fleet_v2'!$D176)*'Light Vehicle Supporting Data'!H$194</f>
        <v>776</v>
      </c>
      <c r="I152" s="202">
        <f>('[6]17_18 fleet_v3'!$D186+'[6]17_18 fleet_v3'!$D201)*'Light Vehicle Supporting Data'!I$194</f>
        <v>917.31428541834987</v>
      </c>
      <c r="J152" s="202">
        <f>('[7]18_19 fleet_v3'!$D186+'[7]18_19 fleet_v3'!$D201)*'Light Vehicle Supporting Data'!J$194</f>
        <v>990.29600735673068</v>
      </c>
      <c r="K152" s="202">
        <f t="shared" si="88"/>
        <v>1177.7595719939384</v>
      </c>
      <c r="L152" s="202">
        <f t="shared" si="88"/>
        <v>3155.6721249541101</v>
      </c>
      <c r="M152" s="202">
        <f t="shared" si="88"/>
        <v>5335.1140943577966</v>
      </c>
      <c r="N152" s="202">
        <f t="shared" si="88"/>
        <v>7680.0325126208945</v>
      </c>
      <c r="O152" s="202">
        <f t="shared" si="88"/>
        <v>10199.989604599868</v>
      </c>
      <c r="P152" s="167">
        <f t="shared" si="88"/>
        <v>12862.898979497231</v>
      </c>
      <c r="Q152" s="167">
        <f t="shared" si="88"/>
        <v>15684.947201661305</v>
      </c>
      <c r="R152" s="198">
        <f t="shared" si="88"/>
        <v>18665.01193284562</v>
      </c>
      <c r="S152" s="56"/>
    </row>
    <row r="153" spans="3:19" ht="16" x14ac:dyDescent="0.2">
      <c r="C153" s="24" t="s">
        <v>2</v>
      </c>
      <c r="D153" s="42">
        <f>('[1]12_13 fleet'!$D161+'[1]12_13 fleet'!$D176)*'Light Vehicle Supporting Data'!D$194</f>
        <v>211</v>
      </c>
      <c r="E153" s="43">
        <f>('[2]13_14 fleet'!$D162+'[2]13_14 fleet'!$D177)*'Light Vehicle Supporting Data'!E$194</f>
        <v>198</v>
      </c>
      <c r="F153" s="43">
        <f>('[3]14_15 fleet'!$D162+'[3]14_15 fleet'!$D177)*'Light Vehicle Supporting Data'!F$194</f>
        <v>211</v>
      </c>
      <c r="G153" s="43">
        <f>('[4]15_16 fleet'!$D162+'[4]15_16 fleet'!$D177)*'Light Vehicle Supporting Data'!G$194</f>
        <v>219</v>
      </c>
      <c r="H153" s="43">
        <f>('[5]16_17 fleet_v2'!$D162+'[5]16_17 fleet_v2'!$D177)*'Light Vehicle Supporting Data'!H$194</f>
        <v>262</v>
      </c>
      <c r="I153" s="202">
        <f>('[6]17_18 fleet_v3'!$D187+'[6]17_18 fleet_v3'!$D202)*'Light Vehicle Supporting Data'!I$194</f>
        <v>258.75686201396229</v>
      </c>
      <c r="J153" s="202">
        <f>('[7]18_19 fleet_v3'!$D187+'[7]18_19 fleet_v3'!$D202)*'Light Vehicle Supporting Data'!J$194</f>
        <v>249.43147023454631</v>
      </c>
      <c r="K153" s="202">
        <f t="shared" si="88"/>
        <v>288.51088368089353</v>
      </c>
      <c r="L153" s="202">
        <f t="shared" si="88"/>
        <v>1493.7218291787433</v>
      </c>
      <c r="M153" s="202">
        <f t="shared" si="88"/>
        <v>2785.6947331499064</v>
      </c>
      <c r="N153" s="202">
        <f t="shared" si="88"/>
        <v>4135.7436478161017</v>
      </c>
      <c r="O153" s="202">
        <f t="shared" si="88"/>
        <v>5543.388900678854</v>
      </c>
      <c r="P153" s="167">
        <f t="shared" si="88"/>
        <v>6994.6780937643625</v>
      </c>
      <c r="Q153" s="167">
        <f t="shared" si="88"/>
        <v>8484.0874145880716</v>
      </c>
      <c r="R153" s="198">
        <f t="shared" si="88"/>
        <v>10009.565989906387</v>
      </c>
      <c r="S153" s="56"/>
    </row>
    <row r="154" spans="3:19" ht="16" x14ac:dyDescent="0.2">
      <c r="C154" s="24" t="s">
        <v>3</v>
      </c>
      <c r="D154" s="42">
        <f>('[1]12_13 fleet'!$D162+'[1]12_13 fleet'!$D177)*'Light Vehicle Supporting Data'!D$194</f>
        <v>203</v>
      </c>
      <c r="E154" s="43">
        <f>('[2]13_14 fleet'!$D163+'[2]13_14 fleet'!$D178)*'Light Vehicle Supporting Data'!E$194</f>
        <v>218</v>
      </c>
      <c r="F154" s="43">
        <f>('[3]14_15 fleet'!$D163+'[3]14_15 fleet'!$D178)*'Light Vehicle Supporting Data'!F$194</f>
        <v>216</v>
      </c>
      <c r="G154" s="43">
        <f>('[4]15_16 fleet'!$D163+'[4]15_16 fleet'!$D178)*'Light Vehicle Supporting Data'!G$194</f>
        <v>215</v>
      </c>
      <c r="H154" s="43">
        <f>('[5]16_17 fleet_v2'!$D163+'[5]16_17 fleet_v2'!$D178)*'Light Vehicle Supporting Data'!H$194</f>
        <v>256</v>
      </c>
      <c r="I154" s="202">
        <f>('[6]17_18 fleet_v3'!$D188+'[6]17_18 fleet_v3'!$D203)*'Light Vehicle Supporting Data'!I$194</f>
        <v>274.66404615416491</v>
      </c>
      <c r="J154" s="202">
        <f>('[7]18_19 fleet_v3'!$D188+'[7]18_19 fleet_v3'!$D203)*'Light Vehicle Supporting Data'!J$194</f>
        <v>287.64224865345551</v>
      </c>
      <c r="K154" s="202">
        <f t="shared" si="88"/>
        <v>331.67891152151742</v>
      </c>
      <c r="L154" s="202">
        <f t="shared" si="88"/>
        <v>1338.6135252726851</v>
      </c>
      <c r="M154" s="202">
        <f t="shared" si="88"/>
        <v>2403.1930437093138</v>
      </c>
      <c r="N154" s="202">
        <f t="shared" si="88"/>
        <v>3500.5103761589162</v>
      </c>
      <c r="O154" s="202">
        <f t="shared" si="88"/>
        <v>4631.3805295917145</v>
      </c>
      <c r="P154" s="167">
        <f t="shared" si="88"/>
        <v>5780.4402674679923</v>
      </c>
      <c r="Q154" s="167">
        <f t="shared" si="88"/>
        <v>6945.9677895269188</v>
      </c>
      <c r="R154" s="198">
        <f t="shared" si="88"/>
        <v>8126.1658826687089</v>
      </c>
      <c r="S154" s="56"/>
    </row>
    <row r="155" spans="3:19" ht="16" x14ac:dyDescent="0.2">
      <c r="C155" s="24" t="s">
        <v>4</v>
      </c>
      <c r="D155" s="42">
        <f>('[1]12_13 fleet'!$D163+'[1]12_13 fleet'!$D178)*'Light Vehicle Supporting Data'!D$194</f>
        <v>17</v>
      </c>
      <c r="E155" s="43">
        <f>('[2]13_14 fleet'!$D164+'[2]13_14 fleet'!$D179)*'Light Vehicle Supporting Data'!E$194</f>
        <v>16</v>
      </c>
      <c r="F155" s="43">
        <f>('[3]14_15 fleet'!$D164+'[3]14_15 fleet'!$D179)*'Light Vehicle Supporting Data'!F$194</f>
        <v>25</v>
      </c>
      <c r="G155" s="43">
        <f>('[4]15_16 fleet'!$D164+'[4]15_16 fleet'!$D179)*'Light Vehicle Supporting Data'!G$194</f>
        <v>24</v>
      </c>
      <c r="H155" s="43">
        <f>('[5]16_17 fleet_v2'!$D164+'[5]16_17 fleet_v2'!$D179)*'Light Vehicle Supporting Data'!H$194</f>
        <v>27</v>
      </c>
      <c r="I155" s="202">
        <f>('[6]17_18 fleet_v3'!$D189+'[6]17_18 fleet_v3'!$D204)*'Light Vehicle Supporting Data'!I$194</f>
        <v>27.572452509684506</v>
      </c>
      <c r="J155" s="202">
        <f>('[7]18_19 fleet_v3'!$D189+'[7]18_19 fleet_v3'!$D204)*'Light Vehicle Supporting Data'!J$194</f>
        <v>28.658083814181914</v>
      </c>
      <c r="K155" s="202">
        <f t="shared" si="88"/>
        <v>32.396645112658355</v>
      </c>
      <c r="L155" s="202">
        <f t="shared" si="88"/>
        <v>249.46478079214484</v>
      </c>
      <c r="M155" s="202">
        <f t="shared" si="88"/>
        <v>469.8591609886393</v>
      </c>
      <c r="N155" s="202">
        <f t="shared" si="88"/>
        <v>686.56014620014309</v>
      </c>
      <c r="O155" s="202">
        <f t="shared" si="88"/>
        <v>899.48578708755269</v>
      </c>
      <c r="P155" s="167">
        <f t="shared" si="88"/>
        <v>1106.6338498090181</v>
      </c>
      <c r="Q155" s="167">
        <f t="shared" si="88"/>
        <v>1306.6087121387668</v>
      </c>
      <c r="R155" s="198">
        <f t="shared" si="88"/>
        <v>1499.1964577024819</v>
      </c>
      <c r="S155" s="56"/>
    </row>
    <row r="156" spans="3:19" ht="16" x14ac:dyDescent="0.2">
      <c r="C156" s="24" t="s">
        <v>5</v>
      </c>
      <c r="D156" s="42">
        <f>('[1]12_13 fleet'!$D164+'[1]12_13 fleet'!$D179)*'Light Vehicle Supporting Data'!D$194</f>
        <v>72</v>
      </c>
      <c r="E156" s="43">
        <f>('[2]13_14 fleet'!$D165+'[2]13_14 fleet'!$D180)*'Light Vehicle Supporting Data'!E$194</f>
        <v>75</v>
      </c>
      <c r="F156" s="43">
        <f>('[3]14_15 fleet'!$D165+'[3]14_15 fleet'!$D180)*'Light Vehicle Supporting Data'!F$194</f>
        <v>79</v>
      </c>
      <c r="G156" s="43">
        <f>('[4]15_16 fleet'!$D165+'[4]15_16 fleet'!$D180)*'Light Vehicle Supporting Data'!G$194</f>
        <v>91</v>
      </c>
      <c r="H156" s="43">
        <f>('[5]16_17 fleet_v2'!$D165+'[5]16_17 fleet_v2'!$D180)*'Light Vehicle Supporting Data'!H$194</f>
        <v>93</v>
      </c>
      <c r="I156" s="202">
        <f>('[6]17_18 fleet_v3'!$D190+'[6]17_18 fleet_v3'!$D205)*'Light Vehicle Supporting Data'!I$194</f>
        <v>121.95507840821993</v>
      </c>
      <c r="J156" s="202">
        <f>('[7]18_19 fleet_v3'!$D190+'[7]18_19 fleet_v3'!$D205)*'Light Vehicle Supporting Data'!J$194</f>
        <v>119.93938781490949</v>
      </c>
      <c r="K156" s="202">
        <f t="shared" si="88"/>
        <v>135.59254419833155</v>
      </c>
      <c r="L156" s="202">
        <f t="shared" si="88"/>
        <v>654.93036218658756</v>
      </c>
      <c r="M156" s="202">
        <f t="shared" si="88"/>
        <v>1182.8451559200123</v>
      </c>
      <c r="N156" s="202">
        <f t="shared" si="88"/>
        <v>1706.0385686206571</v>
      </c>
      <c r="O156" s="202">
        <f t="shared" si="88"/>
        <v>2222.7272978699984</v>
      </c>
      <c r="P156" s="167">
        <f t="shared" si="88"/>
        <v>2727.2267921833718</v>
      </c>
      <c r="Q156" s="167">
        <f t="shared" si="88"/>
        <v>3217.749525868041</v>
      </c>
      <c r="R156" s="198">
        <f t="shared" si="88"/>
        <v>3693.790889220832</v>
      </c>
      <c r="S156" s="56"/>
    </row>
    <row r="157" spans="3:19" ht="16" x14ac:dyDescent="0.2">
      <c r="C157" s="24" t="s">
        <v>6</v>
      </c>
      <c r="D157" s="42">
        <f>('[1]12_13 fleet'!$D165+'[1]12_13 fleet'!$D180)*'Light Vehicle Supporting Data'!D$194</f>
        <v>32</v>
      </c>
      <c r="E157" s="43">
        <f>('[2]13_14 fleet'!$D166+'[2]13_14 fleet'!$D181)*'Light Vehicle Supporting Data'!E$194</f>
        <v>36</v>
      </c>
      <c r="F157" s="43">
        <f>('[3]14_15 fleet'!$D166+'[3]14_15 fleet'!$D181)*'Light Vehicle Supporting Data'!F$194</f>
        <v>36</v>
      </c>
      <c r="G157" s="43">
        <f>('[4]15_16 fleet'!$D166+'[4]15_16 fleet'!$D181)*'Light Vehicle Supporting Data'!G$194</f>
        <v>35</v>
      </c>
      <c r="H157" s="43">
        <f>('[5]16_17 fleet_v2'!$D166+'[5]16_17 fleet_v2'!$D181)*'Light Vehicle Supporting Data'!H$194</f>
        <v>38</v>
      </c>
      <c r="I157" s="202">
        <f>('[6]17_18 fleet_v3'!$D191+'[6]17_18 fleet_v3'!$D206)*'Light Vehicle Supporting Data'!I$194</f>
        <v>50.902989248648318</v>
      </c>
      <c r="J157" s="202">
        <f>('[7]18_19 fleet_v3'!$D191+'[7]18_19 fleet_v3'!$D206)*'Light Vehicle Supporting Data'!J$194</f>
        <v>53.070525581818359</v>
      </c>
      <c r="K157" s="202">
        <f t="shared" si="88"/>
        <v>60.380398686742467</v>
      </c>
      <c r="L157" s="202">
        <f t="shared" si="88"/>
        <v>493.83694299851061</v>
      </c>
      <c r="M157" s="202">
        <f t="shared" si="88"/>
        <v>944.58578625187579</v>
      </c>
      <c r="N157" s="202">
        <f t="shared" si="88"/>
        <v>1402.7802396797993</v>
      </c>
      <c r="O157" s="202">
        <f t="shared" si="88"/>
        <v>1868.1227743226857</v>
      </c>
      <c r="P157" s="167">
        <f t="shared" si="88"/>
        <v>2335.7050113552327</v>
      </c>
      <c r="Q157" s="167">
        <f t="shared" si="88"/>
        <v>2802.1001821108039</v>
      </c>
      <c r="R157" s="198">
        <f t="shared" si="88"/>
        <v>3266.3587494389003</v>
      </c>
      <c r="S157" s="56"/>
    </row>
    <row r="158" spans="3:19" ht="16" x14ac:dyDescent="0.2">
      <c r="C158" s="24" t="s">
        <v>7</v>
      </c>
      <c r="D158" s="42">
        <f>('[1]12_13 fleet'!$D166+'[1]12_13 fleet'!$D181)*'Light Vehicle Supporting Data'!D$194</f>
        <v>102</v>
      </c>
      <c r="E158" s="43">
        <f>('[2]13_14 fleet'!$D167+'[2]13_14 fleet'!$D182)*'Light Vehicle Supporting Data'!E$194</f>
        <v>107</v>
      </c>
      <c r="F158" s="43">
        <f>('[3]14_15 fleet'!$D167+'[3]14_15 fleet'!$D182)*'Light Vehicle Supporting Data'!F$194</f>
        <v>97</v>
      </c>
      <c r="G158" s="43">
        <f>('[4]15_16 fleet'!$D167+'[4]15_16 fleet'!$D182)*'Light Vehicle Supporting Data'!G$194</f>
        <v>97</v>
      </c>
      <c r="H158" s="43">
        <f>('[5]16_17 fleet_v2'!$D167+'[5]16_17 fleet_v2'!$D182)*'Light Vehicle Supporting Data'!H$194</f>
        <v>201</v>
      </c>
      <c r="I158" s="202">
        <f>('[6]17_18 fleet_v3'!$D192+'[6]17_18 fleet_v3'!$D207)*'Light Vehicle Supporting Data'!I$194</f>
        <v>133.62034677770183</v>
      </c>
      <c r="J158" s="202">
        <f>('[7]18_19 fleet_v3'!$D192+'[7]18_19 fleet_v3'!$D207)*'Light Vehicle Supporting Data'!J$194</f>
        <v>127.36926139636407</v>
      </c>
      <c r="K158" s="202">
        <f t="shared" si="88"/>
        <v>143.54958318285205</v>
      </c>
      <c r="L158" s="202">
        <f t="shared" si="88"/>
        <v>856.80075878169669</v>
      </c>
      <c r="M158" s="202">
        <f t="shared" si="88"/>
        <v>1579.8385465991819</v>
      </c>
      <c r="N158" s="202">
        <f t="shared" si="88"/>
        <v>2294.5443902028414</v>
      </c>
      <c r="O158" s="202">
        <f t="shared" si="88"/>
        <v>2998.2655637131779</v>
      </c>
      <c r="P158" s="167">
        <f t="shared" si="88"/>
        <v>3684.2420718364688</v>
      </c>
      <c r="Q158" s="167">
        <f t="shared" si="88"/>
        <v>4348.6983071700288</v>
      </c>
      <c r="R158" s="198">
        <f t="shared" si="88"/>
        <v>4990.933667468913</v>
      </c>
      <c r="S158" s="56"/>
    </row>
    <row r="159" spans="3:19" ht="16" x14ac:dyDescent="0.2">
      <c r="C159" s="24" t="s">
        <v>8</v>
      </c>
      <c r="D159" s="42">
        <f>('[1]12_13 fleet'!$D167+'[1]12_13 fleet'!$D182)*'Light Vehicle Supporting Data'!D$194</f>
        <v>144</v>
      </c>
      <c r="E159" s="43">
        <f>('[2]13_14 fleet'!$D168+'[2]13_14 fleet'!$D183)*'Light Vehicle Supporting Data'!E$194</f>
        <v>142</v>
      </c>
      <c r="F159" s="43">
        <f>('[3]14_15 fleet'!$D168+'[3]14_15 fleet'!$D183)*'Light Vehicle Supporting Data'!F$194</f>
        <v>146</v>
      </c>
      <c r="G159" s="43">
        <f>('[4]15_16 fleet'!$D168+'[4]15_16 fleet'!$D183)*'Light Vehicle Supporting Data'!G$194</f>
        <v>147</v>
      </c>
      <c r="H159" s="43">
        <f>('[5]16_17 fleet_v2'!$D168+'[5]16_17 fleet_v2'!$D183)*'Light Vehicle Supporting Data'!H$194</f>
        <v>149</v>
      </c>
      <c r="I159" s="202">
        <f>('[6]17_18 fleet_v3'!$D193+'[6]17_18 fleet_v3'!$D208)*'Light Vehicle Supporting Data'!I$194</f>
        <v>200.43052016655275</v>
      </c>
      <c r="J159" s="202">
        <f>('[7]18_19 fleet_v3'!$D193+'[7]18_19 fleet_v3'!$D208)*'Light Vehicle Supporting Data'!J$194</f>
        <v>196.36094465272794</v>
      </c>
      <c r="K159" s="202">
        <f t="shared" si="88"/>
        <v>224.11678110152118</v>
      </c>
      <c r="L159" s="202">
        <f t="shared" si="88"/>
        <v>765.8486985290964</v>
      </c>
      <c r="M159" s="202">
        <f t="shared" si="88"/>
        <v>1327.2330143477213</v>
      </c>
      <c r="N159" s="202">
        <f t="shared" si="88"/>
        <v>1896.9911475086481</v>
      </c>
      <c r="O159" s="202">
        <f t="shared" si="88"/>
        <v>2473.6839154419963</v>
      </c>
      <c r="P159" s="167">
        <f t="shared" si="88"/>
        <v>3048.5400151014683</v>
      </c>
      <c r="Q159" s="167">
        <f t="shared" si="88"/>
        <v>3621.2061230885092</v>
      </c>
      <c r="R159" s="198">
        <f t="shared" si="88"/>
        <v>4190.6010167599316</v>
      </c>
      <c r="S159" s="56"/>
    </row>
    <row r="160" spans="3:19" ht="16" x14ac:dyDescent="0.2">
      <c r="C160" s="24" t="s">
        <v>9</v>
      </c>
      <c r="D160" s="42">
        <f>('[1]12_13 fleet'!$D168+'[1]12_13 fleet'!$D183)*'Light Vehicle Supporting Data'!D$194</f>
        <v>94</v>
      </c>
      <c r="E160" s="43">
        <f>('[2]13_14 fleet'!$D169+'[2]13_14 fleet'!$D184)*'Light Vehicle Supporting Data'!E$194</f>
        <v>97</v>
      </c>
      <c r="F160" s="43">
        <f>('[3]14_15 fleet'!$D169+'[3]14_15 fleet'!$D184)*'Light Vehicle Supporting Data'!F$194</f>
        <v>105</v>
      </c>
      <c r="G160" s="43">
        <f>('[4]15_16 fleet'!$D169+'[4]15_16 fleet'!$D184)*'Light Vehicle Supporting Data'!G$194</f>
        <v>112</v>
      </c>
      <c r="H160" s="43">
        <f>('[5]16_17 fleet_v2'!$D169+'[5]16_17 fleet_v2'!$D184)*'Light Vehicle Supporting Data'!H$194</f>
        <v>124</v>
      </c>
      <c r="I160" s="202">
        <f>('[6]17_18 fleet_v3'!$D194+'[6]17_18 fleet_v3'!$D209)*'Light Vehicle Supporting Data'!I$194</f>
        <v>142.10417831914322</v>
      </c>
      <c r="J160" s="202">
        <f>('[7]18_19 fleet_v3'!$D194+'[7]18_19 fleet_v3'!$D209)*'Light Vehicle Supporting Data'!J$194</f>
        <v>152.84311367563689</v>
      </c>
      <c r="K160" s="202">
        <f t="shared" si="88"/>
        <v>173.8022340725785</v>
      </c>
      <c r="L160" s="202">
        <f t="shared" si="88"/>
        <v>722.99903035408227</v>
      </c>
      <c r="M160" s="202">
        <f t="shared" si="88"/>
        <v>1288.9384278135879</v>
      </c>
      <c r="N160" s="202">
        <f t="shared" si="88"/>
        <v>1857.0857330783695</v>
      </c>
      <c r="O160" s="202">
        <f t="shared" si="88"/>
        <v>2422.5642648754229</v>
      </c>
      <c r="P160" s="167">
        <f t="shared" si="88"/>
        <v>2980.4173678342127</v>
      </c>
      <c r="Q160" s="167">
        <f t="shared" si="88"/>
        <v>3529.421608240511</v>
      </c>
      <c r="R160" s="198">
        <f t="shared" si="88"/>
        <v>4068.9206707597773</v>
      </c>
      <c r="S160" s="56"/>
    </row>
    <row r="161" spans="3:19" ht="16" x14ac:dyDescent="0.2">
      <c r="C161" s="24" t="s">
        <v>10</v>
      </c>
      <c r="D161" s="42">
        <f>('[1]12_13 fleet'!$D169+'[1]12_13 fleet'!$D184)*'Light Vehicle Supporting Data'!D$194</f>
        <v>51</v>
      </c>
      <c r="E161" s="43">
        <f>('[2]13_14 fleet'!$D170+'[2]13_14 fleet'!$D185)*'Light Vehicle Supporting Data'!E$194</f>
        <v>55</v>
      </c>
      <c r="F161" s="43">
        <f>('[3]14_15 fleet'!$D170+'[3]14_15 fleet'!$D185)*'Light Vehicle Supporting Data'!F$194</f>
        <v>53</v>
      </c>
      <c r="G161" s="43">
        <f>('[4]15_16 fleet'!$D170+'[4]15_16 fleet'!$D185)*'Light Vehicle Supporting Data'!G$194</f>
        <v>57</v>
      </c>
      <c r="H161" s="43">
        <f>('[5]16_17 fleet_v2'!$D170+'[5]16_17 fleet_v2'!$D185)*'Light Vehicle Supporting Data'!H$194</f>
        <v>58</v>
      </c>
      <c r="I161" s="202">
        <f>('[6]17_18 fleet_v3'!$D195+'[6]17_18 fleet_v3'!$D210)*'Light Vehicle Supporting Data'!I$194</f>
        <v>63.628736560810395</v>
      </c>
      <c r="J161" s="202">
        <f>('[7]18_19 fleet_v3'!$D195+'[7]18_19 fleet_v3'!$D210)*'Light Vehicle Supporting Data'!J$194</f>
        <v>64.746041209818401</v>
      </c>
      <c r="K161" s="202">
        <f t="shared" si="88"/>
        <v>72.285411936086177</v>
      </c>
      <c r="L161" s="202">
        <f t="shared" si="88"/>
        <v>210.70824822965253</v>
      </c>
      <c r="M161" s="202">
        <f t="shared" si="88"/>
        <v>345.52927011727905</v>
      </c>
      <c r="N161" s="202">
        <f t="shared" si="88"/>
        <v>473.90132538710679</v>
      </c>
      <c r="O161" s="202">
        <f t="shared" si="88"/>
        <v>596.7069990962616</v>
      </c>
      <c r="P161" s="167">
        <f t="shared" si="88"/>
        <v>711.5379432475404</v>
      </c>
      <c r="Q161" s="167">
        <f t="shared" si="88"/>
        <v>819.35134657858396</v>
      </c>
      <c r="R161" s="198">
        <f t="shared" si="88"/>
        <v>920.47502030559701</v>
      </c>
      <c r="S161" s="56"/>
    </row>
    <row r="162" spans="3:19" ht="16" x14ac:dyDescent="0.2">
      <c r="C162" s="24" t="s">
        <v>11</v>
      </c>
      <c r="D162" s="42">
        <f>('[1]12_13 fleet'!$D170+'[1]12_13 fleet'!$D185)*'Light Vehicle Supporting Data'!D$194</f>
        <v>372</v>
      </c>
      <c r="E162" s="43">
        <f>('[2]13_14 fleet'!$D171+'[2]13_14 fleet'!$D186)*'Light Vehicle Supporting Data'!E$194</f>
        <v>331</v>
      </c>
      <c r="F162" s="43">
        <f>('[3]14_15 fleet'!$D171+'[3]14_15 fleet'!$D186)*'Light Vehicle Supporting Data'!F$194</f>
        <v>343</v>
      </c>
      <c r="G162" s="43">
        <f>('[4]15_16 fleet'!$D171+'[4]15_16 fleet'!$D186)*'Light Vehicle Supporting Data'!G$194</f>
        <v>357</v>
      </c>
      <c r="H162" s="43">
        <f>('[5]16_17 fleet_v2'!$D171+'[5]16_17 fleet_v2'!$D186)*'Light Vehicle Supporting Data'!H$194</f>
        <v>397</v>
      </c>
      <c r="I162" s="202">
        <f>('[6]17_18 fleet_v3'!$D196+'[6]17_18 fleet_v3'!$D211)*'Light Vehicle Supporting Data'!I$194</f>
        <v>486.75983469019951</v>
      </c>
      <c r="J162" s="202">
        <f>('[7]18_19 fleet_v3'!$D196+'[7]18_19 fleet_v3'!$D211)*'Light Vehicle Supporting Data'!J$194</f>
        <v>530.70525581818367</v>
      </c>
      <c r="K162" s="202">
        <f t="shared" si="88"/>
        <v>617.68481821866828</v>
      </c>
      <c r="L162" s="202">
        <f t="shared" si="88"/>
        <v>2095.9857566013438</v>
      </c>
      <c r="M162" s="202">
        <f t="shared" si="88"/>
        <v>3685.801361103157</v>
      </c>
      <c r="N162" s="202">
        <f t="shared" si="88"/>
        <v>5359.5888123890199</v>
      </c>
      <c r="O162" s="202">
        <f t="shared" si="88"/>
        <v>7118.5283480952849</v>
      </c>
      <c r="P162" s="167">
        <f t="shared" si="88"/>
        <v>8938.5068537423158</v>
      </c>
      <c r="Q162" s="167">
        <f t="shared" si="88"/>
        <v>10821.839891214275</v>
      </c>
      <c r="R162" s="198">
        <f t="shared" si="88"/>
        <v>12767.0769364514</v>
      </c>
      <c r="S162" s="56"/>
    </row>
    <row r="163" spans="3:19" ht="16" x14ac:dyDescent="0.2">
      <c r="C163" s="24" t="s">
        <v>12</v>
      </c>
      <c r="D163" s="42">
        <f>('[1]12_13 fleet'!$D171+'[1]12_13 fleet'!$D186)*'Light Vehicle Supporting Data'!D$194</f>
        <v>294</v>
      </c>
      <c r="E163" s="43">
        <f>('[2]13_14 fleet'!$D172+'[2]13_14 fleet'!$D187)*'Light Vehicle Supporting Data'!E$194</f>
        <v>309</v>
      </c>
      <c r="F163" s="43">
        <f>('[3]14_15 fleet'!$D172+'[3]14_15 fleet'!$D187)*'Light Vehicle Supporting Data'!F$194</f>
        <v>317</v>
      </c>
      <c r="G163" s="43">
        <f>('[4]15_16 fleet'!$D172+'[4]15_16 fleet'!$D187)*'Light Vehicle Supporting Data'!G$194</f>
        <v>334</v>
      </c>
      <c r="H163" s="43">
        <f>('[5]16_17 fleet_v2'!$D172+'[5]16_17 fleet_v2'!$D187)*'Light Vehicle Supporting Data'!H$194</f>
        <v>362</v>
      </c>
      <c r="I163" s="202">
        <f>('[6]17_18 fleet_v3'!$D197+'[6]17_18 fleet_v3'!$D212)*'Light Vehicle Supporting Data'!I$194</f>
        <v>424.19157707206932</v>
      </c>
      <c r="J163" s="202">
        <f>('[7]18_19 fleet_v3'!$D197+'[7]18_19 fleet_v3'!$D212)*'Light Vehicle Supporting Data'!J$194</f>
        <v>445.79241488727422</v>
      </c>
      <c r="K163" s="202">
        <f t="shared" si="88"/>
        <v>512.77482545067073</v>
      </c>
      <c r="L163" s="202">
        <f t="shared" si="88"/>
        <v>1106.0644849872792</v>
      </c>
      <c r="M163" s="202">
        <f t="shared" si="88"/>
        <v>1720.690065514578</v>
      </c>
      <c r="N163" s="202">
        <f t="shared" si="88"/>
        <v>2349.3709993598654</v>
      </c>
      <c r="O163" s="202">
        <f t="shared" si="88"/>
        <v>2995.3910423050206</v>
      </c>
      <c r="P163" s="167">
        <f t="shared" si="88"/>
        <v>3640.0219857264105</v>
      </c>
      <c r="Q163" s="167">
        <f t="shared" si="88"/>
        <v>4292.4173721264651</v>
      </c>
      <c r="R163" s="198">
        <f t="shared" si="88"/>
        <v>4952.2898049488449</v>
      </c>
      <c r="S163" s="56"/>
    </row>
    <row r="164" spans="3:19" ht="17" thickBot="1" x14ac:dyDescent="0.25">
      <c r="C164" s="25" t="s">
        <v>13</v>
      </c>
      <c r="D164" s="45">
        <f>('[1]12_13 fleet'!$D172+'[1]12_13 fleet'!$D187)*'Light Vehicle Supporting Data'!D$194</f>
        <v>98</v>
      </c>
      <c r="E164" s="46">
        <f>('[2]13_14 fleet'!$D173+'[2]13_14 fleet'!$D188)*'Light Vehicle Supporting Data'!E$194</f>
        <v>95</v>
      </c>
      <c r="F164" s="46">
        <f>('[3]14_15 fleet'!$D173+'[3]14_15 fleet'!$D188)*'Light Vehicle Supporting Data'!F$194</f>
        <v>91</v>
      </c>
      <c r="G164" s="46">
        <f>('[4]15_16 fleet'!$D173+'[4]15_16 fleet'!$D188)*'Light Vehicle Supporting Data'!G$194</f>
        <v>97</v>
      </c>
      <c r="H164" s="46">
        <f>('[5]16_17 fleet_v2'!$D173+'[5]16_17 fleet_v2'!$D188)*'Light Vehicle Supporting Data'!H$194</f>
        <v>94</v>
      </c>
      <c r="I164" s="203">
        <f>('[6]17_18 fleet_v3'!$D198+'[6]17_18 fleet_v3'!$D213)*'Light Vehicle Supporting Data'!I$194</f>
        <v>97.564062726575941</v>
      </c>
      <c r="J164" s="203">
        <f>('[7]18_19 fleet_v3'!$D198+'[7]18_19 fleet_v3'!$D213)*'Light Vehicle Supporting Data'!J$194</f>
        <v>107.20246167527309</v>
      </c>
      <c r="K164" s="203">
        <f t="shared" si="88"/>
        <v>120.27877904725507</v>
      </c>
      <c r="L164" s="203">
        <f t="shared" si="88"/>
        <v>533.33463836620922</v>
      </c>
      <c r="M164" s="203">
        <f t="shared" si="88"/>
        <v>946.996354133674</v>
      </c>
      <c r="N164" s="203">
        <f t="shared" si="88"/>
        <v>1351.4146074287305</v>
      </c>
      <c r="O164" s="202">
        <f t="shared" si="88"/>
        <v>1746.2946940630063</v>
      </c>
      <c r="P164" s="171">
        <f t="shared" si="88"/>
        <v>2126.6071597586342</v>
      </c>
      <c r="Q164" s="171">
        <f t="shared" si="88"/>
        <v>2491.5552310229837</v>
      </c>
      <c r="R164" s="199">
        <f t="shared" si="88"/>
        <v>2841.0873660724019</v>
      </c>
      <c r="S164" s="56"/>
    </row>
    <row r="165" spans="3:19" ht="19" thickTop="1" thickBot="1" x14ac:dyDescent="0.25">
      <c r="C165" s="20" t="s">
        <v>24</v>
      </c>
      <c r="D165" s="48">
        <f t="shared" ref="D165:O165" si="89">SUM(D151:D164)</f>
        <v>2433</v>
      </c>
      <c r="E165" s="48">
        <f t="shared" si="89"/>
        <v>2426</v>
      </c>
      <c r="F165" s="48">
        <f t="shared" si="89"/>
        <v>2514</v>
      </c>
      <c r="G165" s="48">
        <f t="shared" si="89"/>
        <v>2607</v>
      </c>
      <c r="H165" s="48">
        <f t="shared" si="89"/>
        <v>2927</v>
      </c>
      <c r="I165" s="48">
        <f>SUM(I151:I164)</f>
        <v>3294.9080749072987</v>
      </c>
      <c r="J165" s="48">
        <f>SUM(J151:J164)</f>
        <v>3442.1542892367393</v>
      </c>
      <c r="K165" s="48">
        <f t="shared" si="89"/>
        <v>3991.8188293617391</v>
      </c>
      <c r="L165" s="48">
        <f t="shared" si="89"/>
        <v>14394.382656733334</v>
      </c>
      <c r="M165" s="48">
        <f t="shared" si="89"/>
        <v>25375.089287861705</v>
      </c>
      <c r="N165" s="48">
        <f t="shared" si="89"/>
        <v>36705.078985248576</v>
      </c>
      <c r="O165" s="48">
        <f t="shared" si="89"/>
        <v>48384.10635038223</v>
      </c>
      <c r="P165" s="62">
        <f t="shared" ref="P165:R165" si="90">SUM(P151:P164)</f>
        <v>60262.613435607906</v>
      </c>
      <c r="Q165" s="62">
        <f t="shared" si="90"/>
        <v>72344.829486488452</v>
      </c>
      <c r="R165" s="63">
        <f t="shared" si="90"/>
        <v>84618.935394043991</v>
      </c>
      <c r="S165" s="43"/>
    </row>
    <row r="166" spans="3:19" ht="19" thickTop="1" thickBot="1" x14ac:dyDescent="0.25">
      <c r="C166" s="31" t="s">
        <v>96</v>
      </c>
      <c r="D166" s="48">
        <f>SUM('[1]12_13 fleet'!$D$158:$D$172)+SUM('[1]12_13 fleet'!$D$173:$D$187)</f>
        <v>2433</v>
      </c>
      <c r="E166" s="48">
        <f>SUM('[2]13_14 fleet'!$D$159:$D$173)+SUM('[2]13_14 fleet'!$D$174:$D$188)</f>
        <v>2426</v>
      </c>
      <c r="F166" s="48">
        <f>SUM('[3]14_15 fleet'!$D$159:$D$173)+SUM('[3]14_15 fleet'!$D$174:$D$188)</f>
        <v>2514</v>
      </c>
      <c r="G166" s="48">
        <f>SUM('[4]15_16 fleet'!$D$159:$D$173)+SUM('[4]15_16 fleet'!$D$174:$D$188)</f>
        <v>2607</v>
      </c>
      <c r="H166" s="48">
        <f>SUM('[5]16_17 fleet_v2'!$D$159:$D$173)+SUM('[5]16_17 fleet_v2'!$D$174:$D$188)</f>
        <v>2927</v>
      </c>
      <c r="I166" s="48">
        <f>SUM('[6]17_18 fleet_v3'!$D$160:$D$174)+SUM('[6]17_18 fleet_v3'!$D$175:$D$189)</f>
        <v>102385</v>
      </c>
      <c r="J166" s="48">
        <f>SUM('[7]18_19 fleet_v3'!$D$160:$D$174)+SUM('[7]18_19 fleet_v3'!$D$175:$D$189)</f>
        <v>105034</v>
      </c>
      <c r="K166" s="62"/>
      <c r="L166" s="62"/>
      <c r="M166" s="62"/>
      <c r="N166" s="62"/>
      <c r="O166" s="62"/>
      <c r="P166" s="62"/>
      <c r="Q166" s="62"/>
      <c r="R166" s="63"/>
      <c r="S166" s="56"/>
    </row>
    <row r="167" spans="3:19" ht="14" thickTop="1" x14ac:dyDescent="0.1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7</vt:i4>
      </vt:variant>
    </vt:vector>
  </HeadingPairs>
  <TitlesOfParts>
    <vt:vector size="40" baseType="lpstr">
      <vt:lpstr>Provenance</vt:lpstr>
      <vt:lpstr>Summary</vt:lpstr>
      <vt:lpstr>Summary_Initial</vt:lpstr>
      <vt:lpstr>Regional VKT Summary</vt:lpstr>
      <vt:lpstr>Regional Vehicle Summary</vt:lpstr>
      <vt:lpstr>All Vehicle Types</vt:lpstr>
      <vt:lpstr>All Light Vehicles</vt:lpstr>
      <vt:lpstr>Car+SUV</vt:lpstr>
      <vt:lpstr>Van+Ute</vt:lpstr>
      <vt:lpstr>Heavy Truck</vt:lpstr>
      <vt:lpstr>Heavy Bus</vt:lpstr>
      <vt:lpstr>Motorcycle</vt:lpstr>
      <vt:lpstr>Original 2012-13 Data</vt:lpstr>
      <vt:lpstr>Scaled 2012-13 Data</vt:lpstr>
      <vt:lpstr>Original 2013-14 Data</vt:lpstr>
      <vt:lpstr>Scaled 2013-14 Data</vt:lpstr>
      <vt:lpstr>Original 2014-15 Data</vt:lpstr>
      <vt:lpstr>Scaled 2014-15 Data</vt:lpstr>
      <vt:lpstr>Original 2015-16 Data</vt:lpstr>
      <vt:lpstr>Scaled 2015-16 Data</vt:lpstr>
      <vt:lpstr>Original 2016-17 Data</vt:lpstr>
      <vt:lpstr>Scaled 2016-17 Data</vt:lpstr>
      <vt:lpstr>Original 2017-18 Data</vt:lpstr>
      <vt:lpstr>Scaled 2017-18 Data</vt:lpstr>
      <vt:lpstr>Original 2018-19 Data</vt:lpstr>
      <vt:lpstr>Scaled 2018-19 Data</vt:lpstr>
      <vt:lpstr>Household Vehicle Occupancy</vt:lpstr>
      <vt:lpstr>Light Vehicle Supporting Data</vt:lpstr>
      <vt:lpstr>Vehicle Share Diversion Support</vt:lpstr>
      <vt:lpstr>Taxi-Vehicle Share Supporting D</vt:lpstr>
      <vt:lpstr>Heavy Truck Supporting Data</vt:lpstr>
      <vt:lpstr>Heavy Bus Supporting Data</vt:lpstr>
      <vt:lpstr>Motorcycle Supporting Data</vt:lpstr>
      <vt:lpstr>Convergence_Criteria</vt:lpstr>
      <vt:lpstr>Fraction_LPV_Vehicles</vt:lpstr>
      <vt:lpstr>Light_Household_Vehicle_Fraction</vt:lpstr>
      <vt:lpstr>Light_Household_VKT_Fraction</vt:lpstr>
      <vt:lpstr>Taxi_Commercial_Share</vt:lpstr>
      <vt:lpstr>Taxi_Household_Share</vt:lpstr>
      <vt:lpstr>Taxi_Tourist_Share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Samuelson</dc:creator>
  <cp:lastModifiedBy>Michael Jack</cp:lastModifiedBy>
  <cp:lastPrinted>2018-10-29T01:53:47Z</cp:lastPrinted>
  <dcterms:created xsi:type="dcterms:W3CDTF">2016-05-12T02:44:30Z</dcterms:created>
  <dcterms:modified xsi:type="dcterms:W3CDTF">2021-11-14T23:38:19Z</dcterms:modified>
</cp:coreProperties>
</file>