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100995420\Desktop\Python Scripts\"/>
    </mc:Choice>
  </mc:AlternateContent>
  <xr:revisionPtr revIDLastSave="0" documentId="13_ncr:1_{E5455816-CD18-43E7-9DA7-C18054AB0D9C}" xr6:coauthVersionLast="47" xr6:coauthVersionMax="47" xr10:uidLastSave="{00000000-0000-0000-0000-000000000000}"/>
  <bookViews>
    <workbookView xWindow="-108" yWindow="-108" windowWidth="23256" windowHeight="12456" xr2:uid="{781531C4-9D66-49A9-8CB0-3DD10E335DD3}"/>
  </bookViews>
  <sheets>
    <sheet name="ChatGPT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1" l="1"/>
  <c r="AX20" i="1"/>
  <c r="AU20" i="1"/>
  <c r="AS20" i="1"/>
  <c r="AR20" i="1"/>
  <c r="AQ20" i="1"/>
  <c r="AP20" i="1"/>
  <c r="AO20" i="1"/>
  <c r="AN20" i="1"/>
  <c r="AZ20" i="1" s="1"/>
  <c r="K20" i="1"/>
  <c r="L20" i="1" s="1"/>
  <c r="J20" i="1"/>
  <c r="H20" i="1"/>
  <c r="I20" i="1" s="1"/>
  <c r="C20" i="1"/>
  <c r="A20" i="1" s="1"/>
  <c r="AV19" i="1"/>
  <c r="AU19" i="1"/>
  <c r="AS19" i="1"/>
  <c r="AR19" i="1"/>
  <c r="AQ19" i="1"/>
  <c r="AP19" i="1"/>
  <c r="AO19" i="1"/>
  <c r="AN19" i="1"/>
  <c r="AZ19" i="1" s="1"/>
  <c r="K19" i="1"/>
  <c r="J19" i="1"/>
  <c r="H19" i="1"/>
  <c r="I19" i="1" s="1"/>
  <c r="C19" i="1"/>
  <c r="A19" i="1" s="1"/>
  <c r="AW18" i="1"/>
  <c r="AV18" i="1"/>
  <c r="AU18" i="1"/>
  <c r="AS18" i="1"/>
  <c r="AR18" i="1"/>
  <c r="AQ18" i="1"/>
  <c r="AP18" i="1"/>
  <c r="AO18" i="1"/>
  <c r="AN18" i="1"/>
  <c r="AZ18" i="1" s="1"/>
  <c r="L18" i="1"/>
  <c r="K18" i="1"/>
  <c r="J18" i="1"/>
  <c r="I18" i="1"/>
  <c r="P18" i="1" s="1"/>
  <c r="H18" i="1"/>
  <c r="C18" i="1"/>
  <c r="A18" i="1" s="1"/>
  <c r="AX17" i="1"/>
  <c r="AW17" i="1"/>
  <c r="AV17" i="1"/>
  <c r="AU17" i="1"/>
  <c r="AS17" i="1"/>
  <c r="AR17" i="1"/>
  <c r="AQ17" i="1"/>
  <c r="AP17" i="1"/>
  <c r="AO17" i="1"/>
  <c r="AN17" i="1"/>
  <c r="AZ17" i="1" s="1"/>
  <c r="L17" i="1"/>
  <c r="K17" i="1"/>
  <c r="J17" i="1"/>
  <c r="I17" i="1"/>
  <c r="Y17" i="1" s="1"/>
  <c r="H17" i="1"/>
  <c r="C17" i="1"/>
  <c r="AY8" i="1"/>
  <c r="AX8" i="1"/>
  <c r="AW20" i="1" s="1"/>
  <c r="J8" i="1"/>
  <c r="H8" i="1"/>
  <c r="G8" i="1"/>
  <c r="AY7" i="1"/>
  <c r="AX7" i="1"/>
  <c r="AV20" i="1" s="1"/>
  <c r="AY6" i="1"/>
  <c r="AX6" i="1"/>
  <c r="AY20" i="1" s="1"/>
  <c r="N6" i="1"/>
  <c r="AY5" i="1"/>
  <c r="AX5" i="1"/>
  <c r="J5" i="1"/>
  <c r="G3" i="1" s="1"/>
  <c r="H3" i="1" s="1"/>
  <c r="AY4" i="1"/>
  <c r="AX4" i="1"/>
  <c r="AX19" i="1" s="1"/>
  <c r="J4" i="1"/>
  <c r="H4" i="1"/>
  <c r="G4" i="1"/>
  <c r="AY3" i="1"/>
  <c r="AX3" i="1"/>
  <c r="AT20" i="1" s="1"/>
  <c r="P3" i="1"/>
  <c r="O3" i="1"/>
  <c r="J3" i="1"/>
  <c r="V19" i="1" l="1"/>
  <c r="M19" i="1"/>
  <c r="AB19" i="1"/>
  <c r="S19" i="1"/>
  <c r="Y19" i="1"/>
  <c r="P19" i="1"/>
  <c r="AJ17" i="1"/>
  <c r="Z17" i="1"/>
  <c r="AG18" i="1"/>
  <c r="Q18" i="1"/>
  <c r="BA20" i="1"/>
  <c r="AA17" i="1"/>
  <c r="V20" i="1"/>
  <c r="M20" i="1"/>
  <c r="AB20" i="1"/>
  <c r="S20" i="1"/>
  <c r="Y20" i="1"/>
  <c r="P20" i="1"/>
  <c r="Y18" i="1"/>
  <c r="G7" i="1"/>
  <c r="H7" i="1" s="1"/>
  <c r="S17" i="1"/>
  <c r="AY17" i="1"/>
  <c r="R18" i="1"/>
  <c r="AX18" i="1"/>
  <c r="AW19" i="1"/>
  <c r="AB17" i="1"/>
  <c r="S18" i="1"/>
  <c r="AY18" i="1"/>
  <c r="G6" i="1"/>
  <c r="H6" i="1" s="1"/>
  <c r="M17" i="1"/>
  <c r="AB18" i="1"/>
  <c r="AY19" i="1"/>
  <c r="G5" i="1"/>
  <c r="H5" i="1" s="1"/>
  <c r="V17" i="1"/>
  <c r="AT17" i="1"/>
  <c r="BA17" i="1" s="1"/>
  <c r="M18" i="1"/>
  <c r="L19" i="1"/>
  <c r="V18" i="1"/>
  <c r="AT18" i="1"/>
  <c r="BA18" i="1" s="1"/>
  <c r="P17" i="1"/>
  <c r="AT19" i="1"/>
  <c r="W18" i="1" l="1"/>
  <c r="X18" i="1" s="1"/>
  <c r="AI18" i="1"/>
  <c r="AK18" i="1"/>
  <c r="AC18" i="1"/>
  <c r="AD18" i="1" s="1"/>
  <c r="AG19" i="1"/>
  <c r="Q19" i="1"/>
  <c r="R19" i="1" s="1"/>
  <c r="AF17" i="1"/>
  <c r="AL17" i="1" s="1"/>
  <c r="N17" i="1"/>
  <c r="O17" i="1" s="1"/>
  <c r="AG20" i="1"/>
  <c r="Q20" i="1"/>
  <c r="R20" i="1" s="1"/>
  <c r="AJ19" i="1"/>
  <c r="Z19" i="1"/>
  <c r="AA19" i="1" s="1"/>
  <c r="AF18" i="1"/>
  <c r="N18" i="1"/>
  <c r="O18" i="1" s="1"/>
  <c r="AJ20" i="1"/>
  <c r="Z20" i="1"/>
  <c r="AA20" i="1" s="1"/>
  <c r="T19" i="1"/>
  <c r="U19" i="1" s="1"/>
  <c r="AH19" i="1"/>
  <c r="T20" i="1"/>
  <c r="U20" i="1" s="1"/>
  <c r="AH20" i="1"/>
  <c r="AK19" i="1"/>
  <c r="AC19" i="1"/>
  <c r="AD19" i="1" s="1"/>
  <c r="BA19" i="1"/>
  <c r="W17" i="1"/>
  <c r="X17" i="1" s="1"/>
  <c r="AI17" i="1"/>
  <c r="T17" i="1"/>
  <c r="U17" i="1" s="1"/>
  <c r="AH17" i="1"/>
  <c r="AK20" i="1"/>
  <c r="AC20" i="1"/>
  <c r="AD20" i="1" s="1"/>
  <c r="N19" i="1"/>
  <c r="O19" i="1" s="1"/>
  <c r="AF19" i="1"/>
  <c r="AG17" i="1"/>
  <c r="Q17" i="1"/>
  <c r="R17" i="1" s="1"/>
  <c r="T18" i="1"/>
  <c r="U18" i="1" s="1"/>
  <c r="AH18" i="1"/>
  <c r="N20" i="1"/>
  <c r="O20" i="1" s="1"/>
  <c r="AE20" i="1" s="1"/>
  <c r="AF20" i="1"/>
  <c r="W19" i="1"/>
  <c r="X19" i="1" s="1"/>
  <c r="AI19" i="1"/>
  <c r="AK17" i="1"/>
  <c r="AC17" i="1"/>
  <c r="AD17" i="1" s="1"/>
  <c r="AJ18" i="1"/>
  <c r="Z18" i="1"/>
  <c r="AA18" i="1" s="1"/>
  <c r="AI20" i="1"/>
  <c r="W20" i="1"/>
  <c r="X20" i="1" s="1"/>
  <c r="AE17" i="1" l="1"/>
  <c r="L3" i="1"/>
  <c r="AL19" i="1"/>
  <c r="AM19" i="1" s="1"/>
  <c r="BB19" i="1" s="1"/>
  <c r="AM17" i="1"/>
  <c r="AE19" i="1"/>
  <c r="AE18" i="1"/>
  <c r="AL20" i="1"/>
  <c r="AM20" i="1" s="1"/>
  <c r="BB20" i="1" s="1"/>
  <c r="AL18" i="1"/>
  <c r="AM18" i="1" s="1"/>
  <c r="BB18" i="1" s="1"/>
  <c r="N7" i="1" l="1"/>
  <c r="Q7" i="1"/>
  <c r="Q3" i="1"/>
  <c r="Q5" i="1"/>
  <c r="BB17" i="1"/>
  <c r="L5" i="1"/>
  <c r="L6" i="1"/>
  <c r="L4" i="1"/>
</calcChain>
</file>

<file path=xl/sharedStrings.xml><?xml version="1.0" encoding="utf-8"?>
<sst xmlns="http://schemas.openxmlformats.org/spreadsheetml/2006/main" count="118" uniqueCount="112">
  <si>
    <t>`</t>
  </si>
  <si>
    <t>Shomate Equation</t>
  </si>
  <si>
    <t>A</t>
  </si>
  <si>
    <t>B</t>
  </si>
  <si>
    <t>C</t>
  </si>
  <si>
    <t>D</t>
  </si>
  <si>
    <t>E</t>
  </si>
  <si>
    <t>t</t>
  </si>
  <si>
    <t>Cp Values</t>
  </si>
  <si>
    <t>Temperature Bounds</t>
  </si>
  <si>
    <t>Values</t>
  </si>
  <si>
    <t>Affect on</t>
  </si>
  <si>
    <t xml:space="preserve">Diameter (ft) </t>
  </si>
  <si>
    <t>Refractory (inches)</t>
  </si>
  <si>
    <t>Diameter (m)</t>
  </si>
  <si>
    <t>Area (m^2)</t>
  </si>
  <si>
    <t>Average velocity of the exhaust gases (m/s)</t>
  </si>
  <si>
    <t xml:space="preserve">Plate Dimensions </t>
  </si>
  <si>
    <t>Surface Area of the Plate</t>
  </si>
  <si>
    <t>Gases</t>
  </si>
  <si>
    <t>Reference Viscosity (μ₀) [centiPoise]</t>
  </si>
  <si>
    <t>Reference Temperature (T₀) [K]</t>
  </si>
  <si>
    <t>Sutherland Constant (C) [K]</t>
  </si>
  <si>
    <t>a</t>
  </si>
  <si>
    <t>b (unused)</t>
  </si>
  <si>
    <t>CO2</t>
  </si>
  <si>
    <t xml:space="preserve">Upper bound temperature </t>
  </si>
  <si>
    <t>Sum of the exhaust gases (kJ/s)</t>
  </si>
  <si>
    <t xml:space="preserve">16 x 16 inches  </t>
  </si>
  <si>
    <t>CO₂</t>
  </si>
  <si>
    <t>Calculate Reynolds number for each gas and Prandl number for each gas</t>
  </si>
  <si>
    <t xml:space="preserve">Ts </t>
  </si>
  <si>
    <t>H2O</t>
  </si>
  <si>
    <t xml:space="preserve">Lower bound temperature </t>
  </si>
  <si>
    <t>Maximum of the sum of exhaust gases (kJ/s)</t>
  </si>
  <si>
    <t>Pressure (atm)</t>
  </si>
  <si>
    <t>Maximum velocity (m/s)</t>
  </si>
  <si>
    <t>CO</t>
  </si>
  <si>
    <t>N2</t>
  </si>
  <si>
    <t>Average temperature</t>
  </si>
  <si>
    <t xml:space="preserve">Minimum of the sum of exhaust gases (kJ/s) </t>
  </si>
  <si>
    <t>R constant (atm*L/mol*K)</t>
  </si>
  <si>
    <t>H₂O (Steam)</t>
  </si>
  <si>
    <t>O2</t>
  </si>
  <si>
    <t>T2 (ºC)</t>
  </si>
  <si>
    <t>Average of the sum of the exhaust gases (kJ/s) or (kW)</t>
  </si>
  <si>
    <t>Temperature (K)</t>
  </si>
  <si>
    <t>Minimum velocity (m/s)</t>
  </si>
  <si>
    <t>NOx</t>
  </si>
  <si>
    <t>T1 (ºC)</t>
  </si>
  <si>
    <t>Average of the Sum of the Volumetric Flow Rates (m^3/s)</t>
  </si>
  <si>
    <t>N₂</t>
  </si>
  <si>
    <t>Delta T</t>
  </si>
  <si>
    <t>O₂</t>
  </si>
  <si>
    <t>Can do sensitivity analysis based on Cp values and diameter, because those are fixed and not changing with every second, not sure how to do temperature with delta T, unless T1 is fixed?</t>
  </si>
  <si>
    <t>Seconds</t>
  </si>
  <si>
    <t>Date</t>
  </si>
  <si>
    <t>End Date</t>
  </si>
  <si>
    <t>Time</t>
  </si>
  <si>
    <t>NG High Flow (NCMH)</t>
  </si>
  <si>
    <t>NG Low Flow (NCMH)</t>
  </si>
  <si>
    <t>Flue gas exhaust temperature (ºC)</t>
  </si>
  <si>
    <t>Natural GasFlow rate (SCM/second)</t>
  </si>
  <si>
    <t>n (Moles/second)</t>
  </si>
  <si>
    <t>Delta T (K)</t>
  </si>
  <si>
    <t>Delta T (ºC)</t>
  </si>
  <si>
    <t>Q (NG) (kJ/s)</t>
  </si>
  <si>
    <t>n (CO2)(Moles/second)</t>
  </si>
  <si>
    <t xml:space="preserve">m (CO2) (g/s) </t>
  </si>
  <si>
    <t>Q (CO2) (kJ/s)</t>
  </si>
  <si>
    <t>n (H2O)(Moles/second)</t>
  </si>
  <si>
    <t xml:space="preserve">m (H2O) (g/s) </t>
  </si>
  <si>
    <t>Q (H2O) (kJ/s)</t>
  </si>
  <si>
    <t>n (N2)(mo/s)</t>
  </si>
  <si>
    <t xml:space="preserve">m (N2) (kg) </t>
  </si>
  <si>
    <t>Q (N2) (kJ/s)</t>
  </si>
  <si>
    <t>n (O2)(mol/s)</t>
  </si>
  <si>
    <t xml:space="preserve">m (O2) (g/s) </t>
  </si>
  <si>
    <t>Q (O2) (kJ/s)</t>
  </si>
  <si>
    <t>n (CO)(mol/s)</t>
  </si>
  <si>
    <t xml:space="preserve">m (CO) (g/s) </t>
  </si>
  <si>
    <t>Q (CO) (kJ/s)</t>
  </si>
  <si>
    <t>n (NOx)(mol/s)</t>
  </si>
  <si>
    <t xml:space="preserve">m (NOx) (g/s) </t>
  </si>
  <si>
    <t>Q (NOx) (kJ/s)</t>
  </si>
  <si>
    <t>Sum of the Energy in exhaust gases (kJ/s)</t>
  </si>
  <si>
    <t>Q (C02, m^3/s)</t>
  </si>
  <si>
    <t>Q (H2O, m^3/s)</t>
  </si>
  <si>
    <t>Q (N2, m^3/s)</t>
  </si>
  <si>
    <t>Q (O2, m^3/s)</t>
  </si>
  <si>
    <t>Q (CO, m^3/s)</t>
  </si>
  <si>
    <t>Q (NOx, m^3/s)</t>
  </si>
  <si>
    <t>Sum of the Volumetric Flow Rates (m^3/s)</t>
  </si>
  <si>
    <t>Velocity of the exhaust gases (m/s)</t>
  </si>
  <si>
    <t>Density of CO2 (kg/m^3)</t>
  </si>
  <si>
    <t>Density of H2O (kg/m^3)</t>
  </si>
  <si>
    <t>Density of N2 (kg/m^3)</t>
  </si>
  <si>
    <t>Density of O2 (kg/m^3)</t>
  </si>
  <si>
    <t>Density of CO (kg/m^3)</t>
  </si>
  <si>
    <t>Density of Nox (kg/m^3)</t>
  </si>
  <si>
    <t>Viscosity of CO2 (Pa*s)</t>
  </si>
  <si>
    <t>Viscosity of H2O (Pa*s)</t>
  </si>
  <si>
    <t>Viscosity of N2 (Pa*s)</t>
  </si>
  <si>
    <t>Viscosity of O2 (Pa*s)</t>
  </si>
  <si>
    <t>Viscosity of CO (Pa*s)</t>
  </si>
  <si>
    <t>Viscosity of NOx (Pa*s)</t>
  </si>
  <si>
    <t>Sum of the Densities</t>
  </si>
  <si>
    <t>Sum of the Dynamic Viscosities</t>
  </si>
  <si>
    <t>04.05.2024</t>
  </si>
  <si>
    <t>Prandl no.</t>
  </si>
  <si>
    <t>Nusselt no.</t>
  </si>
  <si>
    <t>Reynold's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</si>
</sst>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yyyy/mm/dd\ h:mm:ss"/>
  </numFmts>
  <fonts count="2" x14ac:knownFonts="1">
    <font>
      <sz val="11"/>
      <color theme="1"/>
      <name val="Aptos Narrow"/>
      <family val="2"/>
      <scheme val="minor"/>
    </font>
    <font>
      <b/>
      <sz val="12"/>
      <color theme="1"/>
      <name val="Aptos Narrow"/>
      <family val="2"/>
      <scheme val="minor"/>
    </font>
  </fonts>
  <fills count="19">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CFF"/>
        <bgColor indexed="64"/>
      </patternFill>
    </fill>
    <fill>
      <patternFill patternType="solid">
        <fgColor rgb="FF66FFFF"/>
        <bgColor indexed="64"/>
      </patternFill>
    </fill>
    <fill>
      <patternFill patternType="solid">
        <fgColor rgb="FFFF99CC"/>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164" fontId="0" fillId="0" borderId="0" xfId="0" applyNumberFormat="1"/>
    <xf numFmtId="0" fontId="1" fillId="2" borderId="0" xfId="0" applyFont="1" applyFill="1" applyAlignment="1">
      <alignment horizontal="center" wrapText="1"/>
    </xf>
    <xf numFmtId="164" fontId="1" fillId="2" borderId="0" xfId="0" applyNumberFormat="1" applyFont="1" applyFill="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0" borderId="0" xfId="0" applyAlignment="1">
      <alignment wrapText="1"/>
    </xf>
    <xf numFmtId="0" fontId="1" fillId="3" borderId="0" xfId="0" applyFont="1" applyFill="1" applyAlignment="1">
      <alignment horizontal="left" wrapText="1"/>
    </xf>
    <xf numFmtId="0" fontId="1" fillId="3" borderId="0" xfId="0" applyFont="1" applyFill="1" applyAlignment="1">
      <alignment horizontal="left" vertical="center" wrapText="1"/>
    </xf>
    <xf numFmtId="0" fontId="1" fillId="3" borderId="0" xfId="0" applyFont="1" applyFill="1" applyAlignment="1">
      <alignment wrapText="1"/>
    </xf>
    <xf numFmtId="0" fontId="0" fillId="5" borderId="0" xfId="0" applyFill="1" applyAlignment="1">
      <alignment horizontal="center"/>
    </xf>
    <xf numFmtId="0" fontId="0" fillId="5" borderId="0" xfId="0" applyFill="1" applyAlignment="1">
      <alignment vertical="center" wrapText="1"/>
    </xf>
    <xf numFmtId="0" fontId="0" fillId="6" borderId="0" xfId="0" applyFill="1" applyAlignment="1">
      <alignment horizontal="center"/>
    </xf>
    <xf numFmtId="0" fontId="0" fillId="7" borderId="1" xfId="0" applyFill="1" applyBorder="1" applyAlignment="1">
      <alignment horizontal="center"/>
    </xf>
    <xf numFmtId="0" fontId="0" fillId="8" borderId="1" xfId="0" applyFill="1" applyBorder="1"/>
    <xf numFmtId="0" fontId="0" fillId="4" borderId="1" xfId="0" applyFill="1" applyBorder="1" applyAlignment="1">
      <alignment horizontal="center"/>
    </xf>
    <xf numFmtId="0" fontId="0" fillId="9" borderId="1" xfId="0" applyFill="1" applyBorder="1"/>
    <xf numFmtId="0" fontId="0" fillId="5" borderId="0" xfId="0" applyFill="1"/>
    <xf numFmtId="0" fontId="0" fillId="6" borderId="0" xfId="0" applyFill="1"/>
    <xf numFmtId="0" fontId="1" fillId="3" borderId="0" xfId="0" applyFont="1" applyFill="1" applyAlignment="1">
      <alignment vertical="center" wrapText="1"/>
    </xf>
    <xf numFmtId="0" fontId="0" fillId="7" borderId="0" xfId="0" applyFill="1" applyAlignment="1">
      <alignment vertical="center" wrapText="1"/>
    </xf>
    <xf numFmtId="0" fontId="0" fillId="7" borderId="0" xfId="0" applyFill="1"/>
    <xf numFmtId="0" fontId="0" fillId="4" borderId="1" xfId="0" applyFill="1" applyBorder="1"/>
    <xf numFmtId="0" fontId="1" fillId="5" borderId="0" xfId="0" applyFont="1" applyFill="1"/>
    <xf numFmtId="0" fontId="1" fillId="2" borderId="0" xfId="0" applyFont="1" applyFill="1"/>
    <xf numFmtId="0" fontId="1" fillId="10" borderId="0" xfId="0" applyFont="1" applyFill="1" applyAlignment="1">
      <alignment horizontal="center" wrapText="1"/>
    </xf>
    <xf numFmtId="164" fontId="1" fillId="10" borderId="0" xfId="0" applyNumberFormat="1" applyFont="1" applyFill="1" applyAlignment="1">
      <alignment horizontal="center" wrapText="1"/>
    </xf>
    <xf numFmtId="0" fontId="1" fillId="11" borderId="0" xfId="0" applyFont="1" applyFill="1" applyAlignment="1">
      <alignment horizontal="center" wrapText="1"/>
    </xf>
    <xf numFmtId="0" fontId="1" fillId="12" borderId="0" xfId="0" applyFont="1" applyFill="1" applyAlignment="1">
      <alignment horizontal="center" wrapText="1"/>
    </xf>
    <xf numFmtId="0" fontId="1" fillId="13" borderId="0" xfId="0" applyFont="1" applyFill="1" applyAlignment="1">
      <alignment horizontal="center" wrapText="1"/>
    </xf>
    <xf numFmtId="0" fontId="1" fillId="14" borderId="0" xfId="0" applyFont="1" applyFill="1" applyAlignment="1">
      <alignment horizontal="center" wrapText="1"/>
    </xf>
    <xf numFmtId="0" fontId="1" fillId="15" borderId="0" xfId="0" applyFont="1" applyFill="1" applyAlignment="1">
      <alignment horizontal="center" wrapText="1"/>
    </xf>
    <xf numFmtId="0" fontId="1" fillId="16" borderId="0" xfId="0" applyFont="1" applyFill="1" applyAlignment="1">
      <alignment horizontal="center" wrapText="1"/>
    </xf>
    <xf numFmtId="0" fontId="1" fillId="17" borderId="0" xfId="0" applyFont="1" applyFill="1" applyAlignment="1">
      <alignment horizontal="center" wrapText="1"/>
    </xf>
    <xf numFmtId="0" fontId="1" fillId="18" borderId="0" xfId="0" applyFont="1" applyFill="1" applyAlignment="1">
      <alignment horizontal="center" wrapText="1"/>
    </xf>
    <xf numFmtId="0" fontId="1" fillId="3" borderId="0" xfId="0" applyFont="1" applyFill="1" applyAlignment="1">
      <alignment horizontal="center" wrapText="1"/>
    </xf>
    <xf numFmtId="0" fontId="1" fillId="5" borderId="0" xfId="0" applyFont="1" applyFill="1" applyAlignment="1">
      <alignment horizontal="center" wrapText="1"/>
    </xf>
    <xf numFmtId="0" fontId="0" fillId="0" borderId="0" xfId="0" applyAlignment="1">
      <alignment horizontal="center" wrapText="1"/>
    </xf>
    <xf numFmtId="165"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D367-C68B-4959-AC3C-19463BB62BE6}">
  <dimension ref="A1:BD20"/>
  <sheetViews>
    <sheetView tabSelected="1" topLeftCell="A8" workbookViewId="0">
      <selection activeCell="K25" sqref="K25"/>
    </sheetView>
  </sheetViews>
  <sheetFormatPr defaultRowHeight="14.4" x14ac:dyDescent="0.3"/>
  <cols>
    <col min="1" max="1" width="18" bestFit="1" customWidth="1"/>
    <col min="4" max="4" width="11" bestFit="1" customWidth="1"/>
    <col min="6" max="6" width="10.44140625" bestFit="1" customWidth="1"/>
    <col min="7" max="7" width="16.6640625" bestFit="1" customWidth="1"/>
    <col min="8" max="8" width="24.44140625" customWidth="1"/>
    <col min="15" max="15" width="12.21875" bestFit="1" customWidth="1"/>
    <col min="16" max="16" width="11.88671875" bestFit="1" customWidth="1"/>
    <col min="17" max="17" width="20.6640625" bestFit="1" customWidth="1"/>
    <col min="18" max="18" width="11.6640625" bestFit="1" customWidth="1"/>
    <col min="46" max="46" width="12" bestFit="1" customWidth="1"/>
    <col min="47" max="47" width="14.5546875" customWidth="1"/>
    <col min="48" max="49" width="12" bestFit="1" customWidth="1"/>
    <col min="51" max="51" width="12" bestFit="1" customWidth="1"/>
    <col min="52" max="52" width="14.33203125" customWidth="1"/>
    <col min="53" max="53" width="13.88671875" customWidth="1"/>
    <col min="54" max="54" width="11.5546875" customWidth="1"/>
    <col min="55" max="55" width="10.6640625" customWidth="1"/>
    <col min="56" max="56" width="13.21875" customWidth="1"/>
  </cols>
  <sheetData>
    <row r="1" spans="1:56" x14ac:dyDescent="0.3">
      <c r="D1" s="1" t="s">
        <v>0</v>
      </c>
    </row>
    <row r="2" spans="1:56" s="6" customFormat="1" ht="62.4" x14ac:dyDescent="0.3">
      <c r="A2" s="2" t="s">
        <v>1</v>
      </c>
      <c r="B2" s="2" t="s">
        <v>2</v>
      </c>
      <c r="C2" s="2" t="s">
        <v>3</v>
      </c>
      <c r="D2" s="3" t="s">
        <v>4</v>
      </c>
      <c r="E2" s="2" t="s">
        <v>5</v>
      </c>
      <c r="F2" s="2" t="s">
        <v>6</v>
      </c>
      <c r="G2" s="2" t="s">
        <v>7</v>
      </c>
      <c r="H2" s="2" t="s">
        <v>8</v>
      </c>
      <c r="I2" s="4" t="s">
        <v>9</v>
      </c>
      <c r="J2" s="4" t="s">
        <v>10</v>
      </c>
      <c r="K2" s="5" t="s">
        <v>11</v>
      </c>
      <c r="L2" s="5" t="s">
        <v>10</v>
      </c>
      <c r="M2" s="2" t="s">
        <v>12</v>
      </c>
      <c r="N2" s="2" t="s">
        <v>13</v>
      </c>
      <c r="O2" s="2" t="s">
        <v>14</v>
      </c>
      <c r="P2" s="2" t="s">
        <v>15</v>
      </c>
      <c r="Q2" s="2" t="s">
        <v>16</v>
      </c>
      <c r="R2" s="2" t="s">
        <v>17</v>
      </c>
      <c r="S2" s="2" t="s">
        <v>18</v>
      </c>
      <c r="AT2" s="7" t="s">
        <v>19</v>
      </c>
      <c r="AU2" s="8" t="s">
        <v>20</v>
      </c>
      <c r="AV2" s="8" t="s">
        <v>21</v>
      </c>
      <c r="AW2" s="8" t="s">
        <v>22</v>
      </c>
      <c r="AX2" s="9" t="s">
        <v>23</v>
      </c>
      <c r="AY2" s="8" t="s">
        <v>24</v>
      </c>
    </row>
    <row r="3" spans="1:56" ht="15.6" x14ac:dyDescent="0.3">
      <c r="A3" s="10" t="s">
        <v>25</v>
      </c>
      <c r="B3" s="11">
        <v>-203.60599999999999</v>
      </c>
      <c r="C3" s="11">
        <v>1523.29</v>
      </c>
      <c r="D3" s="11">
        <v>-3196.413</v>
      </c>
      <c r="E3" s="11">
        <v>2474.4549999999999</v>
      </c>
      <c r="F3" s="11">
        <v>3.8553259999999998</v>
      </c>
      <c r="G3" s="12">
        <f>$J$5/1000</f>
        <v>0.48625300000000005</v>
      </c>
      <c r="H3" s="10">
        <f>B3+(C3*G3)+(D3*G3^2)+(E3*G3^3)+(F3/G3^2)</f>
        <v>82.127334509325792</v>
      </c>
      <c r="I3" s="13" t="s">
        <v>26</v>
      </c>
      <c r="J3" s="14">
        <f>MAX(G16:G672715)</f>
        <v>486.25700000000001</v>
      </c>
      <c r="K3" s="15" t="s">
        <v>27</v>
      </c>
      <c r="L3" s="16">
        <f>SUM(O17,R17,U17,X17,AA17,AD17)</f>
        <v>197.69656096393518</v>
      </c>
      <c r="M3" s="17">
        <v>6</v>
      </c>
      <c r="N3" s="17">
        <v>6</v>
      </c>
      <c r="O3" s="17">
        <f>(M3/3.281)-(N3/39.37)</f>
        <v>1.6763104541143554</v>
      </c>
      <c r="P3" s="17">
        <f>PI()*((O3/2)^2)</f>
        <v>2.2069819855913817</v>
      </c>
      <c r="Q3" s="18">
        <f>AVERAGE(AM:AM)</f>
        <v>0.87856879656877074</v>
      </c>
      <c r="R3" t="s">
        <v>28</v>
      </c>
      <c r="AT3" s="19" t="s">
        <v>29</v>
      </c>
      <c r="AU3" s="20">
        <v>1.4800000000000001E-2</v>
      </c>
      <c r="AV3" s="20">
        <v>293.14999999999998</v>
      </c>
      <c r="AW3" s="20">
        <v>240</v>
      </c>
      <c r="AX3" s="21">
        <f>(0.555*AV3)+AW3</f>
        <v>402.69825000000003</v>
      </c>
      <c r="AY3" s="21">
        <f>(0.555*G17)+AW3</f>
        <v>509.86375500000003</v>
      </c>
      <c r="AZ3" t="s">
        <v>30</v>
      </c>
      <c r="BB3" t="s">
        <v>31</v>
      </c>
    </row>
    <row r="4" spans="1:56" ht="15.6" x14ac:dyDescent="0.3">
      <c r="A4" s="10" t="s">
        <v>32</v>
      </c>
      <c r="B4" s="11">
        <v>30.091999999999999</v>
      </c>
      <c r="C4" s="11">
        <v>6.8325139999999998</v>
      </c>
      <c r="D4" s="11">
        <v>6.7934349999999997</v>
      </c>
      <c r="E4" s="11">
        <v>-2.5344799999999998</v>
      </c>
      <c r="F4" s="11">
        <v>8.2139000000000004E-2</v>
      </c>
      <c r="G4" s="12">
        <f t="shared" ref="G4:G8" si="0">$J$5/1000</f>
        <v>0.48625300000000005</v>
      </c>
      <c r="H4" s="10">
        <f>B4+C4*G4+D4*G4^2+E4*G4^3+F4/G4^2</f>
        <v>35.076588918280869</v>
      </c>
      <c r="I4" s="13" t="s">
        <v>33</v>
      </c>
      <c r="J4" s="14">
        <f>MIN(G17:G672715)</f>
        <v>486.24099999999999</v>
      </c>
      <c r="K4" s="22" t="s">
        <v>34</v>
      </c>
      <c r="L4" s="16">
        <f>MAX(AE:AE)</f>
        <v>197.7135451133729</v>
      </c>
      <c r="M4" s="23" t="s">
        <v>35</v>
      </c>
      <c r="N4" s="17">
        <v>1</v>
      </c>
      <c r="O4" s="17"/>
      <c r="P4" s="17"/>
      <c r="Q4" s="24" t="s">
        <v>36</v>
      </c>
      <c r="R4">
        <v>0.40639999999999998</v>
      </c>
      <c r="AT4" s="19" t="s">
        <v>37</v>
      </c>
      <c r="AU4" s="20">
        <v>1.72E-2</v>
      </c>
      <c r="AV4" s="20">
        <v>288.14999999999998</v>
      </c>
      <c r="AW4" s="20">
        <v>118</v>
      </c>
      <c r="AX4" s="21">
        <f t="shared" ref="AX4:AX8" si="1">(0.555*AV4)+AW4</f>
        <v>277.92325</v>
      </c>
      <c r="AY4" s="21">
        <f t="shared" ref="AY4:AY8" si="2">(0.555*AV4)+AW4</f>
        <v>277.92325</v>
      </c>
    </row>
    <row r="5" spans="1:56" ht="31.2" x14ac:dyDescent="0.3">
      <c r="A5" s="10" t="s">
        <v>38</v>
      </c>
      <c r="B5" s="11">
        <v>28.986409999999999</v>
      </c>
      <c r="C5" s="11">
        <v>1.8539779999999999</v>
      </c>
      <c r="D5" s="11">
        <v>-9.6474580000000003</v>
      </c>
      <c r="E5" s="11">
        <v>16.635370000000002</v>
      </c>
      <c r="F5" s="11">
        <v>1.17E-4</v>
      </c>
      <c r="G5" s="12">
        <f t="shared" si="0"/>
        <v>0.48625300000000005</v>
      </c>
      <c r="H5" s="10">
        <f t="shared" ref="H5:H8" si="3">B5+C5*G5+D5*G5^2+E5*G5^3+F5/G5^2</f>
        <v>29.519921966697137</v>
      </c>
      <c r="I5" s="13" t="s">
        <v>39</v>
      </c>
      <c r="J5" s="14">
        <f>AVERAGE(G17:G672715)</f>
        <v>486.25300000000004</v>
      </c>
      <c r="K5" s="22" t="s">
        <v>40</v>
      </c>
      <c r="L5" s="16">
        <f>MIN(AE:AE)</f>
        <v>197.25154292265009</v>
      </c>
      <c r="M5" s="23" t="s">
        <v>41</v>
      </c>
      <c r="N5" s="17">
        <v>8.2100000000000006E-2</v>
      </c>
      <c r="O5" s="17"/>
      <c r="P5" s="17"/>
      <c r="Q5" s="18">
        <f>MAX(AM:AM)</f>
        <v>0.87960112264566437</v>
      </c>
      <c r="AT5" s="19" t="s">
        <v>42</v>
      </c>
      <c r="AU5" s="21">
        <v>1.002</v>
      </c>
      <c r="AV5" s="20">
        <v>273.14999999999998</v>
      </c>
      <c r="AW5" s="20">
        <v>300</v>
      </c>
      <c r="AX5" s="21">
        <f t="shared" si="1"/>
        <v>451.59825000000001</v>
      </c>
      <c r="AY5" s="21">
        <f t="shared" si="2"/>
        <v>451.59825000000001</v>
      </c>
    </row>
    <row r="6" spans="1:56" ht="15.6" x14ac:dyDescent="0.3">
      <c r="A6" s="10" t="s">
        <v>43</v>
      </c>
      <c r="B6" s="11">
        <v>31.322340000000001</v>
      </c>
      <c r="C6" s="11">
        <v>-20.235309999999998</v>
      </c>
      <c r="D6" s="11">
        <v>57.866439999999997</v>
      </c>
      <c r="E6" s="11">
        <v>-36.506239999999998</v>
      </c>
      <c r="F6" s="11">
        <v>-7.3740000000000003E-3</v>
      </c>
      <c r="G6" s="12">
        <f t="shared" si="0"/>
        <v>0.48625300000000005</v>
      </c>
      <c r="H6" s="10">
        <f t="shared" si="3"/>
        <v>30.936582977578325</v>
      </c>
      <c r="I6" s="13" t="s">
        <v>44</v>
      </c>
      <c r="J6" s="14">
        <v>486.24099999999999</v>
      </c>
      <c r="K6" s="22" t="s">
        <v>45</v>
      </c>
      <c r="L6" s="16">
        <f>AVERAGE(AE:AE)</f>
        <v>197.47829798065206</v>
      </c>
      <c r="M6" s="23" t="s">
        <v>46</v>
      </c>
      <c r="N6" s="17">
        <f>$J$7+273.15</f>
        <v>573.15</v>
      </c>
      <c r="O6" s="17"/>
      <c r="P6" s="17"/>
      <c r="Q6" s="24" t="s">
        <v>47</v>
      </c>
      <c r="AT6" s="19" t="s">
        <v>48</v>
      </c>
      <c r="AU6" s="20">
        <v>0.17929999999999999</v>
      </c>
      <c r="AV6" s="20">
        <v>273.14999999999998</v>
      </c>
      <c r="AW6" s="20">
        <v>170</v>
      </c>
      <c r="AX6" s="21">
        <f t="shared" si="1"/>
        <v>321.59825000000001</v>
      </c>
      <c r="AY6" s="21">
        <f t="shared" si="2"/>
        <v>321.59825000000001</v>
      </c>
    </row>
    <row r="7" spans="1:56" ht="15.6" x14ac:dyDescent="0.3">
      <c r="A7" s="10" t="s">
        <v>37</v>
      </c>
      <c r="B7" s="11">
        <v>25.567589999999999</v>
      </c>
      <c r="C7" s="11">
        <v>6.0961299999999996</v>
      </c>
      <c r="D7" s="11">
        <v>4.0546559999999996</v>
      </c>
      <c r="E7" s="11">
        <v>-2.6713010000000001</v>
      </c>
      <c r="F7" s="11">
        <v>0.131021</v>
      </c>
      <c r="G7" s="12">
        <f t="shared" si="0"/>
        <v>0.48625300000000005</v>
      </c>
      <c r="H7" s="10">
        <f t="shared" si="3"/>
        <v>29.737557200858113</v>
      </c>
      <c r="I7" s="13" t="s">
        <v>49</v>
      </c>
      <c r="J7" s="14">
        <v>300</v>
      </c>
      <c r="K7" s="22"/>
      <c r="L7" s="16"/>
      <c r="M7" s="23" t="s">
        <v>50</v>
      </c>
      <c r="N7" s="17">
        <f>AVERAGE(AL:AL)</f>
        <v>1.9389855071299764</v>
      </c>
      <c r="O7" s="17"/>
      <c r="P7" s="17"/>
      <c r="Q7" s="18">
        <f>MIN(AM:AM)</f>
        <v>0.8775457366811289</v>
      </c>
      <c r="AT7" s="19" t="s">
        <v>51</v>
      </c>
      <c r="AU7" s="20">
        <v>1.7809999999999999E-2</v>
      </c>
      <c r="AV7" s="20">
        <v>300.55</v>
      </c>
      <c r="AW7" s="20">
        <v>111</v>
      </c>
      <c r="AX7" s="21">
        <f t="shared" si="1"/>
        <v>277.80525</v>
      </c>
      <c r="AY7" s="21">
        <f t="shared" si="2"/>
        <v>277.80525</v>
      </c>
    </row>
    <row r="8" spans="1:56" ht="15.6" x14ac:dyDescent="0.3">
      <c r="A8" s="10" t="s">
        <v>48</v>
      </c>
      <c r="B8" s="11">
        <v>30.032350000000001</v>
      </c>
      <c r="C8" s="11">
        <v>8.7729719999999993</v>
      </c>
      <c r="D8" s="11">
        <v>-3.9881329999999999</v>
      </c>
      <c r="E8" s="11">
        <v>0.78831300000000004</v>
      </c>
      <c r="F8" s="11">
        <v>-0.74159900000000001</v>
      </c>
      <c r="G8" s="12">
        <f t="shared" si="0"/>
        <v>0.48625300000000005</v>
      </c>
      <c r="H8" s="10">
        <f t="shared" si="3"/>
        <v>30.309410099438381</v>
      </c>
      <c r="I8" s="13" t="s">
        <v>52</v>
      </c>
      <c r="J8" s="14">
        <f>J6-J7</f>
        <v>186.24099999999999</v>
      </c>
      <c r="K8" s="22"/>
      <c r="L8" s="16"/>
      <c r="M8" s="23"/>
      <c r="N8" s="17"/>
      <c r="O8" s="17"/>
      <c r="P8" s="17"/>
      <c r="Q8" s="18"/>
      <c r="AT8" s="19" t="s">
        <v>53</v>
      </c>
      <c r="AU8" s="20">
        <v>2.018E-2</v>
      </c>
      <c r="AV8" s="20">
        <v>292.25</v>
      </c>
      <c r="AW8" s="20">
        <v>127</v>
      </c>
      <c r="AX8" s="21">
        <f t="shared" si="1"/>
        <v>289.19875000000002</v>
      </c>
      <c r="AY8" s="21">
        <f t="shared" si="2"/>
        <v>289.19875000000002</v>
      </c>
    </row>
    <row r="9" spans="1:56" x14ac:dyDescent="0.3">
      <c r="D9" s="1"/>
    </row>
    <row r="10" spans="1:56" x14ac:dyDescent="0.3">
      <c r="D10" s="1"/>
    </row>
    <row r="11" spans="1:56" x14ac:dyDescent="0.3">
      <c r="A11" s="10" t="s">
        <v>54</v>
      </c>
      <c r="D11" s="1"/>
    </row>
    <row r="12" spans="1:56" x14ac:dyDescent="0.3">
      <c r="D12" s="1"/>
    </row>
    <row r="13" spans="1:56" x14ac:dyDescent="0.3">
      <c r="D13" s="1"/>
    </row>
    <row r="14" spans="1:56" x14ac:dyDescent="0.3">
      <c r="D14" s="1"/>
    </row>
    <row r="15" spans="1:56" x14ac:dyDescent="0.3">
      <c r="D15" s="1"/>
    </row>
    <row r="16" spans="1:56" s="37" customFormat="1" ht="109.2" x14ac:dyDescent="0.3">
      <c r="A16" s="25" t="s">
        <v>55</v>
      </c>
      <c r="B16" s="25" t="s">
        <v>56</v>
      </c>
      <c r="C16" s="25" t="s">
        <v>57</v>
      </c>
      <c r="D16" s="26" t="s">
        <v>58</v>
      </c>
      <c r="E16" s="25" t="s">
        <v>59</v>
      </c>
      <c r="F16" s="25" t="s">
        <v>60</v>
      </c>
      <c r="G16" s="25" t="s">
        <v>61</v>
      </c>
      <c r="H16" s="27" t="s">
        <v>62</v>
      </c>
      <c r="I16" s="27" t="s">
        <v>63</v>
      </c>
      <c r="J16" s="27" t="s">
        <v>64</v>
      </c>
      <c r="K16" s="27" t="s">
        <v>65</v>
      </c>
      <c r="L16" s="27" t="s">
        <v>66</v>
      </c>
      <c r="M16" s="28" t="s">
        <v>67</v>
      </c>
      <c r="N16" s="29" t="s">
        <v>68</v>
      </c>
      <c r="O16" s="30" t="s">
        <v>69</v>
      </c>
      <c r="P16" s="28" t="s">
        <v>70</v>
      </c>
      <c r="Q16" s="29" t="s">
        <v>71</v>
      </c>
      <c r="R16" s="30" t="s">
        <v>72</v>
      </c>
      <c r="S16" s="28" t="s">
        <v>73</v>
      </c>
      <c r="T16" s="29" t="s">
        <v>74</v>
      </c>
      <c r="U16" s="30" t="s">
        <v>75</v>
      </c>
      <c r="V16" s="28" t="s">
        <v>76</v>
      </c>
      <c r="W16" s="29" t="s">
        <v>77</v>
      </c>
      <c r="X16" s="30" t="s">
        <v>78</v>
      </c>
      <c r="Y16" s="28" t="s">
        <v>79</v>
      </c>
      <c r="Z16" s="29" t="s">
        <v>80</v>
      </c>
      <c r="AA16" s="30" t="s">
        <v>81</v>
      </c>
      <c r="AB16" s="28" t="s">
        <v>82</v>
      </c>
      <c r="AC16" s="29" t="s">
        <v>83</v>
      </c>
      <c r="AD16" s="30" t="s">
        <v>84</v>
      </c>
      <c r="AE16" s="2" t="s">
        <v>85</v>
      </c>
      <c r="AF16" s="31" t="s">
        <v>86</v>
      </c>
      <c r="AG16" s="31" t="s">
        <v>87</v>
      </c>
      <c r="AH16" s="31" t="s">
        <v>88</v>
      </c>
      <c r="AI16" s="31" t="s">
        <v>89</v>
      </c>
      <c r="AJ16" s="31" t="s">
        <v>90</v>
      </c>
      <c r="AK16" s="31" t="s">
        <v>91</v>
      </c>
      <c r="AL16" s="32" t="s">
        <v>92</v>
      </c>
      <c r="AM16" s="33" t="s">
        <v>93</v>
      </c>
      <c r="AN16" s="34" t="s">
        <v>94</v>
      </c>
      <c r="AO16" s="34" t="s">
        <v>95</v>
      </c>
      <c r="AP16" s="34" t="s">
        <v>96</v>
      </c>
      <c r="AQ16" s="34" t="s">
        <v>97</v>
      </c>
      <c r="AR16" s="34" t="s">
        <v>98</v>
      </c>
      <c r="AS16" s="34" t="s">
        <v>99</v>
      </c>
      <c r="AT16" s="35" t="s">
        <v>100</v>
      </c>
      <c r="AU16" s="35" t="s">
        <v>101</v>
      </c>
      <c r="AV16" s="35" t="s">
        <v>102</v>
      </c>
      <c r="AW16" s="35" t="s">
        <v>103</v>
      </c>
      <c r="AX16" s="35" t="s">
        <v>104</v>
      </c>
      <c r="AY16" s="35" t="s">
        <v>105</v>
      </c>
      <c r="AZ16" s="36" t="s">
        <v>106</v>
      </c>
      <c r="BA16" s="35" t="s">
        <v>107</v>
      </c>
      <c r="BB16" s="32" t="s">
        <v>111</v>
      </c>
      <c r="BC16" s="31" t="s">
        <v>109</v>
      </c>
      <c r="BD16" s="31" t="s">
        <v>110</v>
      </c>
    </row>
    <row r="17" spans="1:54" x14ac:dyDescent="0.3">
      <c r="A17" s="38">
        <f>C17+D17</f>
        <v>45416.474861111114</v>
      </c>
      <c r="B17" t="s">
        <v>108</v>
      </c>
      <c r="C17" s="39">
        <f>DATE(RIGHT(B17,4),MID(B17,4,2),LEFT(B17,2))</f>
        <v>45416</v>
      </c>
      <c r="D17" s="1">
        <v>0.47486111111111112</v>
      </c>
      <c r="E17">
        <v>0</v>
      </c>
      <c r="F17">
        <v>101.42400000000001</v>
      </c>
      <c r="G17">
        <v>486.24099999999999</v>
      </c>
      <c r="H17">
        <f>(F17+E17)/3600</f>
        <v>2.8173333333333335E-2</v>
      </c>
      <c r="I17">
        <f>((101.325)*(H17)*1000)/((8.314)*(273.15))</f>
        <v>1.2570241488534568</v>
      </c>
      <c r="J17">
        <f>(G17+273.15)-($J$7+273.15)</f>
        <v>186.24099999999999</v>
      </c>
      <c r="K17">
        <f>G17-$J$7</f>
        <v>186.24099999999999</v>
      </c>
      <c r="L17">
        <f>(K17)*2.22*(K17)</f>
        <v>77002.276379819989</v>
      </c>
      <c r="M17">
        <f t="shared" ref="M17:M20" si="4">(1.03552318948896)*(I17)</f>
        <v>1.3016776558853769</v>
      </c>
      <c r="N17">
        <f>M17*(44.01)</f>
        <v>57.286833635515436</v>
      </c>
      <c r="O17">
        <f>(K17)*(N17/1000)*(1.2135)</f>
        <v>12.947022241706447</v>
      </c>
      <c r="P17">
        <f t="shared" ref="P17:P20" si="5">(3.76603433650984)*(I17)</f>
        <v>4.7339961064041747</v>
      </c>
      <c r="Q17">
        <f>(P17)*(18.01528)</f>
        <v>85.284265375781004</v>
      </c>
      <c r="R17">
        <f t="shared" ref="R17:R20" si="6">(K17)*(Q17/1000)*(1.996)</f>
        <v>31.703320028230252</v>
      </c>
      <c r="S17">
        <f t="shared" ref="S17:S20" si="7">(17.440390559814)*(I17)</f>
        <v>21.922992099122055</v>
      </c>
      <c r="T17">
        <f>(S17)*(28.0134)</f>
        <v>614.13754686954576</v>
      </c>
      <c r="U17">
        <f t="shared" ref="U17:U20" si="8">(K17)*(T17/1000)*(1.158)</f>
        <v>132.44925022344296</v>
      </c>
      <c r="V17">
        <f t="shared" ref="V17:V20" si="9">(2.51572679168908)*(I17)</f>
        <v>3.1623293290708032</v>
      </c>
      <c r="W17">
        <f>(V17)*(31.999)</f>
        <v>101.19137620093663</v>
      </c>
      <c r="X17">
        <f t="shared" ref="X17:X20" si="10">(K17)*(W17/1000)*(1.087552941)</f>
        <v>20.496004341045552</v>
      </c>
      <c r="Y17">
        <f>(0.000976810511041857)*(I17)</f>
        <v>1.2278744012335005E-3</v>
      </c>
      <c r="Z17">
        <f>(Y17)*(28.01)</f>
        <v>3.4392761978550353E-2</v>
      </c>
      <c r="AA17">
        <f t="shared" ref="AA17:AA20" si="11">(K17)*(Z17/1000)*(1.23723875)</f>
        <v>7.9249378040656751E-3</v>
      </c>
      <c r="AB17">
        <f t="shared" ref="AB17:AB20" si="12">(0.011187614171608)*(I17)</f>
        <v>1.4063101181766418E-2</v>
      </c>
      <c r="AC17">
        <f>(AB17)*(30.0061)</f>
        <v>0.42197882037020129</v>
      </c>
      <c r="AD17">
        <f t="shared" ref="AD17:AD20" si="13">(K17)*(AC17/1000)*(1.183859)</f>
        <v>9.3039191705921592E-2</v>
      </c>
      <c r="AE17">
        <f>SUM(O17,R17,U17,X17,AA17,AD17)</f>
        <v>197.69656096393518</v>
      </c>
      <c r="AF17">
        <f>(((M17)*($N$5)*(G17+273.15))*0.001)/($N$4)</f>
        <v>8.1154396565675135E-2</v>
      </c>
      <c r="AG17">
        <f>((((P17)*($N$5)*(G17+273.15))*0.001))/($N$4)</f>
        <v>0.29514572645727044</v>
      </c>
      <c r="AH17">
        <f>(((S17)*(0.0821)*(G17+273.15))*0.001)</f>
        <v>1.3668108895271551</v>
      </c>
      <c r="AI17">
        <f>((((V17)*($N$5)*(G17+273.15))*0.001))/($N$4)</f>
        <v>0.19715858782881054</v>
      </c>
      <c r="AJ17">
        <f>((((Y17)*($N$5)*(G17+273.15))*0.001))/($N$4)</f>
        <v>7.6553058769965671E-5</v>
      </c>
      <c r="AK17">
        <f>((((AB17)*($N$5)*(G17+273.15))*0.001))/($N$4)</f>
        <v>8.7677812174782031E-4</v>
      </c>
      <c r="AL17">
        <f>SUM(AF17,AG17,AH17,AI17,AJ17,AK17)</f>
        <v>1.9412229315594289</v>
      </c>
      <c r="AM17">
        <f>AL17/$P$3</f>
        <v>0.87958259026716068</v>
      </c>
      <c r="AN17">
        <f>((1)*(44.01/1000))/((0.0821)*(G17+273.15)*(0.001))</f>
        <v>0.70589932350929874</v>
      </c>
      <c r="AO17">
        <f>((1)*(18.0152/1000))/((0.0821)*(G17+273.15)*(0.001))</f>
        <v>0.28895518047908925</v>
      </c>
      <c r="AP17">
        <f>((1)*(28.0134/1000))/((0.0821)*(G17+273.15)*(0.001))</f>
        <v>0.44932152031800476</v>
      </c>
      <c r="AQ17">
        <f>((1)*(31.99/1000))/((0.0821)*(G17+273.15)*(0.001))</f>
        <v>0.51310427991507535</v>
      </c>
      <c r="AR17">
        <f>((1)*(28.01/1000))/((0.0821)*(G17+273.15)*(0.001))</f>
        <v>0.44926698594627262</v>
      </c>
      <c r="AS17">
        <f>((1)*(30.0061/1000))/((0.0821)*(G17+273.15)*(0.001))</f>
        <v>0.48128347400936988</v>
      </c>
      <c r="AT17">
        <f>(($AU$3)*($AX$3/((0.555*(G17+273.15))+$AW$3))*(((G17+273.15)/$AV$3)^(3/2)))*0.001</f>
        <v>3.756642569956246E-5</v>
      </c>
      <c r="AU17">
        <f>(($AU$5)*($AX$5/((0.555*(G17+273.15))+$AW$5))*(((G17+273.15)/$AV$5)^(3/2)))*0.001</f>
        <v>2.9073871645590248E-3</v>
      </c>
      <c r="AV17">
        <f>(($AU$7)*($AX$7/((0.555*(G17+273.15))+$AW$7))*(((G17+273.15)/$AV$7)^(3/2)))*0.001</f>
        <v>3.7319757689413313E-5</v>
      </c>
      <c r="AW17">
        <f>(($AU$8)*($AX$8/((0.555*(G17+273.15))+$AW$8))*(((G17+273.15)/$AV$8)^(3/2)))*0.001</f>
        <v>4.4569464417418523E-5</v>
      </c>
      <c r="AX17">
        <f>(($AU$4)*($AX$4/((0.555*(G17+273.15))+$AW$4))*(((G17+273.15)/$AV$4)^(3/2)))*0.001</f>
        <v>3.7910778012374043E-5</v>
      </c>
      <c r="AY17">
        <f>(($AU$6)*($AX$6/((0.555*(G17+273.15))+$AW$6))*(((G17+273.15)/$AV$6)^(3/2)))*0.001</f>
        <v>4.5192199257317305E-4</v>
      </c>
      <c r="AZ17">
        <f>SUM(AN17:AS17)</f>
        <v>2.8878307641771106</v>
      </c>
      <c r="BA17">
        <f>SUM(AT17:AY17)</f>
        <v>3.5166755829509665E-3</v>
      </c>
      <c r="BB17">
        <f>(AZ17*AM17*0.4064)/BA17</f>
        <v>293.54166724283931</v>
      </c>
    </row>
    <row r="18" spans="1:54" x14ac:dyDescent="0.3">
      <c r="A18" s="38">
        <f t="shared" ref="A18:A20" si="14">C18+D18</f>
        <v>45416.474872685183</v>
      </c>
      <c r="B18" t="s">
        <v>108</v>
      </c>
      <c r="C18" s="39">
        <f t="shared" ref="C18:C20" si="15">DATE(RIGHT(B18,4),MID(B18,4,2),LEFT(B18,2))</f>
        <v>45416</v>
      </c>
      <c r="D18" s="1">
        <v>0.47487268518518516</v>
      </c>
      <c r="E18">
        <v>0</v>
      </c>
      <c r="F18">
        <v>101.42400000000001</v>
      </c>
      <c r="G18">
        <v>486.25700000000001</v>
      </c>
      <c r="H18">
        <f>(F18+E18)/3600</f>
        <v>2.8173333333333335E-2</v>
      </c>
      <c r="I18">
        <f t="shared" ref="I18:I20" si="16">((101.325)*(H18)*1000)/((8.314)*(273.15))</f>
        <v>1.2570241488534568</v>
      </c>
      <c r="J18">
        <f t="shared" ref="J18:J20" si="17">(G18+273.15)-($J$7+273.15)</f>
        <v>186.25699999999995</v>
      </c>
      <c r="K18">
        <f t="shared" ref="K18:K20" si="18">G18-$J$7</f>
        <v>186.25700000000001</v>
      </c>
      <c r="L18">
        <f t="shared" ref="L18:L20" si="19">(K18)*2.22*(K18)</f>
        <v>77015.507508780021</v>
      </c>
      <c r="M18">
        <f t="shared" si="4"/>
        <v>1.3016776558853769</v>
      </c>
      <c r="N18">
        <f t="shared" ref="N18:N20" si="20">M18*(44.01)</f>
        <v>57.286833635515436</v>
      </c>
      <c r="O18">
        <f t="shared" ref="O18:O20" si="21">(K18)*(N18/1000)*(1.2135)</f>
        <v>12.948134522868315</v>
      </c>
      <c r="P18">
        <f t="shared" si="5"/>
        <v>4.7339961064041747</v>
      </c>
      <c r="Q18">
        <f t="shared" ref="Q18:Q20" si="22">(P18)*(18.01528)</f>
        <v>85.284265375781004</v>
      </c>
      <c r="R18">
        <f t="shared" si="6"/>
        <v>31.706043666529297</v>
      </c>
      <c r="S18">
        <f t="shared" si="7"/>
        <v>21.922992099122055</v>
      </c>
      <c r="T18">
        <f t="shared" ref="T18:T20" si="23">(S18)*(28.0134)</f>
        <v>614.13754686954576</v>
      </c>
      <c r="U18">
        <f t="shared" si="8"/>
        <v>132.46062896391138</v>
      </c>
      <c r="V18">
        <f t="shared" si="9"/>
        <v>3.1623293290708032</v>
      </c>
      <c r="W18">
        <f t="shared" ref="W18:W20" si="24">(V18)*(31.999)</f>
        <v>101.19137620093663</v>
      </c>
      <c r="X18">
        <f t="shared" si="10"/>
        <v>20.497765156706212</v>
      </c>
      <c r="Y18">
        <f t="shared" ref="Y18:Y20" si="25">(0.000976810511041857)*(I18)</f>
        <v>1.2278744012335005E-3</v>
      </c>
      <c r="Z18">
        <f t="shared" ref="Z18:Z20" si="26">(Y18)*(28.01)</f>
        <v>3.4392761978550353E-2</v>
      </c>
      <c r="AA18">
        <f t="shared" si="11"/>
        <v>7.9256186369911063E-3</v>
      </c>
      <c r="AB18">
        <f t="shared" si="12"/>
        <v>1.4063101181766418E-2</v>
      </c>
      <c r="AC18">
        <f t="shared" ref="AC18:AC20" si="27">(AB18)*(30.0061)</f>
        <v>0.42197882037020129</v>
      </c>
      <c r="AD18">
        <f t="shared" si="13"/>
        <v>9.3047184720710469E-2</v>
      </c>
      <c r="AE18">
        <f t="shared" ref="AE18:AE20" si="28">SUM(O18,R18,U18,X18,AA18,AD18)</f>
        <v>197.7135451133729</v>
      </c>
      <c r="AF18">
        <f t="shared" ref="AF18:AF20" si="29">(((M18)*($N$5)*(G18+273.15))*0.001)/($N$4)</f>
        <v>8.1156106449443904E-2</v>
      </c>
      <c r="AG18">
        <f>((((P18)*($N$5)*(G18+273.15))*0.001))/($N$4)</f>
        <v>0.29515194503455577</v>
      </c>
      <c r="AH18">
        <f t="shared" ref="AH18:AH20" si="30">(((S18)*(0.0821)*(G18+273.15))*0.001)</f>
        <v>1.3668396875695765</v>
      </c>
      <c r="AI18">
        <f t="shared" ref="AI18:AI20" si="31">((((V18)*($N$5)*(G18+273.15))*0.001))/($N$4)</f>
        <v>0.19716274186461721</v>
      </c>
      <c r="AJ18">
        <f t="shared" ref="AJ18:AJ20" si="32">((((Y18)*($N$5)*(G18+273.15))*0.001))/($N$4)</f>
        <v>7.6554671705779119E-5</v>
      </c>
      <c r="AK18">
        <f t="shared" ref="AK18:AK20" si="33">((((AB18)*($N$5)*(G18+273.15))*0.001))/($N$4)</f>
        <v>8.7679659503753259E-4</v>
      </c>
      <c r="AL18">
        <f t="shared" ref="AL18:AL20" si="34">SUM(AF18,AG18,AH18,AI18,AJ18,AK18)</f>
        <v>1.9412638321849367</v>
      </c>
      <c r="AM18">
        <f t="shared" ref="AM18:AM20" si="35">AL18/$P$3</f>
        <v>0.87960112264566437</v>
      </c>
      <c r="AN18">
        <f t="shared" ref="AN18:AN20" si="36">((1)*(44.01/1000))/((0.0821)*(G18+273.15)*(0.001))</f>
        <v>0.70588445086633378</v>
      </c>
      <c r="AO18">
        <f t="shared" ref="AO18:AO20" si="37">((1)*(18.0152/1000))/((0.0821)*(G18+273.15)*(0.001))</f>
        <v>0.28894909246187628</v>
      </c>
      <c r="AP18">
        <f t="shared" ref="AP18:AP20" si="38">((1)*(28.0134/1000))/((0.0821)*(G18+273.15)*(0.001))</f>
        <v>0.44931205353099196</v>
      </c>
      <c r="AQ18">
        <f t="shared" ref="AQ18:AQ20" si="39">((1)*(31.99/1000))/((0.0821)*(G18+273.15)*(0.001))</f>
        <v>0.51309346928457211</v>
      </c>
      <c r="AR18">
        <f t="shared" ref="AR18:AR20" si="40">((1)*(28.01/1000))/((0.0821)*(G18+273.15)*(0.001))</f>
        <v>0.44925752030824839</v>
      </c>
      <c r="AS18">
        <f t="shared" ref="AS18:AS20" si="41">((1)*(30.0061/1000))/((0.0821)*(G18+273.15)*(0.001))</f>
        <v>0.48127333381368553</v>
      </c>
      <c r="AT18">
        <f t="shared" ref="AT18:AT20" si="42">(($AU$3)*($AX$3/((0.555*(G18+273.15))+$AW$3))*(((G18+273.15)/$AV$3)^(3/2)))*0.001</f>
        <v>3.7567108634169126E-5</v>
      </c>
      <c r="AU18">
        <f t="shared" ref="AU18:AU20" si="43">(($AU$5)*($AX$5/((0.555*(G18+273.15))+$AW$5))*(((G18+273.15)/$AV$5)^(3/2)))*0.001</f>
        <v>2.9074432650972285E-3</v>
      </c>
      <c r="AV18">
        <f t="shared" ref="AV18:AV20" si="44">(($AU$7)*($AX$7/((0.555*(G18+273.15))+$AW$7))*(((G18+273.15)/$AV$7)^(3/2)))*0.001</f>
        <v>3.7320314759331773E-5</v>
      </c>
      <c r="AW18">
        <f t="shared" ref="AW18:AW20" si="45">(($AU$8)*($AX$8/((0.555*(G18+273.15))+$AW$8))*(((G18+273.15)/$AV$8)^(3/2)))*0.001</f>
        <v>4.4570151387063111E-5</v>
      </c>
      <c r="AX18">
        <f t="shared" ref="AX18:AX20" si="46">(($AU$4)*($AX$4/((0.555*(G18+273.15))+$AW$4))*(((G18+273.15)/$AV$4)^(3/2)))*0.001</f>
        <v>3.7911352108379871E-5</v>
      </c>
      <c r="AY18">
        <f t="shared" ref="AY18:AY20" si="47">(($AU$6)*($AX$6/((0.555*(G18+273.15))+$AW$6))*(((G18+273.15)/$AV$6)^(3/2)))*0.001</f>
        <v>4.5192949020565656E-4</v>
      </c>
      <c r="AZ18">
        <f t="shared" ref="AZ18:AZ20" si="48">SUM(AN18:AS18)</f>
        <v>2.8877699202657081</v>
      </c>
      <c r="BA18">
        <f t="shared" ref="BA18:BA20" si="49">SUM(AT18:AY18)</f>
        <v>3.5167416821918289E-3</v>
      </c>
      <c r="BB18">
        <f t="shared" ref="BB18:BB20" si="50">(AZ18*AM18*0.4064)/BA18</f>
        <v>293.5361499535075</v>
      </c>
    </row>
    <row r="19" spans="1:54" x14ac:dyDescent="0.3">
      <c r="A19" s="38">
        <f t="shared" si="14"/>
        <v>45416.474880960646</v>
      </c>
      <c r="B19" t="s">
        <v>108</v>
      </c>
      <c r="C19" s="39">
        <f t="shared" si="15"/>
        <v>45416</v>
      </c>
      <c r="D19" s="1">
        <v>0.47488096064814811</v>
      </c>
      <c r="E19">
        <v>0</v>
      </c>
      <c r="F19">
        <v>101.187</v>
      </c>
      <c r="G19">
        <v>486.25700000000001</v>
      </c>
      <c r="H19">
        <f t="shared" ref="H19:H20" si="51">(F19+E19)/3600</f>
        <v>2.8107500000000001E-2</v>
      </c>
      <c r="I19">
        <f t="shared" si="16"/>
        <v>1.2540868290546097</v>
      </c>
      <c r="J19">
        <f t="shared" si="17"/>
        <v>186.25699999999995</v>
      </c>
      <c r="K19">
        <f t="shared" si="18"/>
        <v>186.25700000000001</v>
      </c>
      <c r="L19">
        <f t="shared" si="19"/>
        <v>77015.507508780021</v>
      </c>
      <c r="M19">
        <f t="shared" si="4"/>
        <v>1.2986359931187257</v>
      </c>
      <c r="N19">
        <f t="shared" si="20"/>
        <v>57.152970057155116</v>
      </c>
      <c r="O19">
        <f t="shared" si="21"/>
        <v>12.917878292765778</v>
      </c>
      <c r="P19">
        <f t="shared" si="5"/>
        <v>4.7229340591844062</v>
      </c>
      <c r="Q19">
        <f t="shared" si="22"/>
        <v>85.084979497743646</v>
      </c>
      <c r="R19">
        <f t="shared" si="6"/>
        <v>31.631955360517232</v>
      </c>
      <c r="S19">
        <f t="shared" si="7"/>
        <v>21.871764094631086</v>
      </c>
      <c r="T19">
        <f t="shared" si="23"/>
        <v>612.70247628853849</v>
      </c>
      <c r="U19">
        <f t="shared" si="8"/>
        <v>132.15110489599405</v>
      </c>
      <c r="V19">
        <f t="shared" si="9"/>
        <v>3.154939834957085</v>
      </c>
      <c r="W19">
        <f t="shared" si="24"/>
        <v>100.95491977879176</v>
      </c>
      <c r="X19">
        <f t="shared" si="10"/>
        <v>20.449867515692851</v>
      </c>
      <c r="Y19">
        <f t="shared" si="25"/>
        <v>1.2250051963796954E-3</v>
      </c>
      <c r="Z19">
        <f t="shared" si="26"/>
        <v>3.4312395550595273E-2</v>
      </c>
      <c r="AA19">
        <f t="shared" si="11"/>
        <v>7.9070986455002708E-3</v>
      </c>
      <c r="AB19">
        <f t="shared" si="12"/>
        <v>1.4030239581158292E-2</v>
      </c>
      <c r="AC19">
        <f t="shared" si="27"/>
        <v>0.42099277189619383</v>
      </c>
      <c r="AD19">
        <f t="shared" si="13"/>
        <v>9.2829759034691331E-2</v>
      </c>
      <c r="AE19">
        <f t="shared" si="28"/>
        <v>197.25154292265009</v>
      </c>
      <c r="AF19">
        <f t="shared" si="29"/>
        <v>8.0966466943720228E-2</v>
      </c>
      <c r="AG19">
        <f t="shared" ref="AG19:AG20" si="52">((((P19)*($N$5)*(G19+273.15))*0.001))/($N$4)</f>
        <v>0.29446225609531862</v>
      </c>
      <c r="AH19">
        <f t="shared" si="30"/>
        <v>1.3636457590521247</v>
      </c>
      <c r="AI19">
        <f t="shared" si="31"/>
        <v>0.19670202674963544</v>
      </c>
      <c r="AJ19">
        <f t="shared" si="32"/>
        <v>7.6375784487820177E-5</v>
      </c>
      <c r="AK19">
        <f t="shared" si="33"/>
        <v>8.7474776248287213E-4</v>
      </c>
      <c r="AL19">
        <f t="shared" si="34"/>
        <v>1.9367276323877696</v>
      </c>
      <c r="AM19">
        <f t="shared" si="35"/>
        <v>0.8775457366811289</v>
      </c>
      <c r="AN19">
        <f t="shared" si="36"/>
        <v>0.70588445086633378</v>
      </c>
      <c r="AO19">
        <f t="shared" si="37"/>
        <v>0.28894909246187628</v>
      </c>
      <c r="AP19">
        <f t="shared" si="38"/>
        <v>0.44931205353099196</v>
      </c>
      <c r="AQ19">
        <f t="shared" si="39"/>
        <v>0.51309346928457211</v>
      </c>
      <c r="AR19">
        <f t="shared" si="40"/>
        <v>0.44925752030824839</v>
      </c>
      <c r="AS19">
        <f t="shared" si="41"/>
        <v>0.48127333381368553</v>
      </c>
      <c r="AT19">
        <f t="shared" si="42"/>
        <v>3.7567108634169126E-5</v>
      </c>
      <c r="AU19">
        <f t="shared" si="43"/>
        <v>2.9074432650972285E-3</v>
      </c>
      <c r="AV19">
        <f t="shared" si="44"/>
        <v>3.7320314759331773E-5</v>
      </c>
      <c r="AW19">
        <f t="shared" si="45"/>
        <v>4.4570151387063111E-5</v>
      </c>
      <c r="AX19">
        <f t="shared" si="46"/>
        <v>3.7911352108379871E-5</v>
      </c>
      <c r="AY19">
        <f t="shared" si="47"/>
        <v>4.5192949020565656E-4</v>
      </c>
      <c r="AZ19">
        <f t="shared" si="48"/>
        <v>2.8877699202657081</v>
      </c>
      <c r="BA19">
        <f t="shared" si="49"/>
        <v>3.5167416821918289E-3</v>
      </c>
      <c r="BB19">
        <f t="shared" si="50"/>
        <v>292.85023668308833</v>
      </c>
    </row>
    <row r="20" spans="1:54" x14ac:dyDescent="0.3">
      <c r="A20" s="38">
        <f t="shared" si="14"/>
        <v>45416.474892534723</v>
      </c>
      <c r="B20" t="s">
        <v>108</v>
      </c>
      <c r="C20" s="39">
        <f t="shared" si="15"/>
        <v>45416</v>
      </c>
      <c r="D20" s="1">
        <v>0.4748925347222222</v>
      </c>
      <c r="E20">
        <v>0</v>
      </c>
      <c r="F20">
        <v>101.187</v>
      </c>
      <c r="G20">
        <v>486.25700000000001</v>
      </c>
      <c r="H20">
        <f t="shared" si="51"/>
        <v>2.8107500000000001E-2</v>
      </c>
      <c r="I20">
        <f t="shared" si="16"/>
        <v>1.2540868290546097</v>
      </c>
      <c r="J20">
        <f t="shared" si="17"/>
        <v>186.25699999999995</v>
      </c>
      <c r="K20">
        <f t="shared" si="18"/>
        <v>186.25700000000001</v>
      </c>
      <c r="L20">
        <f t="shared" si="19"/>
        <v>77015.507508780021</v>
      </c>
      <c r="M20">
        <f t="shared" si="4"/>
        <v>1.2986359931187257</v>
      </c>
      <c r="N20">
        <f t="shared" si="20"/>
        <v>57.152970057155116</v>
      </c>
      <c r="O20">
        <f t="shared" si="21"/>
        <v>12.917878292765778</v>
      </c>
      <c r="P20">
        <f t="shared" si="5"/>
        <v>4.7229340591844062</v>
      </c>
      <c r="Q20">
        <f t="shared" si="22"/>
        <v>85.084979497743646</v>
      </c>
      <c r="R20">
        <f t="shared" si="6"/>
        <v>31.631955360517232</v>
      </c>
      <c r="S20">
        <f t="shared" si="7"/>
        <v>21.871764094631086</v>
      </c>
      <c r="T20">
        <f t="shared" si="23"/>
        <v>612.70247628853849</v>
      </c>
      <c r="U20">
        <f t="shared" si="8"/>
        <v>132.15110489599405</v>
      </c>
      <c r="V20">
        <f t="shared" si="9"/>
        <v>3.154939834957085</v>
      </c>
      <c r="W20">
        <f t="shared" si="24"/>
        <v>100.95491977879176</v>
      </c>
      <c r="X20">
        <f t="shared" si="10"/>
        <v>20.449867515692851</v>
      </c>
      <c r="Y20">
        <f t="shared" si="25"/>
        <v>1.2250051963796954E-3</v>
      </c>
      <c r="Z20">
        <f t="shared" si="26"/>
        <v>3.4312395550595273E-2</v>
      </c>
      <c r="AA20">
        <f t="shared" si="11"/>
        <v>7.9070986455002708E-3</v>
      </c>
      <c r="AB20">
        <f t="shared" si="12"/>
        <v>1.4030239581158292E-2</v>
      </c>
      <c r="AC20">
        <f t="shared" si="27"/>
        <v>0.42099277189619383</v>
      </c>
      <c r="AD20">
        <f t="shared" si="13"/>
        <v>9.2829759034691331E-2</v>
      </c>
      <c r="AE20">
        <f t="shared" si="28"/>
        <v>197.25154292265009</v>
      </c>
      <c r="AF20">
        <f t="shared" si="29"/>
        <v>8.0966466943720228E-2</v>
      </c>
      <c r="AG20">
        <f t="shared" si="52"/>
        <v>0.29446225609531862</v>
      </c>
      <c r="AH20">
        <f t="shared" si="30"/>
        <v>1.3636457590521247</v>
      </c>
      <c r="AI20">
        <f t="shared" si="31"/>
        <v>0.19670202674963544</v>
      </c>
      <c r="AJ20">
        <f t="shared" si="32"/>
        <v>7.6375784487820177E-5</v>
      </c>
      <c r="AK20">
        <f t="shared" si="33"/>
        <v>8.7474776248287213E-4</v>
      </c>
      <c r="AL20">
        <f t="shared" si="34"/>
        <v>1.9367276323877696</v>
      </c>
      <c r="AM20">
        <f t="shared" si="35"/>
        <v>0.8775457366811289</v>
      </c>
      <c r="AN20">
        <f t="shared" si="36"/>
        <v>0.70588445086633378</v>
      </c>
      <c r="AO20">
        <f t="shared" si="37"/>
        <v>0.28894909246187628</v>
      </c>
      <c r="AP20">
        <f t="shared" si="38"/>
        <v>0.44931205353099196</v>
      </c>
      <c r="AQ20">
        <f t="shared" si="39"/>
        <v>0.51309346928457211</v>
      </c>
      <c r="AR20">
        <f t="shared" si="40"/>
        <v>0.44925752030824839</v>
      </c>
      <c r="AS20">
        <f t="shared" si="41"/>
        <v>0.48127333381368553</v>
      </c>
      <c r="AT20">
        <f t="shared" si="42"/>
        <v>3.7567108634169126E-5</v>
      </c>
      <c r="AU20">
        <f t="shared" si="43"/>
        <v>2.9074432650972285E-3</v>
      </c>
      <c r="AV20">
        <f t="shared" si="44"/>
        <v>3.7320314759331773E-5</v>
      </c>
      <c r="AW20">
        <f t="shared" si="45"/>
        <v>4.4570151387063111E-5</v>
      </c>
      <c r="AX20">
        <f t="shared" si="46"/>
        <v>3.7911352108379871E-5</v>
      </c>
      <c r="AY20">
        <f t="shared" si="47"/>
        <v>4.5192949020565656E-4</v>
      </c>
      <c r="AZ20">
        <f t="shared" si="48"/>
        <v>2.8877699202657081</v>
      </c>
      <c r="BA20">
        <f t="shared" si="49"/>
        <v>3.5167416821918289E-3</v>
      </c>
      <c r="BB20">
        <f t="shared" si="50"/>
        <v>292.85023668308833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ChatGPTData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Rafia Kouser</dc:creator>
  <cp:lastModifiedBy>Rafia Kouser</cp:lastModifiedBy>
  <dcterms:created xsi:type="dcterms:W3CDTF">2025-05-16T16:49:03Z</dcterms:created>
  <dcterms:modified xsi:type="dcterms:W3CDTF">2025-05-23T21:40:21Z</dcterms:modified>
</cp:coreProperties>
</file>