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 Rafif\Proyek Magang\Raja Sukses Propertindo\"/>
    </mc:Choice>
  </mc:AlternateContent>
  <xr:revisionPtr revIDLastSave="0" documentId="13_ncr:1_{082535FB-6386-428C-B14C-5A53612B0818}" xr6:coauthVersionLast="47" xr6:coauthVersionMax="47" xr10:uidLastSave="{00000000-0000-0000-0000-000000000000}"/>
  <bookViews>
    <workbookView xWindow="-110" yWindow="-110" windowWidth="19420" windowHeight="10300" xr2:uid="{4D4DE60A-98BC-47E2-AB91-C39F53AA9BFE}"/>
  </bookViews>
  <sheets>
    <sheet name="1" sheetId="8" r:id="rId1"/>
    <sheet name="2" sheetId="9" r:id="rId2"/>
    <sheet name="Tes 3" sheetId="4" state="hidden" r:id="rId3"/>
    <sheet name="3" sheetId="1" r:id="rId4"/>
    <sheet name="ans1" sheetId="10" state="hidden" r:id="rId5"/>
    <sheet name="ans2" sheetId="11" state="hidden" r:id="rId6"/>
    <sheet name="ans3" sheetId="12" state="hidden" r:id="rId7"/>
    <sheet name="Tes 5" sheetId="5" state="hidden" r:id="rId8"/>
    <sheet name="Tes 31" sheetId="3" state="hidden" r:id="rId9"/>
  </sheets>
  <definedNames>
    <definedName name="_xlnm._FilterDatabase" localSheetId="6" hidden="1">'ans3'!$F$29:$O$35</definedName>
    <definedName name="_xlnm._FilterDatabase" localSheetId="8" hidden="1">'Tes 31'!$A$11:$L$41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9" i="8" l="1"/>
  <c r="K60" i="8"/>
  <c r="K61" i="8"/>
  <c r="K62" i="8"/>
  <c r="K63" i="8"/>
  <c r="K64" i="8"/>
  <c r="K65" i="8"/>
  <c r="K66" i="8"/>
  <c r="K67" i="8"/>
  <c r="K68" i="8"/>
  <c r="K69" i="8"/>
  <c r="K70" i="8"/>
  <c r="K58" i="8"/>
  <c r="J59" i="8"/>
  <c r="J60" i="8"/>
  <c r="J61" i="8"/>
  <c r="J62" i="8"/>
  <c r="J63" i="8"/>
  <c r="J64" i="8"/>
  <c r="J65" i="8"/>
  <c r="J66" i="8"/>
  <c r="J67" i="8"/>
  <c r="J68" i="8"/>
  <c r="J69" i="8"/>
  <c r="J70" i="8"/>
  <c r="J58" i="8"/>
  <c r="I59" i="8"/>
  <c r="I60" i="8"/>
  <c r="I61" i="8"/>
  <c r="I62" i="8"/>
  <c r="I63" i="8"/>
  <c r="I64" i="8"/>
  <c r="I65" i="8"/>
  <c r="I66" i="8"/>
  <c r="I67" i="8"/>
  <c r="I68" i="8"/>
  <c r="I69" i="8"/>
  <c r="I70" i="8"/>
  <c r="I58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G59" i="8"/>
  <c r="G60" i="8"/>
  <c r="G61" i="8"/>
  <c r="G62" i="8"/>
  <c r="G63" i="8"/>
  <c r="G64" i="8"/>
  <c r="G65" i="8"/>
  <c r="G66" i="8"/>
  <c r="G67" i="8"/>
  <c r="G68" i="8"/>
  <c r="G69" i="8"/>
  <c r="G70" i="8"/>
  <c r="G58" i="8"/>
  <c r="H40" i="8"/>
  <c r="H41" i="8"/>
  <c r="H42" i="8"/>
  <c r="H43" i="8"/>
  <c r="H44" i="8"/>
  <c r="H45" i="8"/>
  <c r="H46" i="8"/>
  <c r="H47" i="8"/>
  <c r="H48" i="8"/>
  <c r="H49" i="8"/>
  <c r="H50" i="8"/>
  <c r="H51" i="8"/>
  <c r="H39" i="8"/>
  <c r="G40" i="8"/>
  <c r="G41" i="8"/>
  <c r="G42" i="8"/>
  <c r="G43" i="8"/>
  <c r="G44" i="8"/>
  <c r="G45" i="8"/>
  <c r="G46" i="8"/>
  <c r="G47" i="8"/>
  <c r="G48" i="8"/>
  <c r="G49" i="8"/>
  <c r="G50" i="8"/>
  <c r="G51" i="8"/>
  <c r="G39" i="8"/>
  <c r="F40" i="8"/>
  <c r="F41" i="8"/>
  <c r="F42" i="8"/>
  <c r="F43" i="8"/>
  <c r="F44" i="8"/>
  <c r="F45" i="8"/>
  <c r="F46" i="8"/>
  <c r="F47" i="8"/>
  <c r="F48" i="8"/>
  <c r="F49" i="8"/>
  <c r="F50" i="8"/>
  <c r="F51" i="8"/>
  <c r="F39" i="8"/>
  <c r="E40" i="8"/>
  <c r="E41" i="8"/>
  <c r="E42" i="8"/>
  <c r="E43" i="8"/>
  <c r="E44" i="8"/>
  <c r="E45" i="8"/>
  <c r="E46" i="8"/>
  <c r="E47" i="8"/>
  <c r="E48" i="8"/>
  <c r="E49" i="8"/>
  <c r="E50" i="8"/>
  <c r="E51" i="8"/>
  <c r="E39" i="8"/>
  <c r="M25" i="8"/>
  <c r="M26" i="8"/>
  <c r="M27" i="8"/>
  <c r="M28" i="8"/>
  <c r="M29" i="8"/>
  <c r="M30" i="8"/>
  <c r="M31" i="8"/>
  <c r="M32" i="8"/>
  <c r="M24" i="8"/>
  <c r="L25" i="8"/>
  <c r="L26" i="8"/>
  <c r="L27" i="8"/>
  <c r="L28" i="8"/>
  <c r="L29" i="8"/>
  <c r="L30" i="8"/>
  <c r="L31" i="8"/>
  <c r="L32" i="8"/>
  <c r="L24" i="8"/>
  <c r="I24" i="8"/>
  <c r="K24" i="8" s="1"/>
  <c r="K25" i="8"/>
  <c r="K26" i="8"/>
  <c r="K27" i="8"/>
  <c r="K28" i="8"/>
  <c r="K29" i="8"/>
  <c r="K30" i="8"/>
  <c r="K31" i="8"/>
  <c r="K32" i="8"/>
  <c r="J25" i="8"/>
  <c r="J26" i="8"/>
  <c r="J27" i="8"/>
  <c r="J28" i="8"/>
  <c r="J29" i="8"/>
  <c r="J30" i="8"/>
  <c r="J31" i="8"/>
  <c r="J32" i="8"/>
  <c r="J24" i="8"/>
  <c r="I25" i="8"/>
  <c r="I26" i="8"/>
  <c r="I27" i="8"/>
  <c r="I28" i="8"/>
  <c r="I29" i="8"/>
  <c r="I30" i="8"/>
  <c r="I31" i="8"/>
  <c r="I32" i="8"/>
  <c r="J10" i="8"/>
  <c r="J11" i="8"/>
  <c r="J12" i="8"/>
  <c r="J13" i="8"/>
  <c r="J14" i="8"/>
  <c r="J15" i="8"/>
  <c r="J16" i="8"/>
  <c r="J17" i="8"/>
  <c r="J18" i="8"/>
  <c r="J9" i="8"/>
  <c r="I10" i="8"/>
  <c r="I11" i="8"/>
  <c r="I12" i="8"/>
  <c r="I13" i="8"/>
  <c r="I14" i="8"/>
  <c r="I15" i="8"/>
  <c r="I16" i="8"/>
  <c r="I17" i="8"/>
  <c r="I18" i="8"/>
  <c r="H10" i="8"/>
  <c r="H11" i="8"/>
  <c r="H12" i="8"/>
  <c r="H13" i="8"/>
  <c r="H14" i="8"/>
  <c r="H15" i="8"/>
  <c r="H16" i="8"/>
  <c r="H17" i="8"/>
  <c r="H18" i="8"/>
  <c r="I9" i="8"/>
  <c r="H9" i="8"/>
  <c r="L25" i="10"/>
  <c r="L26" i="10"/>
  <c r="L27" i="10"/>
  <c r="L28" i="10"/>
  <c r="L29" i="10"/>
  <c r="L30" i="10"/>
  <c r="L31" i="10"/>
  <c r="L32" i="10"/>
  <c r="L24" i="10"/>
  <c r="M23" i="12"/>
  <c r="K23" i="12"/>
  <c r="J23" i="12"/>
  <c r="G23" i="12"/>
  <c r="F23" i="12"/>
  <c r="E23" i="12"/>
  <c r="C23" i="12"/>
  <c r="L22" i="12"/>
  <c r="H22" i="12"/>
  <c r="G22" i="12"/>
  <c r="C22" i="12"/>
  <c r="L21" i="12"/>
  <c r="K21" i="12"/>
  <c r="I21" i="12"/>
  <c r="G21" i="12"/>
  <c r="E21" i="12"/>
  <c r="D21" i="12"/>
  <c r="C21" i="12"/>
  <c r="M20" i="12"/>
  <c r="L20" i="12"/>
  <c r="J20" i="12"/>
  <c r="I20" i="12"/>
  <c r="H20" i="12"/>
  <c r="F20" i="12"/>
  <c r="E20" i="12"/>
  <c r="D20" i="12"/>
  <c r="C20" i="12"/>
  <c r="K20" i="12" s="1"/>
  <c r="M19" i="12"/>
  <c r="K19" i="12"/>
  <c r="J19" i="12"/>
  <c r="G19" i="12"/>
  <c r="F19" i="12"/>
  <c r="E19" i="12"/>
  <c r="C19" i="12"/>
  <c r="C18" i="12"/>
  <c r="H18" i="12" s="1"/>
  <c r="L17" i="12"/>
  <c r="K17" i="12"/>
  <c r="I17" i="12"/>
  <c r="G17" i="12"/>
  <c r="E17" i="12"/>
  <c r="D17" i="12"/>
  <c r="C17" i="12"/>
  <c r="M16" i="12"/>
  <c r="L16" i="12"/>
  <c r="J16" i="12"/>
  <c r="I16" i="12"/>
  <c r="H16" i="12"/>
  <c r="F16" i="12"/>
  <c r="E16" i="12"/>
  <c r="D16" i="12"/>
  <c r="C16" i="12"/>
  <c r="K16" i="12" s="1"/>
  <c r="M15" i="12"/>
  <c r="K15" i="12"/>
  <c r="J15" i="12"/>
  <c r="G15" i="12"/>
  <c r="F15" i="12"/>
  <c r="E15" i="12"/>
  <c r="C15" i="12"/>
  <c r="L14" i="12"/>
  <c r="H14" i="12"/>
  <c r="G14" i="12"/>
  <c r="C14" i="12"/>
  <c r="L13" i="12"/>
  <c r="K13" i="12"/>
  <c r="I13" i="12"/>
  <c r="G13" i="12"/>
  <c r="E13" i="12"/>
  <c r="D13" i="12"/>
  <c r="C13" i="12"/>
  <c r="M12" i="12"/>
  <c r="L12" i="12"/>
  <c r="J12" i="12"/>
  <c r="I12" i="12"/>
  <c r="H12" i="12"/>
  <c r="F12" i="12"/>
  <c r="E12" i="12"/>
  <c r="D12" i="12"/>
  <c r="C12" i="12"/>
  <c r="K12" i="12" s="1"/>
  <c r="M1" i="12"/>
  <c r="I1" i="12"/>
  <c r="J1" i="12" s="1"/>
  <c r="K1" i="12" s="1"/>
  <c r="L1" i="12" s="1"/>
  <c r="I57" i="11"/>
  <c r="H57" i="11"/>
  <c r="E57" i="11"/>
  <c r="G57" i="11" s="1"/>
  <c r="I56" i="11"/>
  <c r="H56" i="11"/>
  <c r="E56" i="11"/>
  <c r="G56" i="11" s="1"/>
  <c r="H55" i="11"/>
  <c r="E55" i="11"/>
  <c r="G55" i="11" s="1"/>
  <c r="H54" i="11"/>
  <c r="E54" i="11"/>
  <c r="G54" i="11" s="1"/>
  <c r="I54" i="11" s="1"/>
  <c r="I53" i="11"/>
  <c r="H53" i="11"/>
  <c r="E53" i="11"/>
  <c r="G53" i="11" s="1"/>
  <c r="H52" i="11"/>
  <c r="I52" i="11" s="1"/>
  <c r="E52" i="11"/>
  <c r="G52" i="11" s="1"/>
  <c r="H51" i="11"/>
  <c r="E51" i="11"/>
  <c r="G51" i="11" s="1"/>
  <c r="I51" i="11" s="1"/>
  <c r="H50" i="11"/>
  <c r="E50" i="11"/>
  <c r="G50" i="11" s="1"/>
  <c r="I50" i="11" s="1"/>
  <c r="I49" i="11"/>
  <c r="H49" i="11"/>
  <c r="E49" i="11"/>
  <c r="G49" i="11" s="1"/>
  <c r="I48" i="11"/>
  <c r="H48" i="11"/>
  <c r="E48" i="11"/>
  <c r="G48" i="11" s="1"/>
  <c r="H47" i="11"/>
  <c r="E47" i="11"/>
  <c r="G47" i="11" s="1"/>
  <c r="H46" i="11"/>
  <c r="E46" i="11"/>
  <c r="G46" i="11" s="1"/>
  <c r="I46" i="11" s="1"/>
  <c r="K37" i="11"/>
  <c r="I37" i="11"/>
  <c r="H37" i="11"/>
  <c r="J37" i="11" s="1"/>
  <c r="G37" i="11"/>
  <c r="F37" i="11"/>
  <c r="E37" i="11"/>
  <c r="K36" i="11"/>
  <c r="J36" i="11"/>
  <c r="I36" i="11"/>
  <c r="H36" i="11"/>
  <c r="G36" i="11"/>
  <c r="F36" i="11"/>
  <c r="E36" i="11"/>
  <c r="K35" i="11"/>
  <c r="I35" i="11"/>
  <c r="J35" i="11" s="1"/>
  <c r="H35" i="11"/>
  <c r="G35" i="11"/>
  <c r="F35" i="11"/>
  <c r="E35" i="11"/>
  <c r="K34" i="11"/>
  <c r="I34" i="11"/>
  <c r="H34" i="11"/>
  <c r="J34" i="11" s="1"/>
  <c r="G34" i="11"/>
  <c r="F34" i="11"/>
  <c r="E34" i="11"/>
  <c r="K33" i="11"/>
  <c r="J33" i="11"/>
  <c r="I33" i="11"/>
  <c r="H33" i="11"/>
  <c r="G33" i="11"/>
  <c r="F33" i="11"/>
  <c r="E33" i="11"/>
  <c r="K32" i="11"/>
  <c r="I32" i="11"/>
  <c r="J32" i="11" s="1"/>
  <c r="H32" i="11"/>
  <c r="G32" i="11"/>
  <c r="F32" i="11"/>
  <c r="E32" i="11"/>
  <c r="K31" i="11"/>
  <c r="I31" i="11"/>
  <c r="H31" i="11"/>
  <c r="G31" i="11"/>
  <c r="F31" i="11"/>
  <c r="E31" i="11"/>
  <c r="K30" i="11"/>
  <c r="I30" i="11"/>
  <c r="H30" i="11"/>
  <c r="J30" i="11" s="1"/>
  <c r="G30" i="11"/>
  <c r="F30" i="11"/>
  <c r="E30" i="11"/>
  <c r="K29" i="11"/>
  <c r="J29" i="11"/>
  <c r="I29" i="11"/>
  <c r="H29" i="11"/>
  <c r="G29" i="11"/>
  <c r="F29" i="11"/>
  <c r="E29" i="11"/>
  <c r="K28" i="11"/>
  <c r="I28" i="11"/>
  <c r="J28" i="11" s="1"/>
  <c r="H28" i="11"/>
  <c r="G28" i="11"/>
  <c r="F28" i="11"/>
  <c r="E28" i="11"/>
  <c r="K27" i="11"/>
  <c r="I27" i="11"/>
  <c r="H27" i="11"/>
  <c r="J27" i="11" s="1"/>
  <c r="G27" i="11"/>
  <c r="F27" i="11"/>
  <c r="E27" i="11"/>
  <c r="K26" i="11"/>
  <c r="I26" i="11"/>
  <c r="H26" i="11"/>
  <c r="G26" i="11"/>
  <c r="F26" i="11"/>
  <c r="E26" i="11"/>
  <c r="G17" i="11"/>
  <c r="I17" i="11" s="1"/>
  <c r="F17" i="11"/>
  <c r="E17" i="11"/>
  <c r="I16" i="11"/>
  <c r="G16" i="11"/>
  <c r="F16" i="11"/>
  <c r="E16" i="11"/>
  <c r="K15" i="11"/>
  <c r="J15" i="11"/>
  <c r="G15" i="11"/>
  <c r="I15" i="11" s="1"/>
  <c r="F15" i="11"/>
  <c r="E15" i="11"/>
  <c r="J14" i="11"/>
  <c r="G14" i="11"/>
  <c r="I14" i="11" s="1"/>
  <c r="F14" i="11"/>
  <c r="E14" i="11"/>
  <c r="G13" i="11"/>
  <c r="I13" i="11" s="1"/>
  <c r="F13" i="11"/>
  <c r="E13" i="11"/>
  <c r="J12" i="11"/>
  <c r="I12" i="11"/>
  <c r="G12" i="11"/>
  <c r="F12" i="11"/>
  <c r="E12" i="11"/>
  <c r="K11" i="11"/>
  <c r="J11" i="11"/>
  <c r="G11" i="11"/>
  <c r="I11" i="11" s="1"/>
  <c r="F11" i="11"/>
  <c r="E11" i="11"/>
  <c r="G10" i="11"/>
  <c r="I10" i="11" s="1"/>
  <c r="J10" i="11" s="1"/>
  <c r="F10" i="11"/>
  <c r="E10" i="11"/>
  <c r="G9" i="11"/>
  <c r="I9" i="11" s="1"/>
  <c r="F9" i="11"/>
  <c r="E9" i="11"/>
  <c r="G8" i="11"/>
  <c r="I8" i="11" s="1"/>
  <c r="F8" i="11"/>
  <c r="E8" i="11"/>
  <c r="J7" i="11"/>
  <c r="K7" i="11" s="1"/>
  <c r="G7" i="11"/>
  <c r="I7" i="11" s="1"/>
  <c r="F7" i="11"/>
  <c r="E7" i="11"/>
  <c r="J6" i="11"/>
  <c r="I6" i="11"/>
  <c r="G6" i="11"/>
  <c r="F6" i="11"/>
  <c r="E6" i="11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G55" i="10"/>
  <c r="G70" i="10" s="1"/>
  <c r="I70" i="10" s="1"/>
  <c r="F51" i="10"/>
  <c r="H51" i="10" s="1"/>
  <c r="E51" i="10"/>
  <c r="G50" i="10"/>
  <c r="F50" i="10"/>
  <c r="H50" i="10" s="1"/>
  <c r="E50" i="10"/>
  <c r="G49" i="10"/>
  <c r="F49" i="10"/>
  <c r="H49" i="10" s="1"/>
  <c r="E49" i="10"/>
  <c r="F48" i="10"/>
  <c r="H48" i="10" s="1"/>
  <c r="E48" i="10"/>
  <c r="F47" i="10"/>
  <c r="H47" i="10" s="1"/>
  <c r="E47" i="10"/>
  <c r="G46" i="10"/>
  <c r="F46" i="10"/>
  <c r="H46" i="10" s="1"/>
  <c r="E46" i="10"/>
  <c r="G45" i="10"/>
  <c r="F45" i="10"/>
  <c r="H45" i="10" s="1"/>
  <c r="E45" i="10"/>
  <c r="F44" i="10"/>
  <c r="H44" i="10" s="1"/>
  <c r="E44" i="10"/>
  <c r="F43" i="10"/>
  <c r="H43" i="10" s="1"/>
  <c r="E43" i="10"/>
  <c r="G42" i="10"/>
  <c r="F42" i="10"/>
  <c r="H42" i="10" s="1"/>
  <c r="E42" i="10"/>
  <c r="G41" i="10"/>
  <c r="F41" i="10"/>
  <c r="H41" i="10" s="1"/>
  <c r="E41" i="10"/>
  <c r="F40" i="10"/>
  <c r="H40" i="10" s="1"/>
  <c r="E40" i="10"/>
  <c r="F39" i="10"/>
  <c r="H39" i="10" s="1"/>
  <c r="E39" i="10"/>
  <c r="J32" i="10"/>
  <c r="K32" i="10" s="1"/>
  <c r="I32" i="10"/>
  <c r="K31" i="10"/>
  <c r="M31" i="10" s="1"/>
  <c r="J31" i="10"/>
  <c r="I31" i="10"/>
  <c r="J30" i="10"/>
  <c r="I30" i="10"/>
  <c r="J29" i="10"/>
  <c r="K29" i="10" s="1"/>
  <c r="M29" i="10" s="1"/>
  <c r="I29" i="10"/>
  <c r="J28" i="10"/>
  <c r="K28" i="10" s="1"/>
  <c r="I28" i="10"/>
  <c r="K27" i="10"/>
  <c r="M27" i="10" s="1"/>
  <c r="J27" i="10"/>
  <c r="I27" i="10"/>
  <c r="J26" i="10"/>
  <c r="I26" i="10"/>
  <c r="K25" i="10"/>
  <c r="M25" i="10" s="1"/>
  <c r="J25" i="10"/>
  <c r="I25" i="10"/>
  <c r="K24" i="10"/>
  <c r="J24" i="10"/>
  <c r="I24" i="10"/>
  <c r="I18" i="10"/>
  <c r="J18" i="10" s="1"/>
  <c r="H18" i="10"/>
  <c r="H17" i="10"/>
  <c r="I17" i="10" s="1"/>
  <c r="J17" i="10" s="1"/>
  <c r="J16" i="10"/>
  <c r="H16" i="10"/>
  <c r="I16" i="10" s="1"/>
  <c r="I15" i="10"/>
  <c r="J15" i="10" s="1"/>
  <c r="H15" i="10"/>
  <c r="H14" i="10"/>
  <c r="I14" i="10" s="1"/>
  <c r="J14" i="10" s="1"/>
  <c r="I13" i="10"/>
  <c r="J13" i="10" s="1"/>
  <c r="H13" i="10"/>
  <c r="H12" i="10"/>
  <c r="I12" i="10" s="1"/>
  <c r="J12" i="10" s="1"/>
  <c r="J11" i="10"/>
  <c r="I11" i="10"/>
  <c r="H11" i="10"/>
  <c r="I10" i="10"/>
  <c r="J10" i="10" s="1"/>
  <c r="H10" i="10"/>
  <c r="H9" i="10"/>
  <c r="I9" i="10" s="1"/>
  <c r="J9" i="10" s="1"/>
  <c r="G55" i="8"/>
  <c r="I1" i="1"/>
  <c r="J1" i="1" s="1"/>
  <c r="K1" i="1" s="1"/>
  <c r="L1" i="1" s="1"/>
  <c r="M1" i="1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M32" i="10" l="1"/>
  <c r="M24" i="10"/>
  <c r="G69" i="10"/>
  <c r="J69" i="10" s="1"/>
  <c r="G58" i="10"/>
  <c r="I58" i="10" s="1"/>
  <c r="G65" i="10"/>
  <c r="J65" i="10" s="1"/>
  <c r="G67" i="10"/>
  <c r="J67" i="10" s="1"/>
  <c r="G59" i="10"/>
  <c r="J59" i="10" s="1"/>
  <c r="G66" i="10"/>
  <c r="I66" i="10" s="1"/>
  <c r="G62" i="10"/>
  <c r="I62" i="10" s="1"/>
  <c r="G61" i="10"/>
  <c r="J61" i="10" s="1"/>
  <c r="G63" i="10"/>
  <c r="J63" i="10" s="1"/>
  <c r="M28" i="10"/>
  <c r="J8" i="11"/>
  <c r="K8" i="11" s="1"/>
  <c r="J16" i="11"/>
  <c r="K16" i="11" s="1"/>
  <c r="G33" i="12"/>
  <c r="G40" i="10"/>
  <c r="G48" i="10"/>
  <c r="O12" i="12"/>
  <c r="N12" i="12"/>
  <c r="K26" i="10"/>
  <c r="M26" i="10" s="1"/>
  <c r="G39" i="10"/>
  <c r="G43" i="10"/>
  <c r="G47" i="10"/>
  <c r="G51" i="10"/>
  <c r="J70" i="10"/>
  <c r="K70" i="10" s="1"/>
  <c r="J9" i="11"/>
  <c r="K9" i="11" s="1"/>
  <c r="K14" i="11"/>
  <c r="J31" i="11"/>
  <c r="M14" i="12"/>
  <c r="I14" i="12"/>
  <c r="I25" i="12" s="1"/>
  <c r="E14" i="12"/>
  <c r="K14" i="12"/>
  <c r="F14" i="12"/>
  <c r="J14" i="12"/>
  <c r="D14" i="12"/>
  <c r="M22" i="12"/>
  <c r="I22" i="12"/>
  <c r="N22" i="12" s="1"/>
  <c r="E22" i="12"/>
  <c r="K22" i="12"/>
  <c r="F22" i="12"/>
  <c r="J22" i="12"/>
  <c r="D22" i="12"/>
  <c r="L25" i="12"/>
  <c r="M18" i="12"/>
  <c r="I18" i="12"/>
  <c r="O18" i="12" s="1"/>
  <c r="E18" i="12"/>
  <c r="K18" i="12"/>
  <c r="K24" i="12" s="1"/>
  <c r="F18" i="12"/>
  <c r="K32" i="12" s="1"/>
  <c r="J18" i="12"/>
  <c r="D18" i="12"/>
  <c r="G44" i="10"/>
  <c r="K10" i="11"/>
  <c r="K26" i="12"/>
  <c r="M26" i="12"/>
  <c r="G18" i="12"/>
  <c r="O20" i="12"/>
  <c r="N20" i="12"/>
  <c r="K30" i="10"/>
  <c r="M30" i="10" s="1"/>
  <c r="G68" i="10"/>
  <c r="G64" i="10"/>
  <c r="G60" i="10"/>
  <c r="K6" i="11"/>
  <c r="K12" i="11"/>
  <c r="J13" i="11"/>
  <c r="K13" i="11" s="1"/>
  <c r="J17" i="11"/>
  <c r="K17" i="11" s="1"/>
  <c r="I47" i="11"/>
  <c r="I55" i="11"/>
  <c r="O16" i="12"/>
  <c r="N16" i="12"/>
  <c r="L18" i="12"/>
  <c r="K25" i="12"/>
  <c r="I26" i="12"/>
  <c r="J26" i="11"/>
  <c r="J13" i="12"/>
  <c r="F13" i="12"/>
  <c r="G32" i="12" s="1"/>
  <c r="H13" i="12"/>
  <c r="M13" i="12"/>
  <c r="L15" i="12"/>
  <c r="L24" i="12" s="1"/>
  <c r="H15" i="12"/>
  <c r="D15" i="12"/>
  <c r="I15" i="12"/>
  <c r="J17" i="12"/>
  <c r="F17" i="12"/>
  <c r="H17" i="12"/>
  <c r="M17" i="12"/>
  <c r="L19" i="12"/>
  <c r="H19" i="12"/>
  <c r="D19" i="12"/>
  <c r="I19" i="12"/>
  <c r="J21" i="12"/>
  <c r="F21" i="12"/>
  <c r="H21" i="12"/>
  <c r="M21" i="12"/>
  <c r="L23" i="12"/>
  <c r="H23" i="12"/>
  <c r="D23" i="12"/>
  <c r="I23" i="12"/>
  <c r="G12" i="12"/>
  <c r="G16" i="12"/>
  <c r="G20" i="12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I63" i="10" l="1"/>
  <c r="K63" i="10" s="1"/>
  <c r="I69" i="10"/>
  <c r="K69" i="10" s="1"/>
  <c r="J58" i="10"/>
  <c r="K58" i="10" s="1"/>
  <c r="J66" i="10"/>
  <c r="K66" i="10" s="1"/>
  <c r="I59" i="10"/>
  <c r="K59" i="10" s="1"/>
  <c r="J62" i="10"/>
  <c r="K62" i="10" s="1"/>
  <c r="I67" i="10"/>
  <c r="K67" i="10" s="1"/>
  <c r="I61" i="10"/>
  <c r="K61" i="10" s="1"/>
  <c r="I65" i="10"/>
  <c r="K65" i="10" s="1"/>
  <c r="N17" i="12"/>
  <c r="O17" i="12"/>
  <c r="N13" i="12"/>
  <c r="O13" i="12"/>
  <c r="H26" i="12"/>
  <c r="J32" i="12"/>
  <c r="M30" i="12"/>
  <c r="I24" i="12"/>
  <c r="N23" i="12"/>
  <c r="O23" i="12"/>
  <c r="L30" i="12"/>
  <c r="O14" i="12"/>
  <c r="O22" i="12"/>
  <c r="J30" i="12"/>
  <c r="H33" i="12"/>
  <c r="H31" i="12"/>
  <c r="J24" i="12"/>
  <c r="J25" i="12"/>
  <c r="J26" i="12"/>
  <c r="M31" i="12"/>
  <c r="J68" i="10"/>
  <c r="I68" i="10"/>
  <c r="L26" i="12"/>
  <c r="K31" i="12"/>
  <c r="H30" i="12"/>
  <c r="I31" i="12"/>
  <c r="J31" i="12"/>
  <c r="L33" i="12"/>
  <c r="L31" i="12"/>
  <c r="N18" i="12"/>
  <c r="N21" i="12"/>
  <c r="O21" i="12"/>
  <c r="J60" i="10"/>
  <c r="I60" i="10"/>
  <c r="L32" i="12"/>
  <c r="H25" i="12"/>
  <c r="O25" i="12" s="1"/>
  <c r="M33" i="12"/>
  <c r="M32" i="12"/>
  <c r="N14" i="12"/>
  <c r="J41" i="12"/>
  <c r="L40" i="12"/>
  <c r="H40" i="12"/>
  <c r="J39" i="12"/>
  <c r="M41" i="12"/>
  <c r="I41" i="12"/>
  <c r="K40" i="12"/>
  <c r="M39" i="12"/>
  <c r="I39" i="12"/>
  <c r="I42" i="12" s="1"/>
  <c r="L41" i="12"/>
  <c r="H41" i="12"/>
  <c r="J40" i="12"/>
  <c r="L39" i="12"/>
  <c r="L42" i="12" s="1"/>
  <c r="H39" i="12"/>
  <c r="K39" i="12"/>
  <c r="K41" i="12"/>
  <c r="M40" i="12"/>
  <c r="I40" i="12"/>
  <c r="N19" i="12"/>
  <c r="O19" i="12"/>
  <c r="N15" i="12"/>
  <c r="O15" i="12"/>
  <c r="K33" i="12"/>
  <c r="J64" i="10"/>
  <c r="I64" i="10"/>
  <c r="I33" i="12"/>
  <c r="K30" i="12"/>
  <c r="J33" i="12"/>
  <c r="M24" i="12"/>
  <c r="G30" i="12"/>
  <c r="M25" i="12"/>
  <c r="H24" i="12"/>
  <c r="G31" i="12"/>
  <c r="H32" i="12"/>
  <c r="I32" i="12"/>
  <c r="I30" i="12"/>
  <c r="I34" i="12" s="1"/>
  <c r="X23" i="4"/>
  <c r="X22" i="4"/>
  <c r="Y22" i="4" s="1"/>
  <c r="Z22" i="4" s="1"/>
  <c r="AA22" i="4" s="1"/>
  <c r="X21" i="4"/>
  <c r="Y21" i="4" s="1"/>
  <c r="X20" i="4"/>
  <c r="X19" i="4"/>
  <c r="X18" i="4"/>
  <c r="Y18" i="4" s="1"/>
  <c r="X17" i="4"/>
  <c r="Y17" i="4" s="1"/>
  <c r="Z17" i="4" s="1"/>
  <c r="AA17" i="4" s="1"/>
  <c r="X16" i="4"/>
  <c r="X15" i="4"/>
  <c r="Y15" i="4" s="1"/>
  <c r="Z15" i="4" s="1"/>
  <c r="X14" i="4"/>
  <c r="X13" i="4"/>
  <c r="Y13" i="4" s="1"/>
  <c r="Z13" i="4" s="1"/>
  <c r="AA13" i="4" s="1"/>
  <c r="X12" i="4"/>
  <c r="X11" i="4"/>
  <c r="Y11" i="4" s="1"/>
  <c r="Z11" i="4" s="1"/>
  <c r="AA11" i="4" s="1"/>
  <c r="K64" i="10" l="1"/>
  <c r="K60" i="10"/>
  <c r="K68" i="10"/>
  <c r="N31" i="12"/>
  <c r="O31" i="12"/>
  <c r="O24" i="12"/>
  <c r="N24" i="12"/>
  <c r="M42" i="12"/>
  <c r="N33" i="12"/>
  <c r="O33" i="12"/>
  <c r="M34" i="12"/>
  <c r="K34" i="12"/>
  <c r="K42" i="12"/>
  <c r="J34" i="12"/>
  <c r="J42" i="12"/>
  <c r="L34" i="12"/>
  <c r="O32" i="12"/>
  <c r="N32" i="12"/>
  <c r="H42" i="12"/>
  <c r="H34" i="12"/>
  <c r="O30" i="12"/>
  <c r="N30" i="12"/>
  <c r="N34" i="12" s="1"/>
  <c r="O26" i="12"/>
  <c r="Y20" i="4"/>
  <c r="Z20" i="4" s="1"/>
  <c r="Z21" i="4"/>
  <c r="Y19" i="4"/>
  <c r="Z18" i="4"/>
  <c r="Y16" i="4"/>
  <c r="AB17" i="4"/>
  <c r="AB22" i="4"/>
  <c r="Y23" i="4"/>
  <c r="AA15" i="4"/>
  <c r="AB13" i="4"/>
  <c r="Y12" i="4"/>
  <c r="Y14" i="4"/>
  <c r="Z14" i="4" s="1"/>
  <c r="AA14" i="4" s="1"/>
  <c r="O34" i="12" l="1"/>
  <c r="AA21" i="4"/>
  <c r="AA20" i="4"/>
  <c r="AB15" i="4"/>
  <c r="Z23" i="4"/>
  <c r="AB21" i="4"/>
  <c r="Z19" i="4"/>
  <c r="AA18" i="4"/>
  <c r="Z16" i="4"/>
  <c r="Z12" i="4"/>
  <c r="AB14" i="4"/>
  <c r="AB11" i="4"/>
  <c r="AB20" i="4" l="1"/>
  <c r="AB18" i="4"/>
  <c r="AA23" i="4"/>
  <c r="AA19" i="4"/>
  <c r="AA16" i="4"/>
  <c r="AA12" i="4"/>
  <c r="AB23" i="4" l="1"/>
  <c r="AB19" i="4"/>
  <c r="AB16" i="4"/>
  <c r="AB12" i="4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<sst xmlns="http://schemas.openxmlformats.org/spreadsheetml/2006/main" count="1430" uniqueCount="520">
  <si>
    <t>Soal 1</t>
  </si>
  <si>
    <t>Omset Penjualan</t>
  </si>
  <si>
    <t>Produk</t>
  </si>
  <si>
    <t>Kode Produk</t>
  </si>
  <si>
    <t>Kategori 1</t>
  </si>
  <si>
    <t>Kategori 2</t>
  </si>
  <si>
    <t>Brand</t>
  </si>
  <si>
    <t>Principal</t>
  </si>
  <si>
    <t>Jan</t>
  </si>
  <si>
    <t>Feb</t>
  </si>
  <si>
    <t>Mar</t>
  </si>
  <si>
    <t>Apr</t>
  </si>
  <si>
    <t>May</t>
  </si>
  <si>
    <t>Jun</t>
  </si>
  <si>
    <t>Total</t>
  </si>
  <si>
    <t>Rata2</t>
  </si>
  <si>
    <t>Kopi Caffino Classic</t>
  </si>
  <si>
    <t>Croissant</t>
  </si>
  <si>
    <t>C-001</t>
  </si>
  <si>
    <t>Croissant 5 Days Chocolate</t>
  </si>
  <si>
    <t>5 Days</t>
  </si>
  <si>
    <t>B</t>
  </si>
  <si>
    <t>Kopi Tubruk Gadjah Manis</t>
  </si>
  <si>
    <t>C-002</t>
  </si>
  <si>
    <t>Croissant 5 Days Mix Berries</t>
  </si>
  <si>
    <t>Croissant 5 Days Peanut Butter</t>
  </si>
  <si>
    <t>C-003</t>
  </si>
  <si>
    <t>Susu MilkLife Pure</t>
  </si>
  <si>
    <t>Kopi</t>
  </si>
  <si>
    <t>Kopi Instant</t>
  </si>
  <si>
    <t>K-001</t>
  </si>
  <si>
    <t>Caffino</t>
  </si>
  <si>
    <t>A</t>
  </si>
  <si>
    <t>Kopi Caffino Mocca</t>
  </si>
  <si>
    <t>K-002</t>
  </si>
  <si>
    <t>Susu MilkLife Coklat</t>
  </si>
  <si>
    <t>K-003</t>
  </si>
  <si>
    <t>Kopi Caffino Choco Hazelnut</t>
  </si>
  <si>
    <t>Kopi Tubruk</t>
  </si>
  <si>
    <t>K-004</t>
  </si>
  <si>
    <t>Kopi Tubruk Gadjah</t>
  </si>
  <si>
    <t>Kopi Tubruk Gadjah Asli Renteng</t>
  </si>
  <si>
    <t>K-005</t>
  </si>
  <si>
    <t>Susu MilkLife Lactose Free</t>
  </si>
  <si>
    <t>K-006</t>
  </si>
  <si>
    <t>Kopi Tubruk Gadjah Asli Pouch</t>
  </si>
  <si>
    <t>Dairy</t>
  </si>
  <si>
    <t>Fresh Milk</t>
  </si>
  <si>
    <t>D-001</t>
  </si>
  <si>
    <t>MilkLife</t>
  </si>
  <si>
    <t>C</t>
  </si>
  <si>
    <t>D-002</t>
  </si>
  <si>
    <t>D-003</t>
  </si>
  <si>
    <t>Soal 2</t>
  </si>
  <si>
    <t>Tabel ini diisi "Total dari Soal No. 1"</t>
  </si>
  <si>
    <t>Soal 3</t>
  </si>
  <si>
    <t>Dari Soal 1, Berapa kali Omset yang Capai Target (sesuai bulan)</t>
  </si>
  <si>
    <t>Target</t>
  </si>
  <si>
    <t>Capai Target</t>
  </si>
  <si>
    <t>Tes Rumus ( INDEX, MACTH, SUMIF, COUNTIF, MAX, MIN, AVERAGE)</t>
  </si>
  <si>
    <t>TABEL BANTU</t>
  </si>
  <si>
    <t>Task : Isi Cell yang berwarna Pink, ambil dari Tabel sebelah kanan</t>
  </si>
  <si>
    <t>Omset Terbesar</t>
  </si>
  <si>
    <t>Omset Terkecil</t>
  </si>
  <si>
    <t xml:space="preserve">Tanggal Hari ini : </t>
  </si>
  <si>
    <t>No</t>
  </si>
  <si>
    <t>NIK</t>
  </si>
  <si>
    <t>Nama Karyawan</t>
  </si>
  <si>
    <t>Tanggal Lahir</t>
  </si>
  <si>
    <t>Usia (Tahun)</t>
  </si>
  <si>
    <t>Kode Jabatan</t>
  </si>
  <si>
    <t>Jabatan</t>
  </si>
  <si>
    <t>Kode Divisi</t>
  </si>
  <si>
    <t>Divisi</t>
  </si>
  <si>
    <t>Penempatan</t>
  </si>
  <si>
    <t>Status</t>
  </si>
  <si>
    <t>AS0001</t>
  </si>
  <si>
    <t>Jakarta</t>
  </si>
  <si>
    <t>Active</t>
  </si>
  <si>
    <t>Budi</t>
  </si>
  <si>
    <t>Surabaya</t>
  </si>
  <si>
    <t>Cepi</t>
  </si>
  <si>
    <t>Dina</t>
  </si>
  <si>
    <t>Elizabeth</t>
  </si>
  <si>
    <t>Digit pertama NIK adalah Kode Jabatan</t>
  </si>
  <si>
    <t>Digit Kedua NIK adalah Kode Divisi</t>
  </si>
  <si>
    <t>Ferdy</t>
  </si>
  <si>
    <t>Kode Disisi</t>
  </si>
  <si>
    <t>Lina</t>
  </si>
  <si>
    <t>D</t>
  </si>
  <si>
    <t>S</t>
  </si>
  <si>
    <t>Sales</t>
  </si>
  <si>
    <t>Manager</t>
  </si>
  <si>
    <t>F</t>
  </si>
  <si>
    <t>Finance</t>
  </si>
  <si>
    <t>Kristina</t>
  </si>
  <si>
    <t>L</t>
  </si>
  <si>
    <t>Logistik</t>
  </si>
  <si>
    <t>Eduard</t>
  </si>
  <si>
    <t>Supervisor</t>
  </si>
  <si>
    <t>H</t>
  </si>
  <si>
    <t>HRD</t>
  </si>
  <si>
    <t>Angela</t>
  </si>
  <si>
    <t>Staff</t>
  </si>
  <si>
    <t>AH0001</t>
  </si>
  <si>
    <t>Sinta</t>
  </si>
  <si>
    <t>Aris</t>
  </si>
  <si>
    <t>Asty</t>
  </si>
  <si>
    <t>DS0001</t>
  </si>
  <si>
    <t>Benny</t>
  </si>
  <si>
    <t>Andri</t>
  </si>
  <si>
    <t>Jiko</t>
  </si>
  <si>
    <t>Rida</t>
  </si>
  <si>
    <t>Sari</t>
  </si>
  <si>
    <t>Wanda</t>
  </si>
  <si>
    <t>Novi</t>
  </si>
  <si>
    <t>Nota</t>
  </si>
  <si>
    <t>AS0002</t>
  </si>
  <si>
    <t>David</t>
  </si>
  <si>
    <t>Joni</t>
  </si>
  <si>
    <t>Robi</t>
  </si>
  <si>
    <t>Susi</t>
  </si>
  <si>
    <t>Rani</t>
  </si>
  <si>
    <t>Tomi</t>
  </si>
  <si>
    <t>Jumlah All Karyawan per Divisi</t>
  </si>
  <si>
    <t>E</t>
  </si>
  <si>
    <t>Presiden Direktur</t>
  </si>
  <si>
    <t>Senior Manager</t>
  </si>
  <si>
    <t>Ast. Manager</t>
  </si>
  <si>
    <t>Data Center</t>
  </si>
  <si>
    <t>Non Active</t>
  </si>
  <si>
    <t>BS0001</t>
  </si>
  <si>
    <t>DH0001</t>
  </si>
  <si>
    <t>EL0001</t>
  </si>
  <si>
    <t>CS0001</t>
  </si>
  <si>
    <t>BS0002</t>
  </si>
  <si>
    <t>ES0001</t>
  </si>
  <si>
    <t>DH0002</t>
  </si>
  <si>
    <t>DH0003</t>
  </si>
  <si>
    <t>CL0001</t>
  </si>
  <si>
    <t>CF0001</t>
  </si>
  <si>
    <t>EL0002</t>
  </si>
  <si>
    <t>EB0001</t>
  </si>
  <si>
    <t>EF0001</t>
  </si>
  <si>
    <t>ES0002</t>
  </si>
  <si>
    <t>EL0003</t>
  </si>
  <si>
    <t>BS0003</t>
  </si>
  <si>
    <t>EB0002</t>
  </si>
  <si>
    <t>DS0002</t>
  </si>
  <si>
    <t>ES0003</t>
  </si>
  <si>
    <t>ES0004</t>
  </si>
  <si>
    <t>BS0004</t>
  </si>
  <si>
    <t>CS0002</t>
  </si>
  <si>
    <t>BS0005</t>
  </si>
  <si>
    <t>ES0005</t>
  </si>
  <si>
    <t>DS0003</t>
  </si>
  <si>
    <t>Hak Uang Makan</t>
  </si>
  <si>
    <t>Fasilitas</t>
  </si>
  <si>
    <t>Ada</t>
  </si>
  <si>
    <t>Tidak Ada</t>
  </si>
  <si>
    <t>Fasilitas Uang Makan</t>
  </si>
  <si>
    <r>
      <t xml:space="preserve">Jumlah Karyawan yang </t>
    </r>
    <r>
      <rPr>
        <b/>
        <u/>
        <sz val="12"/>
        <color rgb="FFFF0000"/>
        <rFont val="Calibri"/>
        <family val="2"/>
      </rPr>
      <t>Active</t>
    </r>
  </si>
  <si>
    <r>
      <t xml:space="preserve">Jumlah Karyawan yang </t>
    </r>
    <r>
      <rPr>
        <b/>
        <u/>
        <sz val="12"/>
        <color rgb="FFFF0000"/>
        <rFont val="Calibri"/>
        <family val="2"/>
      </rPr>
      <t>Non Active / Resign</t>
    </r>
  </si>
  <si>
    <t>Tes Rumus ( DATEDIF, LEFT, MID, VLOOKUP, HLOOKUP, COUNTIFS )</t>
  </si>
  <si>
    <t>Andi</t>
  </si>
  <si>
    <t>Richard</t>
  </si>
  <si>
    <t>Deny</t>
  </si>
  <si>
    <t>Hendra</t>
  </si>
  <si>
    <t>Baverage</t>
  </si>
  <si>
    <t>Pastry</t>
  </si>
  <si>
    <t>Snack</t>
  </si>
  <si>
    <t>Wilayah</t>
  </si>
  <si>
    <t>Target In Carton</t>
  </si>
  <si>
    <t>Katagori</t>
  </si>
  <si>
    <t>TARGET</t>
  </si>
  <si>
    <t>REALISASI</t>
  </si>
  <si>
    <t>Total Jabar</t>
  </si>
  <si>
    <t>SUMMARY ( Jika Capai Target = OK (WARNA HIJAU), Jika Tidak Capai Target = NO (WARNA MERAH) )</t>
  </si>
  <si>
    <t>Tes Rumus ( IF, IFERROR, HLOOKUP, SUM, COUNTIF )</t>
  </si>
  <si>
    <t>1. Mohon Dibuatkan Rumus untuk Tabel Bantu</t>
  </si>
  <si>
    <t>2. Isi Target Berdasarkan Tabel bantu yang sudah ada</t>
  </si>
  <si>
    <t>3. Buat Rumus Pencapaian Jika Capai "OK", Jika Tidak Capai "NO")</t>
  </si>
  <si>
    <t>4. Dibuatkan warna jika Capai, maka warna "Hijau", Jika Tidak Capai, Maka Warna "Merah"</t>
  </si>
  <si>
    <t>Soal Tes Ke - 3</t>
  </si>
  <si>
    <t>1. Isi Kode Produk, Katagori 1, Katagori 2, Brand, Principal dan Omset Per Bulan, Total omset dan Rata2</t>
  </si>
  <si>
    <t>2. Buat rumus total omset all, omset terbesar, dan omset terkecil perbulan</t>
  </si>
  <si>
    <t>4. Buat Rumus Berapa kali pencapaian target perprincipal per bulan</t>
  </si>
  <si>
    <t>1. Isi Tanggal hari ini</t>
  </si>
  <si>
    <t>2. Isi Kolom usia</t>
  </si>
  <si>
    <t>3. Isi Jabatan dan Divisi beserta kodenya Sesuai Tabel Bantu</t>
  </si>
  <si>
    <t>5. Isi Tabel Jumlah karyawan Active dan Non Active dibawah</t>
  </si>
  <si>
    <t>4. Isi Karyawan yang mendapatkan Fasilitas Uang Makan sesuai Tabel bantu</t>
  </si>
  <si>
    <t>Soal Tes Ke - 4</t>
  </si>
  <si>
    <t xml:space="preserve">Tes Grafik dan Pie  </t>
  </si>
  <si>
    <t>YOGYAKARTA</t>
  </si>
  <si>
    <t>SOLO</t>
  </si>
  <si>
    <t>MAGELANG</t>
  </si>
  <si>
    <t>KEBUMEN</t>
  </si>
  <si>
    <t>PATI</t>
  </si>
  <si>
    <t>BLORA</t>
  </si>
  <si>
    <t>SEMARANG</t>
  </si>
  <si>
    <t>SALATIGA</t>
  </si>
  <si>
    <t>TEGAL</t>
  </si>
  <si>
    <t>PEKALONGAN</t>
  </si>
  <si>
    <t>PURWOKERTO</t>
  </si>
  <si>
    <t>CILACAP</t>
  </si>
  <si>
    <t>WILAYAH</t>
  </si>
  <si>
    <t>TARGET (Krt)</t>
  </si>
  <si>
    <t>Pencapaian (Krt)</t>
  </si>
  <si>
    <t>Silahkan Dibuat Pie kontribusi Target</t>
  </si>
  <si>
    <t>Silahkan Dibuat Pie kontribusi Pencapaian</t>
  </si>
  <si>
    <t>Silahkan dibuatkan Grafil Target Vs Pencapaian</t>
  </si>
  <si>
    <t>No.</t>
  </si>
  <si>
    <t>Customer</t>
  </si>
  <si>
    <t>Kode</t>
  </si>
  <si>
    <t>Tipe</t>
  </si>
  <si>
    <t>DP</t>
  </si>
  <si>
    <t>Angsuran</t>
  </si>
  <si>
    <t>KODE</t>
  </si>
  <si>
    <t>ANGSURAN</t>
  </si>
  <si>
    <t>Nama Lengkap</t>
  </si>
  <si>
    <t>Nilai</t>
  </si>
  <si>
    <t>Keterangan</t>
  </si>
  <si>
    <t>Etika</t>
  </si>
  <si>
    <t>Nana</t>
  </si>
  <si>
    <t>TABEL BANTU INFORMASI</t>
  </si>
  <si>
    <t>Huruf</t>
  </si>
  <si>
    <t>&lt; 50</t>
  </si>
  <si>
    <t>&lt; 80</t>
  </si>
  <si>
    <t>&lt; 60</t>
  </si>
  <si>
    <t>&lt; 90</t>
  </si>
  <si>
    <t>&gt; 90</t>
  </si>
  <si>
    <t>Sangat Kurang</t>
  </si>
  <si>
    <t>Kurang</t>
  </si>
  <si>
    <t>Cukup</t>
  </si>
  <si>
    <t>Memuaskan</t>
  </si>
  <si>
    <t>Sangat Memuaskan</t>
  </si>
  <si>
    <t>Tes Rumus ( IF, LEFT, VLOOKUP, MID, AVERAGE )</t>
  </si>
  <si>
    <t>Soal Tes Ke - 5</t>
  </si>
  <si>
    <t>Total Capai Target (Katagori)</t>
  </si>
  <si>
    <t>Chek</t>
  </si>
  <si>
    <t>NO</t>
  </si>
  <si>
    <t>3. Buat Total omset perprincipal per Bulan</t>
  </si>
  <si>
    <t>&gt;=95</t>
  </si>
  <si>
    <t>&gt;=100</t>
  </si>
  <si>
    <t>&gt;=50</t>
  </si>
  <si>
    <t>JAKARTA BARAT</t>
  </si>
  <si>
    <t>JAKARTA TIMUR</t>
  </si>
  <si>
    <t>JAKARTA SELATAN</t>
  </si>
  <si>
    <t>DEPOK</t>
  </si>
  <si>
    <t>BOGOR</t>
  </si>
  <si>
    <t>BEKASI</t>
  </si>
  <si>
    <t>CIKARANG</t>
  </si>
  <si>
    <t>KARAWANG</t>
  </si>
  <si>
    <t>TANGERANG</t>
  </si>
  <si>
    <t>SERANG</t>
  </si>
  <si>
    <t>RANGKAS BITUNG</t>
  </si>
  <si>
    <t>SUKABUMI</t>
  </si>
  <si>
    <t>PELABUHAN RATU</t>
  </si>
  <si>
    <t>No. Induk</t>
  </si>
  <si>
    <t>Pengenalan Komputer</t>
  </si>
  <si>
    <t>Bahasa Pemrograman</t>
  </si>
  <si>
    <t>Program Aplikasi</t>
  </si>
  <si>
    <t>Risdianto</t>
  </si>
  <si>
    <t>Emi Marliatun</t>
  </si>
  <si>
    <t xml:space="preserve">Effi </t>
  </si>
  <si>
    <t>Ani Sophia</t>
  </si>
  <si>
    <t>Heni Purwati</t>
  </si>
  <si>
    <t>Irfan</t>
  </si>
  <si>
    <t>Iyop</t>
  </si>
  <si>
    <t>Ade</t>
  </si>
  <si>
    <t>1. Silahkan isi di tabel kedua (Rata2, Huruf dan Keterangan)</t>
  </si>
  <si>
    <t>LAPORAN PENGHASILAN SEWA PLAY STATION</t>
  </si>
  <si>
    <t>Penyewa</t>
  </si>
  <si>
    <t>Alamat</t>
  </si>
  <si>
    <t>Kota</t>
  </si>
  <si>
    <t>Tipe PS</t>
  </si>
  <si>
    <t>Tgl Sewa</t>
  </si>
  <si>
    <t>Tgl Kembali</t>
  </si>
  <si>
    <t>Lama Sewa</t>
  </si>
  <si>
    <t>Tarip Per Hari</t>
  </si>
  <si>
    <t>Jml Biaya</t>
  </si>
  <si>
    <t>Tot Biaya</t>
  </si>
  <si>
    <t>001</t>
  </si>
  <si>
    <t>Smile</t>
  </si>
  <si>
    <t>Jl. Otista 12</t>
  </si>
  <si>
    <t>Jakarta Timur</t>
  </si>
  <si>
    <t>002</t>
  </si>
  <si>
    <t>Cindy</t>
  </si>
  <si>
    <t>Jl. Jatinegara 1</t>
  </si>
  <si>
    <t>003</t>
  </si>
  <si>
    <t>Pasha</t>
  </si>
  <si>
    <t>Jl. Prapatan 34</t>
  </si>
  <si>
    <t>Jakarta Pusat</t>
  </si>
  <si>
    <t>004</t>
  </si>
  <si>
    <t>Jl. Merdeka 2</t>
  </si>
  <si>
    <t>Jakarta Barat</t>
  </si>
  <si>
    <t>005</t>
  </si>
  <si>
    <t>Very</t>
  </si>
  <si>
    <t>Jl. Sabang 12</t>
  </si>
  <si>
    <t>006</t>
  </si>
  <si>
    <t>Haikal</t>
  </si>
  <si>
    <t>Jl. Kebon Sirih 3</t>
  </si>
  <si>
    <t>007</t>
  </si>
  <si>
    <t>Jovita</t>
  </si>
  <si>
    <t>Jl. Karawang 2</t>
  </si>
  <si>
    <t>008</t>
  </si>
  <si>
    <t>Dicky</t>
  </si>
  <si>
    <t>Jl. Beringin 43</t>
  </si>
  <si>
    <t>009</t>
  </si>
  <si>
    <t>Rini</t>
  </si>
  <si>
    <t>Jl. Surabaya 54</t>
  </si>
  <si>
    <t>2. Silahkan isi di tabel kedua (Lama Sewa, Tarif Per Hari,Jumlah Biaya, Denda, Total Biaya)</t>
  </si>
  <si>
    <t>Harga/Hari</t>
  </si>
  <si>
    <t>Discount</t>
  </si>
  <si>
    <t xml:space="preserve">* Terdapat Potongan Harga 15 % Jika Sewa Lebih dari 15 Hari </t>
  </si>
  <si>
    <t>MENGHITUNG ANGSURAN PINJAMAN SEPEDA MOTOR</t>
  </si>
  <si>
    <t>Merek</t>
  </si>
  <si>
    <t xml:space="preserve">Endiartono </t>
  </si>
  <si>
    <t>YJU23</t>
  </si>
  <si>
    <t>Hendrawan Ali</t>
  </si>
  <si>
    <t>YNO35</t>
  </si>
  <si>
    <t>Randy Suwandi</t>
  </si>
  <si>
    <t>HKR29</t>
  </si>
  <si>
    <t>Adhitya Samudra</t>
  </si>
  <si>
    <t>HSX35</t>
  </si>
  <si>
    <t>Agung Mulyono</t>
  </si>
  <si>
    <t>YRK35</t>
  </si>
  <si>
    <t>Andy Setiawan</t>
  </si>
  <si>
    <t>YVR23</t>
  </si>
  <si>
    <t>Sarah Noordeviana</t>
  </si>
  <si>
    <t>HSF29</t>
  </si>
  <si>
    <t>Ayu Anandhika</t>
  </si>
  <si>
    <t>HTG35</t>
  </si>
  <si>
    <t>Ernawati</t>
  </si>
  <si>
    <t>HTG23</t>
  </si>
  <si>
    <t>Rudolf Sakilangit</t>
  </si>
  <si>
    <t>YMI29</t>
  </si>
  <si>
    <t>Herry Endarto</t>
  </si>
  <si>
    <t>HKR23</t>
  </si>
  <si>
    <t>Rianto Suherman</t>
  </si>
  <si>
    <t>YJU35</t>
  </si>
  <si>
    <t>Debby Andalusia</t>
  </si>
  <si>
    <t>HSX23</t>
  </si>
  <si>
    <t>Honda</t>
  </si>
  <si>
    <t>Y</t>
  </si>
  <si>
    <t>Yamaha</t>
  </si>
  <si>
    <t>TIPE</t>
  </si>
  <si>
    <t>JU</t>
  </si>
  <si>
    <t>Jupiter</t>
  </si>
  <si>
    <t>MI</t>
  </si>
  <si>
    <t>Mio</t>
  </si>
  <si>
    <t>Nouvo</t>
  </si>
  <si>
    <t>RK</t>
  </si>
  <si>
    <t>RX King</t>
  </si>
  <si>
    <t>VR</t>
  </si>
  <si>
    <t>Vega R</t>
  </si>
  <si>
    <t>KR</t>
  </si>
  <si>
    <t>Kharisma</t>
  </si>
  <si>
    <t>SF</t>
  </si>
  <si>
    <t>Supra Fit</t>
  </si>
  <si>
    <t>SX</t>
  </si>
  <si>
    <t>Supra X</t>
  </si>
  <si>
    <t>TG</t>
  </si>
  <si>
    <t>Tiger</t>
  </si>
  <si>
    <t>3. Silahkan isi di tabel kedua (Merk, Type, DP, Angsuran)</t>
  </si>
  <si>
    <t>MEMBUAT REKAP PESANGON KARYAWAN</t>
  </si>
  <si>
    <t>Nama</t>
  </si>
  <si>
    <t>Nip</t>
  </si>
  <si>
    <t>Tgl. Masuk Kerja</t>
  </si>
  <si>
    <t>Gol</t>
  </si>
  <si>
    <t>Lama Kerja</t>
  </si>
  <si>
    <t>Gaji Pokok</t>
  </si>
  <si>
    <t>Pesangon</t>
  </si>
  <si>
    <t>Uang Jasa</t>
  </si>
  <si>
    <t>Pesangon + Uang Jasa</t>
  </si>
  <si>
    <t>GOL</t>
  </si>
  <si>
    <t>GAJI POKOK</t>
  </si>
  <si>
    <t>Pesangon berdasarkan masa kerja</t>
  </si>
  <si>
    <t>Uang Jasa (masa kerja &gt;=15 tahun)</t>
  </si>
  <si>
    <t>Tabel Bantu</t>
  </si>
  <si>
    <t>Soal Tes Ke - 2</t>
  </si>
  <si>
    <t>Soal Tes Ke 1</t>
  </si>
  <si>
    <t>LAPORAN PENJUALAN MEUBEL</t>
  </si>
  <si>
    <t>MEREK</t>
  </si>
  <si>
    <t>JNS BARANG</t>
  </si>
  <si>
    <t>HARGA</t>
  </si>
  <si>
    <t>JML. BARANG</t>
  </si>
  <si>
    <t>JML. HARGA</t>
  </si>
  <si>
    <t>DISKON</t>
  </si>
  <si>
    <t>HRG. DIBAYAR</t>
  </si>
  <si>
    <t>Daniel</t>
  </si>
  <si>
    <t>LAL350-A</t>
  </si>
  <si>
    <t>GRB250-B</t>
  </si>
  <si>
    <t>Herry Kiswanto</t>
  </si>
  <si>
    <t>OMB475-A</t>
  </si>
  <si>
    <t>Iswadi</t>
  </si>
  <si>
    <t>LMK760-C</t>
  </si>
  <si>
    <t>Michael</t>
  </si>
  <si>
    <t>Pavel Nedved</t>
  </si>
  <si>
    <t>LMB475-C</t>
  </si>
  <si>
    <t>Roberto</t>
  </si>
  <si>
    <t>LMB475-A</t>
  </si>
  <si>
    <t>Romario</t>
  </si>
  <si>
    <t>OMK760-D</t>
  </si>
  <si>
    <t>Ronald</t>
  </si>
  <si>
    <t>LRB250-B</t>
  </si>
  <si>
    <t>Ronney</t>
  </si>
  <si>
    <t>ORB250-B</t>
  </si>
  <si>
    <t>Ruddy</t>
  </si>
  <si>
    <t>Zinedine</t>
  </si>
  <si>
    <t>GMB475-A</t>
  </si>
  <si>
    <t>KODE (dijit ke-2 &amp; 3)</t>
  </si>
  <si>
    <t>JENIS BARANG</t>
  </si>
  <si>
    <t>AL</t>
  </si>
  <si>
    <t>ALMARI</t>
  </si>
  <si>
    <t>MB</t>
  </si>
  <si>
    <t>MEJA BELAJAR</t>
  </si>
  <si>
    <t>MK</t>
  </si>
  <si>
    <t>MEJA KERJA</t>
  </si>
  <si>
    <t>RB</t>
  </si>
  <si>
    <t>RAK BUKU</t>
  </si>
  <si>
    <t>KODE (dijit terakhir)</t>
  </si>
  <si>
    <t xml:space="preserve">Note : </t>
  </si>
  <si>
    <t>1. Harga Diambil dari Kode X 1000</t>
  </si>
  <si>
    <t>Ligna</t>
  </si>
  <si>
    <t>Garuda</t>
  </si>
  <si>
    <t>Olympic</t>
  </si>
  <si>
    <t>MERK</t>
  </si>
  <si>
    <t>G</t>
  </si>
  <si>
    <t>O</t>
  </si>
  <si>
    <t>LAPORAN PENJUALAN TIKET BUS</t>
  </si>
  <si>
    <t>Nama Bus</t>
  </si>
  <si>
    <t>Jurusan</t>
  </si>
  <si>
    <t>Kelas</t>
  </si>
  <si>
    <t>Tarip Dasar</t>
  </si>
  <si>
    <t>Tarip Tambahan</t>
  </si>
  <si>
    <t>Harga Tiket</t>
  </si>
  <si>
    <t>Jam Pemberangkatan</t>
  </si>
  <si>
    <t>Ade Nuraeli</t>
  </si>
  <si>
    <t>LO-SE01</t>
  </si>
  <si>
    <t>Nurzaman</t>
  </si>
  <si>
    <t>LO-SE03</t>
  </si>
  <si>
    <t>Maurizka</t>
  </si>
  <si>
    <t>SN-BS02</t>
  </si>
  <si>
    <t>Maulita</t>
  </si>
  <si>
    <t>LU-EK02</t>
  </si>
  <si>
    <t>Sesha</t>
  </si>
  <si>
    <t>SH-SE01</t>
  </si>
  <si>
    <t>Iyop Ropika</t>
  </si>
  <si>
    <t>SJ-EX03</t>
  </si>
  <si>
    <t>Yully</t>
  </si>
  <si>
    <t>Agus</t>
  </si>
  <si>
    <t>Annabel</t>
  </si>
  <si>
    <t>Arief</t>
  </si>
  <si>
    <t>SN-EX02</t>
  </si>
  <si>
    <t>Fajar</t>
  </si>
  <si>
    <t>LU-EK01</t>
  </si>
  <si>
    <t>Nugroho</t>
  </si>
  <si>
    <t>SH-SE03</t>
  </si>
  <si>
    <t>LO</t>
  </si>
  <si>
    <t>Lorena</t>
  </si>
  <si>
    <t>Jakarta-Denpasar</t>
  </si>
  <si>
    <t>LU</t>
  </si>
  <si>
    <t>Luragung Jaya</t>
  </si>
  <si>
    <t>Jakarta-Cirebon</t>
  </si>
  <si>
    <t>SH</t>
  </si>
  <si>
    <t>Sahabat</t>
  </si>
  <si>
    <t>Jakarta-Kuningan</t>
  </si>
  <si>
    <t>SJ</t>
  </si>
  <si>
    <t>Sami Jaya</t>
  </si>
  <si>
    <t>Jakarta-Surabaya</t>
  </si>
  <si>
    <t>SN</t>
  </si>
  <si>
    <t>Setia Negara</t>
  </si>
  <si>
    <t>Jakarta-Semarang</t>
  </si>
  <si>
    <t>Kode2</t>
  </si>
  <si>
    <t>BS</t>
  </si>
  <si>
    <t>Bisnis</t>
  </si>
  <si>
    <t>EK</t>
  </si>
  <si>
    <t>Ekonomi</t>
  </si>
  <si>
    <t>EX</t>
  </si>
  <si>
    <t>Eksekutif</t>
  </si>
  <si>
    <t>SE</t>
  </si>
  <si>
    <t>Super Eksekutif</t>
  </si>
  <si>
    <t>01</t>
  </si>
  <si>
    <t>02</t>
  </si>
  <si>
    <t>03</t>
  </si>
  <si>
    <t>Jam Berangkat</t>
  </si>
  <si>
    <t>Tgl. Mendaftar</t>
  </si>
  <si>
    <t>Biaya</t>
  </si>
  <si>
    <t>Diskon</t>
  </si>
  <si>
    <t>Jumlah Biaya</t>
  </si>
  <si>
    <t>Hilman</t>
  </si>
  <si>
    <t>Anton</t>
  </si>
  <si>
    <t>George</t>
  </si>
  <si>
    <t>Joshua</t>
  </si>
  <si>
    <t>Fakhruddin</t>
  </si>
  <si>
    <t>Agung</t>
  </si>
  <si>
    <t>Antono</t>
  </si>
  <si>
    <t>Rafles</t>
  </si>
  <si>
    <t>Erwin</t>
  </si>
  <si>
    <t>Diah</t>
  </si>
  <si>
    <t>LAPORAN PENGHASILAN KURSUS KOMPUTER</t>
  </si>
  <si>
    <t>Yunior Programmer</t>
  </si>
  <si>
    <t>Programmer</t>
  </si>
  <si>
    <t>Ms. Office</t>
  </si>
  <si>
    <t>Note : Jika Pendaftaran 01 Sept 2021 s/d 15 Sep 2021 Mendapatkan Discount 50%</t>
  </si>
  <si>
    <t>A001</t>
  </si>
  <si>
    <t>C002</t>
  </si>
  <si>
    <t>C003</t>
  </si>
  <si>
    <t>B004</t>
  </si>
  <si>
    <t>C005</t>
  </si>
  <si>
    <t>B006</t>
  </si>
  <si>
    <t>C007</t>
  </si>
  <si>
    <t>C008</t>
  </si>
  <si>
    <t>B009</t>
  </si>
  <si>
    <t>B010</t>
  </si>
  <si>
    <t>A011</t>
  </si>
  <si>
    <t>A012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</si>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</sst>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/mmm/yyyy;@"/>
    <numFmt numFmtId="167" formatCode="[$-409]dd\-mmm\-yy;@"/>
    <numFmt numFmtId="168" formatCode="0\ &quot;bulan.&quot;"/>
    <numFmt numFmtId="169" formatCode="General\ &quot;hari &quot;"/>
    <numFmt numFmtId="170" formatCode="_([$Rp-421]* #,##0_);_([$Rp-421]* \(#,##0\);_([$Rp-421]* &quot;-&quot;??_);_(@_)"/>
    <numFmt numFmtId="171" formatCode="0&quot; tahun&quot;"/>
    <numFmt numFmtId="172" formatCode="&quot;&gt;= &quot;0&quot; tahun&quot;"/>
    <numFmt numFmtId="173" formatCode="&quot;&lt; &quot;0&quot; tahun&quot;"/>
    <numFmt numFmtId="174" formatCode="0&quot; x&quot;"/>
    <numFmt numFmtId="175" formatCode="[$-13809]h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rgb="FFFF000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b/>
      <i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9"/>
      </right>
      <top style="thin">
        <color indexed="8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 style="medium">
        <color indexed="64"/>
      </right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/>
      <right/>
      <top/>
      <bottom style="thin">
        <color rgb="FF00B050"/>
      </bottom>
      <diagonal/>
    </border>
    <border>
      <left/>
      <right/>
      <top/>
      <bottom style="thin">
        <color rgb="FF39E73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/>
    </xf>
    <xf numFmtId="165" fontId="0" fillId="4" borderId="1" xfId="1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1" applyNumberFormat="1" applyFont="1" applyFill="1" applyBorder="1"/>
    <xf numFmtId="164" fontId="0" fillId="5" borderId="1" xfId="1" applyNumberFormat="1" applyFont="1" applyFill="1" applyBorder="1"/>
    <xf numFmtId="165" fontId="2" fillId="5" borderId="1" xfId="1" applyNumberFormat="1" applyFont="1" applyFill="1" applyBorder="1"/>
    <xf numFmtId="165" fontId="4" fillId="5" borderId="1" xfId="1" applyNumberFormat="1" applyFont="1" applyFill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2" borderId="7" xfId="0" applyFont="1" applyFill="1" applyBorder="1"/>
    <xf numFmtId="0" fontId="2" fillId="4" borderId="0" xfId="0" applyFont="1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5" borderId="1" xfId="0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7" borderId="15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165" fontId="0" fillId="5" borderId="1" xfId="3" applyNumberFormat="1" applyFont="1" applyFill="1" applyBorder="1" applyAlignment="1">
      <alignment vertical="center"/>
    </xf>
    <xf numFmtId="165" fontId="2" fillId="5" borderId="1" xfId="3" applyNumberFormat="1" applyFont="1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41" fontId="0" fillId="0" borderId="1" xfId="2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8" borderId="7" xfId="0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0" fillId="7" borderId="0" xfId="0" applyFill="1"/>
    <xf numFmtId="0" fontId="0" fillId="7" borderId="13" xfId="0" applyFill="1" applyBorder="1"/>
    <xf numFmtId="0" fontId="0" fillId="7" borderId="15" xfId="0" applyFill="1" applyBorder="1"/>
    <xf numFmtId="0" fontId="0" fillId="7" borderId="16" xfId="0" applyFill="1" applyBorder="1"/>
    <xf numFmtId="0" fontId="5" fillId="7" borderId="9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5" fillId="7" borderId="12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13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3" fillId="7" borderId="15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166" fontId="2" fillId="5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11" fillId="9" borderId="28" xfId="0" applyFont="1" applyFill="1" applyBorder="1"/>
    <xf numFmtId="165" fontId="11" fillId="9" borderId="28" xfId="1" applyNumberFormat="1" applyFont="1" applyFill="1" applyBorder="1"/>
    <xf numFmtId="0" fontId="11" fillId="9" borderId="32" xfId="0" applyFont="1" applyFill="1" applyBorder="1"/>
    <xf numFmtId="165" fontId="11" fillId="9" borderId="33" xfId="1" applyNumberFormat="1" applyFont="1" applyFill="1" applyBorder="1"/>
    <xf numFmtId="0" fontId="11" fillId="9" borderId="34" xfId="0" applyFont="1" applyFill="1" applyBorder="1"/>
    <xf numFmtId="0" fontId="11" fillId="9" borderId="39" xfId="0" applyFont="1" applyFill="1" applyBorder="1"/>
    <xf numFmtId="165" fontId="11" fillId="9" borderId="39" xfId="1" applyNumberFormat="1" applyFont="1" applyFill="1" applyBorder="1"/>
    <xf numFmtId="165" fontId="11" fillId="9" borderId="35" xfId="1" applyNumberFormat="1" applyFont="1" applyFill="1" applyBorder="1"/>
    <xf numFmtId="0" fontId="0" fillId="0" borderId="19" xfId="0" applyBorder="1" applyAlignment="1">
      <alignment horizontal="left" vertical="center" indent="1"/>
    </xf>
    <xf numFmtId="0" fontId="0" fillId="0" borderId="23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horizontal="left" vertical="center" indent="1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/>
    </xf>
    <xf numFmtId="0" fontId="9" fillId="10" borderId="6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left"/>
    </xf>
    <xf numFmtId="0" fontId="9" fillId="10" borderId="6" xfId="0" applyFont="1" applyFill="1" applyBorder="1"/>
    <xf numFmtId="0" fontId="9" fillId="10" borderId="1" xfId="0" applyFont="1" applyFill="1" applyBorder="1"/>
    <xf numFmtId="0" fontId="9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165" fontId="0" fillId="3" borderId="1" xfId="0" applyNumberFormat="1" applyFill="1" applyBorder="1"/>
    <xf numFmtId="0" fontId="13" fillId="0" borderId="0" xfId="0" applyFont="1" applyAlignment="1">
      <alignment horizontal="center" vertical="center"/>
    </xf>
    <xf numFmtId="0" fontId="8" fillId="0" borderId="0" xfId="0" applyFont="1"/>
    <xf numFmtId="0" fontId="0" fillId="0" borderId="42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10" fillId="13" borderId="20" xfId="0" applyFont="1" applyFill="1" applyBorder="1" applyAlignment="1">
      <alignment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22" xfId="0" applyFont="1" applyFill="1" applyBorder="1" applyAlignment="1">
      <alignment horizontal="center" vertical="center" wrapText="1"/>
    </xf>
    <xf numFmtId="0" fontId="10" fillId="4" borderId="40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center"/>
    </xf>
    <xf numFmtId="15" fontId="0" fillId="0" borderId="19" xfId="0" applyNumberFormat="1" applyBorder="1" applyAlignment="1">
      <alignment horizontal="center"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3" xfId="0" quotePrefix="1" applyNumberFormat="1" applyBorder="1" applyAlignment="1">
      <alignment horizontal="center" vertical="center"/>
    </xf>
    <xf numFmtId="49" fontId="0" fillId="0" borderId="25" xfId="0" quotePrefix="1" applyNumberFormat="1" applyBorder="1" applyAlignment="1">
      <alignment horizontal="center" vertical="center"/>
    </xf>
    <xf numFmtId="15" fontId="0" fillId="0" borderId="26" xfId="0" applyNumberFormat="1" applyBorder="1" applyAlignment="1">
      <alignment horizontal="center" vertical="center"/>
    </xf>
    <xf numFmtId="169" fontId="12" fillId="12" borderId="19" xfId="0" applyNumberFormat="1" applyFont="1" applyFill="1" applyBorder="1" applyAlignment="1">
      <alignment vertical="center"/>
    </xf>
    <xf numFmtId="170" fontId="12" fillId="12" borderId="19" xfId="1" applyNumberFormat="1" applyFont="1" applyFill="1" applyBorder="1" applyAlignment="1">
      <alignment vertical="center"/>
    </xf>
    <xf numFmtId="170" fontId="12" fillId="12" borderId="19" xfId="0" applyNumberFormat="1" applyFont="1" applyFill="1" applyBorder="1" applyAlignment="1">
      <alignment vertical="center"/>
    </xf>
    <xf numFmtId="170" fontId="12" fillId="12" borderId="24" xfId="0" applyNumberFormat="1" applyFont="1" applyFill="1" applyBorder="1" applyAlignment="1">
      <alignment vertical="center"/>
    </xf>
    <xf numFmtId="43" fontId="0" fillId="12" borderId="19" xfId="1" applyFont="1" applyFill="1" applyBorder="1" applyAlignment="1">
      <alignment vertical="center"/>
    </xf>
    <xf numFmtId="0" fontId="0" fillId="12" borderId="19" xfId="0" applyFill="1" applyBorder="1" applyAlignment="1">
      <alignment horizontal="center" vertical="center"/>
    </xf>
    <xf numFmtId="0" fontId="0" fillId="12" borderId="24" xfId="0" applyFill="1" applyBorder="1" applyAlignment="1">
      <alignment vertical="center"/>
    </xf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41" fontId="0" fillId="0" borderId="42" xfId="2" applyFont="1" applyBorder="1" applyAlignment="1">
      <alignment horizontal="center"/>
    </xf>
    <xf numFmtId="41" fontId="0" fillId="0" borderId="44" xfId="2" applyFont="1" applyBorder="1" applyAlignment="1">
      <alignment horizontal="center"/>
    </xf>
    <xf numFmtId="49" fontId="15" fillId="0" borderId="0" xfId="0" applyNumberFormat="1" applyFont="1" applyAlignment="1">
      <alignment horizontal="left" vertical="center"/>
    </xf>
    <xf numFmtId="0" fontId="10" fillId="13" borderId="20" xfId="0" applyFont="1" applyFill="1" applyBorder="1" applyAlignment="1">
      <alignment vertical="center"/>
    </xf>
    <xf numFmtId="0" fontId="10" fillId="13" borderId="21" xfId="0" applyFont="1" applyFill="1" applyBorder="1" applyAlignment="1">
      <alignment vertical="center"/>
    </xf>
    <xf numFmtId="0" fontId="10" fillId="13" borderId="22" xfId="0" applyFont="1" applyFill="1" applyBorder="1" applyAlignment="1">
      <alignment vertical="center"/>
    </xf>
    <xf numFmtId="0" fontId="10" fillId="13" borderId="30" xfId="0" applyFont="1" applyFill="1" applyBorder="1"/>
    <xf numFmtId="0" fontId="10" fillId="13" borderId="36" xfId="0" applyFont="1" applyFill="1" applyBorder="1"/>
    <xf numFmtId="0" fontId="10" fillId="13" borderId="36" xfId="0" applyFont="1" applyFill="1" applyBorder="1" applyAlignment="1">
      <alignment horizontal="center"/>
    </xf>
    <xf numFmtId="168" fontId="10" fillId="13" borderId="31" xfId="0" applyNumberFormat="1" applyFont="1" applyFill="1" applyBorder="1" applyAlignment="1">
      <alignment horizontal="center"/>
    </xf>
    <xf numFmtId="0" fontId="12" fillId="14" borderId="32" xfId="0" applyFont="1" applyFill="1" applyBorder="1"/>
    <xf numFmtId="0" fontId="12" fillId="14" borderId="28" xfId="0" applyFont="1" applyFill="1" applyBorder="1"/>
    <xf numFmtId="165" fontId="12" fillId="14" borderId="28" xfId="1" applyNumberFormat="1" applyFont="1" applyFill="1" applyBorder="1"/>
    <xf numFmtId="165" fontId="12" fillId="14" borderId="33" xfId="1" applyNumberFormat="1" applyFont="1" applyFill="1" applyBorder="1"/>
    <xf numFmtId="0" fontId="12" fillId="14" borderId="37" xfId="0" applyFont="1" applyFill="1" applyBorder="1"/>
    <xf numFmtId="0" fontId="12" fillId="14" borderId="29" xfId="0" applyFont="1" applyFill="1" applyBorder="1"/>
    <xf numFmtId="165" fontId="12" fillId="14" borderId="29" xfId="1" applyNumberFormat="1" applyFont="1" applyFill="1" applyBorder="1"/>
    <xf numFmtId="165" fontId="12" fillId="14" borderId="38" xfId="1" applyNumberFormat="1" applyFont="1" applyFill="1" applyBorder="1"/>
    <xf numFmtId="0" fontId="11" fillId="14" borderId="32" xfId="0" applyFont="1" applyFill="1" applyBorder="1"/>
    <xf numFmtId="0" fontId="11" fillId="14" borderId="28" xfId="0" applyFont="1" applyFill="1" applyBorder="1"/>
    <xf numFmtId="165" fontId="11" fillId="14" borderId="28" xfId="1" applyNumberFormat="1" applyFont="1" applyFill="1" applyBorder="1"/>
    <xf numFmtId="165" fontId="11" fillId="14" borderId="33" xfId="1" applyNumberFormat="1" applyFont="1" applyFill="1" applyBorder="1"/>
    <xf numFmtId="0" fontId="0" fillId="12" borderId="19" xfId="0" applyFill="1" applyBorder="1" applyAlignment="1">
      <alignment vertical="center"/>
    </xf>
    <xf numFmtId="0" fontId="0" fillId="12" borderId="19" xfId="0" quotePrefix="1" applyFill="1" applyBorder="1" applyAlignment="1">
      <alignment vertical="center"/>
    </xf>
    <xf numFmtId="165" fontId="0" fillId="12" borderId="19" xfId="1" quotePrefix="1" applyNumberFormat="1" applyFont="1" applyFill="1" applyBorder="1" applyAlignment="1">
      <alignment vertical="center"/>
    </xf>
    <xf numFmtId="165" fontId="0" fillId="12" borderId="24" xfId="1" quotePrefix="1" applyNumberFormat="1" applyFont="1" applyFill="1" applyBorder="1" applyAlignment="1">
      <alignment vertical="center"/>
    </xf>
    <xf numFmtId="0" fontId="0" fillId="12" borderId="12" xfId="0" applyFill="1" applyBorder="1"/>
    <xf numFmtId="0" fontId="0" fillId="12" borderId="0" xfId="0" applyFill="1"/>
    <xf numFmtId="0" fontId="0" fillId="12" borderId="13" xfId="0" applyFill="1" applyBorder="1"/>
    <xf numFmtId="172" fontId="10" fillId="13" borderId="47" xfId="0" applyNumberFormat="1" applyFont="1" applyFill="1" applyBorder="1" applyAlignment="1">
      <alignment horizontal="center" vertical="center"/>
    </xf>
    <xf numFmtId="173" fontId="10" fillId="13" borderId="47" xfId="0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/>
    </xf>
    <xf numFmtId="174" fontId="12" fillId="0" borderId="19" xfId="1" applyNumberFormat="1" applyFont="1" applyFill="1" applyBorder="1" applyAlignment="1">
      <alignment horizontal="center"/>
    </xf>
    <xf numFmtId="0" fontId="12" fillId="0" borderId="23" xfId="0" applyFont="1" applyBorder="1" applyAlignment="1">
      <alignment horizontal="center"/>
    </xf>
    <xf numFmtId="174" fontId="12" fillId="0" borderId="24" xfId="1" applyNumberFormat="1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165" fontId="12" fillId="0" borderId="26" xfId="1" applyNumberFormat="1" applyFont="1" applyFill="1" applyBorder="1" applyAlignment="1">
      <alignment horizontal="center"/>
    </xf>
    <xf numFmtId="174" fontId="12" fillId="0" borderId="26" xfId="1" applyNumberFormat="1" applyFont="1" applyFill="1" applyBorder="1" applyAlignment="1">
      <alignment horizontal="center"/>
    </xf>
    <xf numFmtId="174" fontId="12" fillId="0" borderId="27" xfId="1" applyNumberFormat="1" applyFont="1" applyFill="1" applyBorder="1" applyAlignment="1">
      <alignment horizontal="center"/>
    </xf>
    <xf numFmtId="171" fontId="0" fillId="12" borderId="19" xfId="0" applyNumberFormat="1" applyFill="1" applyBorder="1" applyAlignment="1">
      <alignment vertical="center"/>
    </xf>
    <xf numFmtId="165" fontId="0" fillId="12" borderId="19" xfId="1" applyNumberFormat="1" applyFont="1" applyFill="1" applyBorder="1" applyAlignment="1">
      <alignment vertical="center"/>
    </xf>
    <xf numFmtId="165" fontId="0" fillId="12" borderId="24" xfId="0" applyNumberFormat="1" applyFill="1" applyBorder="1" applyAlignment="1">
      <alignment vertical="center"/>
    </xf>
    <xf numFmtId="165" fontId="0" fillId="12" borderId="27" xfId="0" applyNumberFormat="1" applyFill="1" applyBorder="1" applyAlignment="1">
      <alignment vertical="center"/>
    </xf>
    <xf numFmtId="14" fontId="2" fillId="3" borderId="7" xfId="0" applyNumberFormat="1" applyFont="1" applyFill="1" applyBorder="1" applyAlignment="1">
      <alignment horizontal="center"/>
    </xf>
    <xf numFmtId="165" fontId="0" fillId="0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7" xfId="0" applyBorder="1"/>
    <xf numFmtId="9" fontId="0" fillId="0" borderId="24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165" fontId="0" fillId="0" borderId="26" xfId="1" applyNumberFormat="1" applyFont="1" applyFill="1" applyBorder="1" applyAlignment="1">
      <alignment horizontal="center" vertical="center"/>
    </xf>
    <xf numFmtId="15" fontId="0" fillId="12" borderId="19" xfId="0" applyNumberFormat="1" applyFill="1" applyBorder="1" applyAlignment="1">
      <alignment horizontal="left" vertical="center" indent="1"/>
    </xf>
    <xf numFmtId="0" fontId="0" fillId="12" borderId="19" xfId="0" applyFill="1" applyBorder="1" applyAlignment="1">
      <alignment horizontal="left" vertical="center" indent="1"/>
    </xf>
    <xf numFmtId="165" fontId="0" fillId="12" borderId="19" xfId="1" applyNumberFormat="1" applyFont="1" applyFill="1" applyBorder="1" applyAlignment="1">
      <alignment horizontal="center" vertical="center"/>
    </xf>
    <xf numFmtId="0" fontId="0" fillId="12" borderId="26" xfId="0" applyFill="1" applyBorder="1" applyAlignment="1">
      <alignment horizontal="left" vertical="center" indent="1"/>
    </xf>
    <xf numFmtId="165" fontId="0" fillId="12" borderId="19" xfId="1" quotePrefix="1" applyNumberFormat="1" applyFont="1" applyFill="1" applyBorder="1" applyAlignment="1">
      <alignment horizontal="center" vertical="center"/>
    </xf>
    <xf numFmtId="165" fontId="0" fillId="12" borderId="24" xfId="0" quotePrefix="1" applyNumberFormat="1" applyFill="1" applyBorder="1" applyAlignment="1">
      <alignment vertical="center"/>
    </xf>
    <xf numFmtId="0" fontId="10" fillId="13" borderId="21" xfId="0" applyFont="1" applyFill="1" applyBorder="1" applyAlignment="1">
      <alignment horizontal="left" vertical="center" indent="1"/>
    </xf>
    <xf numFmtId="0" fontId="10" fillId="13" borderId="21" xfId="0" applyFont="1" applyFill="1" applyBorder="1" applyAlignment="1">
      <alignment horizontal="center" vertical="center" wrapText="1" shrinkToFit="1"/>
    </xf>
    <xf numFmtId="0" fontId="10" fillId="13" borderId="22" xfId="0" applyFont="1" applyFill="1" applyBorder="1" applyAlignment="1">
      <alignment horizontal="right" vertical="center"/>
    </xf>
    <xf numFmtId="0" fontId="0" fillId="0" borderId="23" xfId="0" applyBorder="1"/>
    <xf numFmtId="165" fontId="0" fillId="0" borderId="24" xfId="1" applyNumberFormat="1" applyFont="1" applyBorder="1"/>
    <xf numFmtId="0" fontId="0" fillId="0" borderId="25" xfId="0" applyBorder="1"/>
    <xf numFmtId="0" fontId="0" fillId="0" borderId="26" xfId="0" applyBorder="1"/>
    <xf numFmtId="165" fontId="0" fillId="0" borderId="27" xfId="1" applyNumberFormat="1" applyFont="1" applyBorder="1"/>
    <xf numFmtId="0" fontId="10" fillId="13" borderId="20" xfId="0" applyFont="1" applyFill="1" applyBorder="1" applyAlignment="1">
      <alignment horizontal="left" vertical="center" indent="1"/>
    </xf>
    <xf numFmtId="0" fontId="0" fillId="0" borderId="23" xfId="0" applyBorder="1" applyAlignment="1">
      <alignment horizontal="left" indent="1"/>
    </xf>
    <xf numFmtId="0" fontId="0" fillId="0" borderId="25" xfId="0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5" xfId="0" quotePrefix="1" applyBorder="1" applyAlignment="1">
      <alignment horizontal="left" indent="1"/>
    </xf>
    <xf numFmtId="20" fontId="0" fillId="0" borderId="24" xfId="0" applyNumberFormat="1" applyBorder="1" applyAlignment="1">
      <alignment horizontal="center"/>
    </xf>
    <xf numFmtId="20" fontId="0" fillId="0" borderId="27" xfId="0" applyNumberFormat="1" applyBorder="1" applyAlignment="1">
      <alignment horizontal="center"/>
    </xf>
    <xf numFmtId="2" fontId="0" fillId="12" borderId="19" xfId="0" quotePrefix="1" applyNumberFormat="1" applyFill="1" applyBorder="1" applyAlignment="1">
      <alignment horizontal="left" vertical="center" indent="1"/>
    </xf>
    <xf numFmtId="165" fontId="0" fillId="12" borderId="19" xfId="0" applyNumberFormat="1" applyFill="1" applyBorder="1" applyAlignment="1">
      <alignment vertical="center"/>
    </xf>
    <xf numFmtId="2" fontId="0" fillId="12" borderId="26" xfId="0" quotePrefix="1" applyNumberFormat="1" applyFill="1" applyBorder="1" applyAlignment="1">
      <alignment horizontal="left" vertical="center" indent="1"/>
    </xf>
    <xf numFmtId="165" fontId="0" fillId="12" borderId="26" xfId="0" applyNumberFormat="1" applyFill="1" applyBorder="1" applyAlignment="1">
      <alignment vertical="center"/>
    </xf>
    <xf numFmtId="175" fontId="0" fillId="12" borderId="24" xfId="0" applyNumberFormat="1" applyFill="1" applyBorder="1" applyAlignment="1">
      <alignment horizontal="center" vertical="center"/>
    </xf>
    <xf numFmtId="175" fontId="0" fillId="12" borderId="27" xfId="0" applyNumberFormat="1" applyFill="1" applyBorder="1" applyAlignment="1">
      <alignment horizontal="center" vertical="center"/>
    </xf>
    <xf numFmtId="15" fontId="0" fillId="0" borderId="19" xfId="0" quotePrefix="1" applyNumberFormat="1" applyBorder="1" applyAlignment="1">
      <alignment horizontal="center" vertical="center"/>
    </xf>
    <xf numFmtId="0" fontId="0" fillId="0" borderId="28" xfId="0" applyBorder="1"/>
    <xf numFmtId="0" fontId="0" fillId="0" borderId="32" xfId="0" applyBorder="1"/>
    <xf numFmtId="165" fontId="0" fillId="0" borderId="33" xfId="1" applyNumberFormat="1" applyFont="1" applyBorder="1"/>
    <xf numFmtId="0" fontId="0" fillId="0" borderId="34" xfId="0" applyBorder="1"/>
    <xf numFmtId="0" fontId="0" fillId="0" borderId="39" xfId="0" applyBorder="1"/>
    <xf numFmtId="165" fontId="0" fillId="0" borderId="35" xfId="1" applyNumberFormat="1" applyFont="1" applyBorder="1"/>
    <xf numFmtId="0" fontId="10" fillId="13" borderId="11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165" fontId="0" fillId="12" borderId="19" xfId="1" applyNumberFormat="1" applyFont="1" applyFill="1" applyBorder="1" applyAlignment="1">
      <alignment horizontal="left" vertical="center" indent="1"/>
    </xf>
    <xf numFmtId="0" fontId="10" fillId="13" borderId="21" xfId="0" applyFont="1" applyFill="1" applyBorder="1" applyAlignment="1">
      <alignment horizontal="left" vertical="center" indent="2"/>
    </xf>
    <xf numFmtId="0" fontId="10" fillId="13" borderId="22" xfId="0" applyFont="1" applyFill="1" applyBorder="1" applyAlignment="1">
      <alignment horizontal="left" vertical="center" wrapText="1" indent="1"/>
    </xf>
    <xf numFmtId="15" fontId="0" fillId="0" borderId="26" xfId="0" quotePrefix="1" applyNumberFormat="1" applyBorder="1" applyAlignment="1">
      <alignment horizontal="center" vertical="center"/>
    </xf>
    <xf numFmtId="165" fontId="0" fillId="12" borderId="26" xfId="1" applyNumberFormat="1" applyFont="1" applyFill="1" applyBorder="1" applyAlignment="1">
      <alignment horizontal="left" vertical="center" indent="1"/>
    </xf>
    <xf numFmtId="0" fontId="18" fillId="0" borderId="0" xfId="0" applyFont="1"/>
    <xf numFmtId="0" fontId="0" fillId="0" borderId="50" xfId="0" applyBorder="1"/>
    <xf numFmtId="0" fontId="0" fillId="0" borderId="51" xfId="0" applyBorder="1"/>
    <xf numFmtId="0" fontId="0" fillId="0" borderId="51" xfId="0" quotePrefix="1" applyBorder="1" applyAlignment="1">
      <alignment horizontal="left" indent="1"/>
    </xf>
    <xf numFmtId="20" fontId="0" fillId="0" borderId="51" xfId="0" applyNumberFormat="1" applyBorder="1" applyAlignment="1">
      <alignment horizontal="center"/>
    </xf>
    <xf numFmtId="170" fontId="0" fillId="0" borderId="0" xfId="0" applyNumberFormat="1"/>
    <xf numFmtId="165" fontId="0" fillId="0" borderId="0" xfId="0" applyNumberFormat="1"/>
    <xf numFmtId="9" fontId="0" fillId="12" borderId="19" xfId="4" applyFont="1" applyFill="1" applyBorder="1" applyAlignment="1">
      <alignment vertical="center"/>
    </xf>
    <xf numFmtId="14" fontId="0" fillId="0" borderId="0" xfId="0" applyNumberFormat="1" applyAlignment="1">
      <alignment horizontal="center"/>
    </xf>
    <xf numFmtId="9" fontId="0" fillId="12" borderId="19" xfId="4" quotePrefix="1" applyFont="1" applyFill="1" applyBorder="1" applyAlignment="1">
      <alignment horizontal="center" vertical="center"/>
    </xf>
    <xf numFmtId="14" fontId="0" fillId="0" borderId="0" xfId="0" applyNumberFormat="1"/>
    <xf numFmtId="0" fontId="0" fillId="0" borderId="50" xfId="0" applyBorder="1" applyAlignment="1">
      <alignment horizontal="center"/>
    </xf>
    <xf numFmtId="165" fontId="0" fillId="12" borderId="26" xfId="1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16" fillId="13" borderId="21" xfId="0" applyFont="1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16" fillId="13" borderId="22" xfId="0" applyFont="1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 vertical="center" wrapText="1"/>
    </xf>
    <xf numFmtId="0" fontId="10" fillId="13" borderId="20" xfId="0" applyFont="1" applyFill="1" applyBorder="1" applyAlignment="1">
      <alignment vertical="center"/>
    </xf>
    <xf numFmtId="0" fontId="17" fillId="13" borderId="23" xfId="0" applyFont="1" applyFill="1" applyBorder="1" applyAlignment="1">
      <alignment vertical="center"/>
    </xf>
    <xf numFmtId="0" fontId="10" fillId="13" borderId="48" xfId="0" applyFont="1" applyFill="1" applyBorder="1" applyAlignment="1">
      <alignment horizontal="center" vertical="center"/>
    </xf>
    <xf numFmtId="0" fontId="17" fillId="13" borderId="47" xfId="0" applyFont="1" applyFill="1" applyBorder="1" applyAlignment="1">
      <alignment horizontal="center" vertical="center"/>
    </xf>
    <xf numFmtId="0" fontId="10" fillId="13" borderId="49" xfId="0" applyFont="1" applyFill="1" applyBorder="1" applyAlignment="1">
      <alignment horizontal="center" vertical="center"/>
    </xf>
    <xf numFmtId="165" fontId="10" fillId="13" borderId="22" xfId="1" applyNumberFormat="1" applyFont="1" applyFill="1" applyBorder="1" applyAlignment="1">
      <alignment horizontal="center" wrapText="1"/>
    </xf>
    <xf numFmtId="0" fontId="10" fillId="13" borderId="24" xfId="0" applyFont="1" applyFill="1" applyBorder="1" applyAlignment="1">
      <alignment horizontal="center" wrapText="1"/>
    </xf>
    <xf numFmtId="0" fontId="16" fillId="13" borderId="20" xfId="0" applyFont="1" applyFill="1" applyBorder="1" applyAlignment="1">
      <alignment vertical="center"/>
    </xf>
    <xf numFmtId="0" fontId="0" fillId="13" borderId="23" xfId="0" applyFill="1" applyBorder="1" applyAlignment="1">
      <alignment vertical="center"/>
    </xf>
    <xf numFmtId="0" fontId="16" fillId="13" borderId="21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10" fillId="13" borderId="21" xfId="0" applyFont="1" applyFill="1" applyBorder="1" applyAlignment="1">
      <alignment horizontal="center" vertical="center"/>
    </xf>
    <xf numFmtId="0" fontId="17" fillId="13" borderId="19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vertical="center"/>
    </xf>
    <xf numFmtId="0" fontId="17" fillId="13" borderId="19" xfId="0" applyFont="1" applyFill="1" applyBorder="1" applyAlignment="1">
      <alignment vertical="center"/>
    </xf>
    <xf numFmtId="0" fontId="10" fillId="13" borderId="22" xfId="0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0" fillId="13" borderId="20" xfId="0" applyFont="1" applyFill="1" applyBorder="1" applyAlignment="1">
      <alignment horizontal="center" vertical="center"/>
    </xf>
    <xf numFmtId="0" fontId="17" fillId="13" borderId="23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left" vertical="center" indent="1"/>
    </xf>
    <xf numFmtId="0" fontId="17" fillId="13" borderId="19" xfId="0" applyFont="1" applyFill="1" applyBorder="1" applyAlignment="1">
      <alignment horizontal="left" vertical="center" indent="1"/>
    </xf>
    <xf numFmtId="0" fontId="9" fillId="10" borderId="1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5">
    <cellStyle name="Comma" xfId="1" builtinId="3"/>
    <cellStyle name="Comma [0]" xfId="2" builtinId="6"/>
    <cellStyle name="Comma 2" xfId="3" xr:uid="{D1E79990-F868-454D-9398-60D2FF7163A7}"/>
    <cellStyle name="Normal" xfId="0" builtinId="0"/>
    <cellStyle name="Percent" xfId="4" builtinId="5"/>
  </cellStyles>
  <dxfs count="24"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39E7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7</xdr:row>
      <xdr:rowOff>38100</xdr:rowOff>
    </xdr:from>
    <xdr:to>
      <xdr:col>1</xdr:col>
      <xdr:colOff>1123950</xdr:colOff>
      <xdr:row>8</xdr:row>
      <xdr:rowOff>85725</xdr:rowOff>
    </xdr:to>
    <xdr:sp macro="" textlink="">
      <xdr:nvSpPr>
        <xdr:cNvPr id="2" name="Arrow: Curved Right 1">
          <a:extLst>
            <a:ext uri="{FF2B5EF4-FFF2-40B4-BE49-F238E27FC236}">
              <a16:creationId xmlns:a16="http://schemas.microsoft.com/office/drawing/2014/main" id="{DEAF506A-66D9-4EAA-A976-3F0541080154}"/>
            </a:ext>
          </a:extLst>
        </xdr:cNvPr>
        <xdr:cNvSpPr/>
      </xdr:nvSpPr>
      <xdr:spPr>
        <a:xfrm>
          <a:off x="1238250" y="628650"/>
          <a:ext cx="123825" cy="1905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D25D-C558-4E36-AB7A-FEE3A8F8DAD5}">
  <dimension ref="A2:T78"/>
  <sheetViews>
    <sheetView showGridLines="0" tabSelected="1" topLeftCell="A73" workbookViewId="0">
      <selection activeCell="K58" sqref="K58:K70"/>
    </sheetView>
  </sheetViews>
  <sheetFormatPr defaultRowHeight="14.5" x14ac:dyDescent="0.35"/>
  <cols>
    <col min="1" max="1" width="3.81640625" customWidth="1"/>
    <col min="2" max="2" width="4.1796875" customWidth="1"/>
    <col min="3" max="3" width="18" bestFit="1" customWidth="1"/>
    <col min="4" max="4" width="15" bestFit="1" customWidth="1"/>
    <col min="5" max="5" width="15.1796875" bestFit="1" customWidth="1"/>
    <col min="6" max="6" width="10.54296875" bestFit="1" customWidth="1"/>
    <col min="7" max="7" width="10.7265625" bestFit="1" customWidth="1"/>
    <col min="8" max="8" width="13.7265625" bestFit="1" customWidth="1"/>
    <col min="9" max="9" width="12.54296875" bestFit="1" customWidth="1"/>
    <col min="10" max="10" width="13.81640625" bestFit="1" customWidth="1"/>
    <col min="11" max="11" width="12.54296875" bestFit="1" customWidth="1"/>
    <col min="12" max="12" width="15.1796875" customWidth="1"/>
    <col min="13" max="13" width="12.54296875" bestFit="1" customWidth="1"/>
    <col min="14" max="14" width="10.26953125" bestFit="1" customWidth="1"/>
    <col min="15" max="15" width="5.81640625" bestFit="1" customWidth="1"/>
    <col min="16" max="16" width="18.26953125" bestFit="1" customWidth="1"/>
  </cols>
  <sheetData>
    <row r="2" spans="2:16" ht="23.5" x14ac:dyDescent="0.35">
      <c r="B2" s="1" t="s">
        <v>237</v>
      </c>
    </row>
    <row r="3" spans="2:16" ht="16" thickBot="1" x14ac:dyDescent="0.4">
      <c r="B3" s="17" t="s">
        <v>382</v>
      </c>
    </row>
    <row r="4" spans="2:16" x14ac:dyDescent="0.35">
      <c r="B4" s="137" t="s">
        <v>271</v>
      </c>
      <c r="C4" s="138"/>
      <c r="D4" s="138"/>
      <c r="E4" s="138"/>
      <c r="F4" s="138"/>
      <c r="G4" s="138"/>
      <c r="H4" s="138"/>
      <c r="I4" s="138"/>
      <c r="J4" s="139"/>
    </row>
    <row r="5" spans="2:16" x14ac:dyDescent="0.35">
      <c r="B5" s="169" t="s">
        <v>312</v>
      </c>
      <c r="C5" s="170"/>
      <c r="D5" s="170"/>
      <c r="E5" s="170"/>
      <c r="F5" s="170"/>
      <c r="G5" s="170"/>
      <c r="H5" s="170"/>
      <c r="I5" s="170"/>
      <c r="J5" s="171"/>
    </row>
    <row r="6" spans="2:16" ht="15" thickBot="1" x14ac:dyDescent="0.4">
      <c r="B6" s="140" t="s">
        <v>365</v>
      </c>
      <c r="C6" s="141"/>
      <c r="D6" s="141"/>
      <c r="E6" s="141"/>
      <c r="F6" s="141"/>
      <c r="G6" s="141"/>
      <c r="H6" s="141"/>
      <c r="I6" s="141"/>
      <c r="J6" s="142"/>
    </row>
    <row r="7" spans="2:16" ht="16" thickBot="1" x14ac:dyDescent="0.4">
      <c r="L7" s="17" t="s">
        <v>225</v>
      </c>
    </row>
    <row r="8" spans="2:16" ht="39" x14ac:dyDescent="0.35">
      <c r="B8" s="114" t="s">
        <v>65</v>
      </c>
      <c r="C8" s="115" t="s">
        <v>220</v>
      </c>
      <c r="D8" s="115" t="s">
        <v>259</v>
      </c>
      <c r="E8" s="115" t="s">
        <v>260</v>
      </c>
      <c r="F8" s="115" t="s">
        <v>261</v>
      </c>
      <c r="G8" s="115" t="s">
        <v>262</v>
      </c>
      <c r="H8" s="115" t="s">
        <v>15</v>
      </c>
      <c r="I8" s="115" t="s">
        <v>221</v>
      </c>
      <c r="J8" s="116" t="s">
        <v>222</v>
      </c>
      <c r="L8" s="117" t="s">
        <v>221</v>
      </c>
      <c r="M8" s="118" t="s">
        <v>226</v>
      </c>
      <c r="O8" s="119" t="s">
        <v>226</v>
      </c>
      <c r="P8" s="118" t="s">
        <v>222</v>
      </c>
    </row>
    <row r="9" spans="2:16" x14ac:dyDescent="0.35">
      <c r="B9" s="89">
        <v>1</v>
      </c>
      <c r="C9" s="88" t="s">
        <v>263</v>
      </c>
      <c r="D9" s="74">
        <v>2004001</v>
      </c>
      <c r="E9" s="74">
        <v>90</v>
      </c>
      <c r="F9" s="74">
        <v>70</v>
      </c>
      <c r="G9" s="74">
        <v>70</v>
      </c>
      <c r="H9" s="134">
        <f>AVERAGE(E9:G9)</f>
        <v>76.666666666666671</v>
      </c>
      <c r="I9" s="135" t="str">
        <f>IF(H9&lt;50,"E",IF(H9&lt;60,"D",IF(H9&lt;80,"C",IF(H9&lt;90,"B","A"))))</f>
        <v>C</v>
      </c>
      <c r="J9" s="136" t="str">
        <f>VLOOKUP(I9,$O$9:$P$13,2,0)</f>
        <v>Cukup</v>
      </c>
      <c r="L9" s="92" t="s">
        <v>227</v>
      </c>
      <c r="M9" s="95" t="s">
        <v>125</v>
      </c>
      <c r="O9" s="92" t="s">
        <v>125</v>
      </c>
      <c r="P9" s="111" t="s">
        <v>232</v>
      </c>
    </row>
    <row r="10" spans="2:16" x14ac:dyDescent="0.35">
      <c r="B10" s="89">
        <v>2</v>
      </c>
      <c r="C10" s="88" t="s">
        <v>264</v>
      </c>
      <c r="D10" s="74">
        <v>2004002</v>
      </c>
      <c r="E10" s="74">
        <v>80</v>
      </c>
      <c r="F10" s="74">
        <v>90</v>
      </c>
      <c r="G10" s="74">
        <v>90</v>
      </c>
      <c r="H10" s="134">
        <f t="shared" ref="H10:H18" si="0">AVERAGE(E10:G10)</f>
        <v>86.666666666666671</v>
      </c>
      <c r="I10" s="135" t="str">
        <f t="shared" ref="I10:I18" si="1">IF(H10&lt;50,"E",IF(H10&lt;60,"D",IF(H10&lt;80,"C",IF(H10&lt;90,"B","A"))))</f>
        <v>B</v>
      </c>
      <c r="J10" s="136" t="str">
        <f t="shared" ref="J10:J18" si="2">VLOOKUP(I10,$O$9:$P$13,2,0)</f>
        <v>Memuaskan</v>
      </c>
      <c r="L10" s="93" t="s">
        <v>229</v>
      </c>
      <c r="M10" s="96" t="s">
        <v>89</v>
      </c>
      <c r="O10" s="93" t="s">
        <v>89</v>
      </c>
      <c r="P10" s="112" t="s">
        <v>233</v>
      </c>
    </row>
    <row r="11" spans="2:16" x14ac:dyDescent="0.35">
      <c r="B11" s="89">
        <v>3</v>
      </c>
      <c r="C11" s="88" t="s">
        <v>265</v>
      </c>
      <c r="D11" s="74">
        <v>2004003</v>
      </c>
      <c r="E11" s="74">
        <v>70</v>
      </c>
      <c r="F11" s="74">
        <v>85</v>
      </c>
      <c r="G11" s="74">
        <v>90</v>
      </c>
      <c r="H11" s="134">
        <f t="shared" si="0"/>
        <v>81.666666666666671</v>
      </c>
      <c r="I11" s="135" t="str">
        <f t="shared" si="1"/>
        <v>B</v>
      </c>
      <c r="J11" s="136" t="str">
        <f t="shared" si="2"/>
        <v>Memuaskan</v>
      </c>
      <c r="L11" s="93" t="s">
        <v>228</v>
      </c>
      <c r="M11" s="96" t="s">
        <v>50</v>
      </c>
      <c r="O11" s="93" t="s">
        <v>50</v>
      </c>
      <c r="P11" s="112" t="s">
        <v>234</v>
      </c>
    </row>
    <row r="12" spans="2:16" x14ac:dyDescent="0.35">
      <c r="B12" s="89">
        <v>4</v>
      </c>
      <c r="C12" s="88" t="s">
        <v>266</v>
      </c>
      <c r="D12" s="74">
        <v>2004004</v>
      </c>
      <c r="E12" s="74">
        <v>80</v>
      </c>
      <c r="F12" s="74">
        <v>90</v>
      </c>
      <c r="G12" s="74">
        <v>80</v>
      </c>
      <c r="H12" s="134">
        <f t="shared" si="0"/>
        <v>83.333333333333329</v>
      </c>
      <c r="I12" s="135" t="str">
        <f t="shared" si="1"/>
        <v>B</v>
      </c>
      <c r="J12" s="136" t="str">
        <f t="shared" si="2"/>
        <v>Memuaskan</v>
      </c>
      <c r="L12" s="93" t="s">
        <v>230</v>
      </c>
      <c r="M12" s="96" t="s">
        <v>21</v>
      </c>
      <c r="O12" s="93" t="s">
        <v>21</v>
      </c>
      <c r="P12" s="112" t="s">
        <v>235</v>
      </c>
    </row>
    <row r="13" spans="2:16" ht="15" thickBot="1" x14ac:dyDescent="0.4">
      <c r="B13" s="89">
        <v>5</v>
      </c>
      <c r="C13" s="88" t="s">
        <v>267</v>
      </c>
      <c r="D13" s="74">
        <v>2004005</v>
      </c>
      <c r="E13" s="74">
        <v>85</v>
      </c>
      <c r="F13" s="74">
        <v>60</v>
      </c>
      <c r="G13" s="74">
        <v>80</v>
      </c>
      <c r="H13" s="134">
        <f t="shared" si="0"/>
        <v>75</v>
      </c>
      <c r="I13" s="135" t="str">
        <f t="shared" si="1"/>
        <v>C</v>
      </c>
      <c r="J13" s="136" t="str">
        <f t="shared" si="2"/>
        <v>Cukup</v>
      </c>
      <c r="L13" s="94" t="s">
        <v>231</v>
      </c>
      <c r="M13" s="97" t="s">
        <v>32</v>
      </c>
      <c r="O13" s="94" t="s">
        <v>32</v>
      </c>
      <c r="P13" s="113" t="s">
        <v>236</v>
      </c>
    </row>
    <row r="14" spans="2:16" x14ac:dyDescent="0.35">
      <c r="B14" s="89">
        <v>6</v>
      </c>
      <c r="C14" s="88" t="s">
        <v>268</v>
      </c>
      <c r="D14" s="74">
        <v>2004006</v>
      </c>
      <c r="E14" s="74">
        <v>85</v>
      </c>
      <c r="F14" s="74">
        <v>75</v>
      </c>
      <c r="G14" s="74">
        <v>85</v>
      </c>
      <c r="H14" s="134">
        <f t="shared" si="0"/>
        <v>81.666666666666671</v>
      </c>
      <c r="I14" s="135" t="str">
        <f t="shared" si="1"/>
        <v>B</v>
      </c>
      <c r="J14" s="136" t="str">
        <f t="shared" si="2"/>
        <v>Memuaskan</v>
      </c>
    </row>
    <row r="15" spans="2:16" x14ac:dyDescent="0.35">
      <c r="B15" s="89">
        <v>7</v>
      </c>
      <c r="C15" s="88" t="s">
        <v>223</v>
      </c>
      <c r="D15" s="74">
        <v>2004007</v>
      </c>
      <c r="E15" s="74">
        <v>87</v>
      </c>
      <c r="F15" s="74">
        <v>70</v>
      </c>
      <c r="G15" s="74">
        <v>70</v>
      </c>
      <c r="H15" s="134">
        <f t="shared" si="0"/>
        <v>75.666666666666671</v>
      </c>
      <c r="I15" s="135" t="str">
        <f t="shared" si="1"/>
        <v>C</v>
      </c>
      <c r="J15" s="136" t="str">
        <f t="shared" si="2"/>
        <v>Cukup</v>
      </c>
    </row>
    <row r="16" spans="2:16" x14ac:dyDescent="0.35">
      <c r="B16" s="89">
        <v>8</v>
      </c>
      <c r="C16" s="88" t="s">
        <v>224</v>
      </c>
      <c r="D16" s="74">
        <v>2004008</v>
      </c>
      <c r="E16" s="74">
        <v>90</v>
      </c>
      <c r="F16" s="74">
        <v>80</v>
      </c>
      <c r="G16" s="74">
        <v>65</v>
      </c>
      <c r="H16" s="134">
        <f t="shared" si="0"/>
        <v>78.333333333333329</v>
      </c>
      <c r="I16" s="135" t="str">
        <f t="shared" si="1"/>
        <v>C</v>
      </c>
      <c r="J16" s="136" t="str">
        <f t="shared" si="2"/>
        <v>Cukup</v>
      </c>
    </row>
    <row r="17" spans="1:20" x14ac:dyDescent="0.35">
      <c r="B17" s="89">
        <v>9</v>
      </c>
      <c r="C17" s="88" t="s">
        <v>269</v>
      </c>
      <c r="D17" s="74">
        <v>2004009</v>
      </c>
      <c r="E17" s="74">
        <v>95</v>
      </c>
      <c r="F17" s="74">
        <v>78</v>
      </c>
      <c r="G17" s="74">
        <v>90</v>
      </c>
      <c r="H17" s="134">
        <f t="shared" si="0"/>
        <v>87.666666666666671</v>
      </c>
      <c r="I17" s="135" t="str">
        <f t="shared" si="1"/>
        <v>B</v>
      </c>
      <c r="J17" s="136" t="str">
        <f t="shared" si="2"/>
        <v>Memuaskan</v>
      </c>
    </row>
    <row r="18" spans="1:20" ht="15" thickBot="1" x14ac:dyDescent="0.4">
      <c r="B18" s="90">
        <v>10</v>
      </c>
      <c r="C18" s="91" t="s">
        <v>270</v>
      </c>
      <c r="D18" s="79">
        <v>2004010</v>
      </c>
      <c r="E18" s="79">
        <v>97</v>
      </c>
      <c r="F18" s="79">
        <v>95</v>
      </c>
      <c r="G18" s="79">
        <v>50</v>
      </c>
      <c r="H18" s="134">
        <f t="shared" si="0"/>
        <v>80.666666666666671</v>
      </c>
      <c r="I18" s="135" t="str">
        <f t="shared" si="1"/>
        <v>B</v>
      </c>
      <c r="J18" s="136" t="str">
        <f t="shared" si="2"/>
        <v>Memuaskan</v>
      </c>
    </row>
    <row r="20" spans="1:20" x14ac:dyDescent="0.35">
      <c r="A20" s="241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</row>
    <row r="21" spans="1:20" ht="18" x14ac:dyDescent="0.4">
      <c r="B21" s="120" t="s">
        <v>272</v>
      </c>
      <c r="F21" s="121"/>
    </row>
    <row r="22" spans="1:20" ht="15" thickBot="1" x14ac:dyDescent="0.4">
      <c r="F22" s="121"/>
    </row>
    <row r="23" spans="1:20" x14ac:dyDescent="0.35">
      <c r="B23" s="123" t="s">
        <v>65</v>
      </c>
      <c r="C23" s="124" t="s">
        <v>273</v>
      </c>
      <c r="D23" s="124" t="s">
        <v>274</v>
      </c>
      <c r="E23" s="124" t="s">
        <v>275</v>
      </c>
      <c r="F23" s="124" t="s">
        <v>276</v>
      </c>
      <c r="G23" s="124" t="s">
        <v>277</v>
      </c>
      <c r="H23" s="124" t="s">
        <v>278</v>
      </c>
      <c r="I23" s="124" t="s">
        <v>279</v>
      </c>
      <c r="J23" s="124" t="s">
        <v>280</v>
      </c>
      <c r="K23" s="124" t="s">
        <v>281</v>
      </c>
      <c r="L23" s="124" t="s">
        <v>314</v>
      </c>
      <c r="M23" s="125" t="s">
        <v>282</v>
      </c>
      <c r="O23" s="117" t="s">
        <v>215</v>
      </c>
      <c r="P23" s="118" t="s">
        <v>313</v>
      </c>
    </row>
    <row r="24" spans="1:20" x14ac:dyDescent="0.35">
      <c r="B24" s="126" t="s">
        <v>283</v>
      </c>
      <c r="C24" s="75" t="s">
        <v>284</v>
      </c>
      <c r="D24" s="75" t="s">
        <v>285</v>
      </c>
      <c r="E24" s="75" t="s">
        <v>286</v>
      </c>
      <c r="F24" s="74" t="s">
        <v>32</v>
      </c>
      <c r="G24" s="122">
        <v>38141</v>
      </c>
      <c r="H24" s="122">
        <v>38156</v>
      </c>
      <c r="I24" s="130">
        <f>H24-G24</f>
        <v>15</v>
      </c>
      <c r="J24" s="131">
        <f>VLOOKUP(F24,$O$24:$P$26,2,0)</f>
        <v>50000</v>
      </c>
      <c r="K24" s="132">
        <f>I24*J24</f>
        <v>750000</v>
      </c>
      <c r="L24" s="132">
        <f>IF(I24&gt;=15,K24*15%,0)</f>
        <v>112500</v>
      </c>
      <c r="M24" s="133">
        <f>K24-L24</f>
        <v>637500</v>
      </c>
      <c r="O24" s="92" t="s">
        <v>32</v>
      </c>
      <c r="P24" s="143">
        <v>50000</v>
      </c>
    </row>
    <row r="25" spans="1:20" x14ac:dyDescent="0.35">
      <c r="B25" s="127" t="s">
        <v>287</v>
      </c>
      <c r="C25" s="75" t="s">
        <v>288</v>
      </c>
      <c r="D25" s="75" t="s">
        <v>289</v>
      </c>
      <c r="E25" s="75" t="s">
        <v>286</v>
      </c>
      <c r="F25" s="74" t="s">
        <v>50</v>
      </c>
      <c r="G25" s="122">
        <v>38161</v>
      </c>
      <c r="H25" s="122">
        <v>38161</v>
      </c>
      <c r="I25" s="130">
        <f t="shared" ref="I25:I32" si="3">H25-G25</f>
        <v>0</v>
      </c>
      <c r="J25" s="131">
        <f t="shared" ref="J25:J32" si="4">VLOOKUP(F25,$O$24:$P$26,2,0)</f>
        <v>15000</v>
      </c>
      <c r="K25" s="132">
        <f t="shared" ref="K25:K32" si="5">I25*J25</f>
        <v>0</v>
      </c>
      <c r="L25" s="132">
        <f t="shared" ref="L25:L32" si="6">IF(I25&gt;=15,K25*15%,0)</f>
        <v>0</v>
      </c>
      <c r="M25" s="133">
        <f t="shared" ref="M25:M32" si="7">K25-L25</f>
        <v>0</v>
      </c>
      <c r="O25" s="93" t="s">
        <v>21</v>
      </c>
      <c r="P25" s="144">
        <v>25000</v>
      </c>
    </row>
    <row r="26" spans="1:20" x14ac:dyDescent="0.35">
      <c r="B26" s="127" t="s">
        <v>290</v>
      </c>
      <c r="C26" s="75" t="s">
        <v>291</v>
      </c>
      <c r="D26" s="75" t="s">
        <v>292</v>
      </c>
      <c r="E26" s="75" t="s">
        <v>293</v>
      </c>
      <c r="F26" s="74" t="s">
        <v>50</v>
      </c>
      <c r="G26" s="122">
        <v>38184</v>
      </c>
      <c r="H26" s="122">
        <v>38184</v>
      </c>
      <c r="I26" s="130">
        <f t="shared" si="3"/>
        <v>0</v>
      </c>
      <c r="J26" s="131">
        <f t="shared" si="4"/>
        <v>15000</v>
      </c>
      <c r="K26" s="132">
        <f t="shared" si="5"/>
        <v>0</v>
      </c>
      <c r="L26" s="132">
        <f t="shared" si="6"/>
        <v>0</v>
      </c>
      <c r="M26" s="133">
        <f t="shared" si="7"/>
        <v>0</v>
      </c>
      <c r="O26" s="93" t="s">
        <v>50</v>
      </c>
      <c r="P26" s="144">
        <v>15000</v>
      </c>
    </row>
    <row r="27" spans="1:20" x14ac:dyDescent="0.35">
      <c r="B27" s="127" t="s">
        <v>294</v>
      </c>
      <c r="C27" s="75" t="s">
        <v>224</v>
      </c>
      <c r="D27" s="75" t="s">
        <v>295</v>
      </c>
      <c r="E27" s="75" t="s">
        <v>296</v>
      </c>
      <c r="F27" s="74" t="s">
        <v>32</v>
      </c>
      <c r="G27" s="122">
        <v>38140</v>
      </c>
      <c r="H27" s="122">
        <v>38149</v>
      </c>
      <c r="I27" s="130">
        <f t="shared" si="3"/>
        <v>9</v>
      </c>
      <c r="J27" s="131">
        <f t="shared" si="4"/>
        <v>50000</v>
      </c>
      <c r="K27" s="132">
        <f t="shared" si="5"/>
        <v>450000</v>
      </c>
      <c r="L27" s="132">
        <f t="shared" si="6"/>
        <v>0</v>
      </c>
      <c r="M27" s="133">
        <f t="shared" si="7"/>
        <v>450000</v>
      </c>
    </row>
    <row r="28" spans="1:20" x14ac:dyDescent="0.35">
      <c r="B28" s="127" t="s">
        <v>297</v>
      </c>
      <c r="C28" s="75" t="s">
        <v>298</v>
      </c>
      <c r="D28" s="75" t="s">
        <v>299</v>
      </c>
      <c r="E28" s="75" t="s">
        <v>296</v>
      </c>
      <c r="F28" s="74" t="s">
        <v>21</v>
      </c>
      <c r="G28" s="122">
        <v>38145</v>
      </c>
      <c r="H28" s="122">
        <v>38164</v>
      </c>
      <c r="I28" s="130">
        <f t="shared" si="3"/>
        <v>19</v>
      </c>
      <c r="J28" s="131">
        <f t="shared" si="4"/>
        <v>25000</v>
      </c>
      <c r="K28" s="132">
        <f t="shared" si="5"/>
        <v>475000</v>
      </c>
      <c r="L28" s="132">
        <f t="shared" si="6"/>
        <v>71250</v>
      </c>
      <c r="M28" s="133">
        <f t="shared" si="7"/>
        <v>403750</v>
      </c>
      <c r="N28" s="244"/>
    </row>
    <row r="29" spans="1:20" x14ac:dyDescent="0.35">
      <c r="B29" s="127" t="s">
        <v>300</v>
      </c>
      <c r="C29" s="75" t="s">
        <v>301</v>
      </c>
      <c r="D29" s="75" t="s">
        <v>302</v>
      </c>
      <c r="E29" s="75" t="s">
        <v>296</v>
      </c>
      <c r="F29" s="74" t="s">
        <v>21</v>
      </c>
      <c r="G29" s="122">
        <v>38159</v>
      </c>
      <c r="H29" s="122">
        <v>38169</v>
      </c>
      <c r="I29" s="130">
        <f t="shared" si="3"/>
        <v>10</v>
      </c>
      <c r="J29" s="131">
        <f t="shared" si="4"/>
        <v>25000</v>
      </c>
      <c r="K29" s="132">
        <f t="shared" si="5"/>
        <v>250000</v>
      </c>
      <c r="L29" s="132">
        <f t="shared" si="6"/>
        <v>0</v>
      </c>
      <c r="M29" s="133">
        <f t="shared" si="7"/>
        <v>250000</v>
      </c>
    </row>
    <row r="30" spans="1:20" x14ac:dyDescent="0.35">
      <c r="B30" s="127" t="s">
        <v>303</v>
      </c>
      <c r="C30" s="75" t="s">
        <v>304</v>
      </c>
      <c r="D30" s="75" t="s">
        <v>305</v>
      </c>
      <c r="E30" s="75" t="s">
        <v>296</v>
      </c>
      <c r="F30" s="74" t="s">
        <v>50</v>
      </c>
      <c r="G30" s="122">
        <v>38173</v>
      </c>
      <c r="H30" s="122">
        <v>38179</v>
      </c>
      <c r="I30" s="130">
        <f t="shared" si="3"/>
        <v>6</v>
      </c>
      <c r="J30" s="131">
        <f t="shared" si="4"/>
        <v>15000</v>
      </c>
      <c r="K30" s="132">
        <f t="shared" si="5"/>
        <v>90000</v>
      </c>
      <c r="L30" s="132">
        <f t="shared" si="6"/>
        <v>0</v>
      </c>
      <c r="M30" s="133">
        <f t="shared" si="7"/>
        <v>90000</v>
      </c>
    </row>
    <row r="31" spans="1:20" x14ac:dyDescent="0.35">
      <c r="B31" s="127" t="s">
        <v>306</v>
      </c>
      <c r="C31" s="75" t="s">
        <v>307</v>
      </c>
      <c r="D31" s="75" t="s">
        <v>308</v>
      </c>
      <c r="E31" s="75" t="s">
        <v>296</v>
      </c>
      <c r="F31" s="74" t="s">
        <v>21</v>
      </c>
      <c r="G31" s="122">
        <v>38206</v>
      </c>
      <c r="H31" s="122">
        <v>38222</v>
      </c>
      <c r="I31" s="130">
        <f t="shared" si="3"/>
        <v>16</v>
      </c>
      <c r="J31" s="131">
        <f t="shared" si="4"/>
        <v>25000</v>
      </c>
      <c r="K31" s="132">
        <f t="shared" si="5"/>
        <v>400000</v>
      </c>
      <c r="L31" s="132">
        <f t="shared" si="6"/>
        <v>60000</v>
      </c>
      <c r="M31" s="133">
        <f t="shared" si="7"/>
        <v>340000</v>
      </c>
    </row>
    <row r="32" spans="1:20" ht="15" thickBot="1" x14ac:dyDescent="0.4">
      <c r="B32" s="128" t="s">
        <v>309</v>
      </c>
      <c r="C32" s="78" t="s">
        <v>310</v>
      </c>
      <c r="D32" s="78" t="s">
        <v>311</v>
      </c>
      <c r="E32" s="78" t="s">
        <v>286</v>
      </c>
      <c r="F32" s="79" t="s">
        <v>32</v>
      </c>
      <c r="G32" s="129">
        <v>38211</v>
      </c>
      <c r="H32" s="129">
        <v>38211</v>
      </c>
      <c r="I32" s="130">
        <f t="shared" si="3"/>
        <v>0</v>
      </c>
      <c r="J32" s="131">
        <f t="shared" si="4"/>
        <v>50000</v>
      </c>
      <c r="K32" s="132">
        <f t="shared" si="5"/>
        <v>0</v>
      </c>
      <c r="L32" s="132">
        <f t="shared" si="6"/>
        <v>0</v>
      </c>
      <c r="M32" s="133">
        <f t="shared" si="7"/>
        <v>0</v>
      </c>
    </row>
    <row r="33" spans="1:20" x14ac:dyDescent="0.35">
      <c r="B33" s="145" t="s">
        <v>315</v>
      </c>
    </row>
    <row r="35" spans="1:20" x14ac:dyDescent="0.35">
      <c r="A35" s="241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</row>
    <row r="36" spans="1:20" ht="18" x14ac:dyDescent="0.4">
      <c r="B36" s="120" t="s">
        <v>316</v>
      </c>
    </row>
    <row r="37" spans="1:20" ht="18.5" thickBot="1" x14ac:dyDescent="0.45">
      <c r="B37" s="120"/>
    </row>
    <row r="38" spans="1:20" x14ac:dyDescent="0.35">
      <c r="B38" s="146" t="s">
        <v>212</v>
      </c>
      <c r="C38" s="147" t="s">
        <v>213</v>
      </c>
      <c r="D38" s="124" t="s">
        <v>214</v>
      </c>
      <c r="E38" s="147" t="s">
        <v>317</v>
      </c>
      <c r="F38" s="147" t="s">
        <v>215</v>
      </c>
      <c r="G38" s="124" t="s">
        <v>216</v>
      </c>
      <c r="H38" s="148" t="s">
        <v>217</v>
      </c>
      <c r="J38" s="117" t="s">
        <v>221</v>
      </c>
      <c r="K38" s="118" t="s">
        <v>226</v>
      </c>
    </row>
    <row r="39" spans="1:20" x14ac:dyDescent="0.35">
      <c r="B39" s="76">
        <v>1</v>
      </c>
      <c r="C39" s="75" t="s">
        <v>318</v>
      </c>
      <c r="D39" s="74" t="s">
        <v>319</v>
      </c>
      <c r="E39" s="165" t="str">
        <f>VLOOKUP(LEFT(D39,1),$J$39:$K$40,2,0)</f>
        <v>Yamaha</v>
      </c>
      <c r="F39" s="166" t="str">
        <f>VLOOKUP(MID(D39,2,2),$J$43:$M$51,2,0)</f>
        <v>Jupiter</v>
      </c>
      <c r="G39" s="167">
        <f>VLOOKUP(MID(D39,2,2),$J$43:$M$51,3,0)</f>
        <v>1750000</v>
      </c>
      <c r="H39" s="168">
        <f>VLOOKUP(MID(D39,2,2),$J$43:$M$51,4,0)</f>
        <v>608000</v>
      </c>
      <c r="J39" s="92" t="s">
        <v>100</v>
      </c>
      <c r="K39" s="95" t="s">
        <v>344</v>
      </c>
    </row>
    <row r="40" spans="1:20" ht="15" thickBot="1" x14ac:dyDescent="0.4">
      <c r="B40" s="76">
        <v>2</v>
      </c>
      <c r="C40" s="75" t="s">
        <v>320</v>
      </c>
      <c r="D40" s="74" t="s">
        <v>321</v>
      </c>
      <c r="E40" s="165" t="str">
        <f t="shared" ref="E40:E51" si="8">VLOOKUP(LEFT(D40,1),$J$39:$K$40,2,0)</f>
        <v>Yamaha</v>
      </c>
      <c r="F40" s="166" t="str">
        <f t="shared" ref="F40:F51" si="9">VLOOKUP(MID(D40,2,2),$J$43:$M$51,2,0)</f>
        <v>Nouvo</v>
      </c>
      <c r="G40" s="167">
        <f t="shared" ref="G40:G51" si="10">VLOOKUP(MID(D40,2,2),$J$43:$M$51,3,0)</f>
        <v>1500000</v>
      </c>
      <c r="H40" s="168">
        <f t="shared" ref="H40:H51" si="11">VLOOKUP(MID(D40,2,2),$J$43:$M$51,4,0)</f>
        <v>634000</v>
      </c>
      <c r="J40" s="94" t="s">
        <v>345</v>
      </c>
      <c r="K40" s="97" t="s">
        <v>346</v>
      </c>
    </row>
    <row r="41" spans="1:20" ht="15" thickBot="1" x14ac:dyDescent="0.4">
      <c r="B41" s="76">
        <v>3</v>
      </c>
      <c r="C41" s="75" t="s">
        <v>322</v>
      </c>
      <c r="D41" s="74" t="s">
        <v>323</v>
      </c>
      <c r="E41" s="165" t="str">
        <f t="shared" si="8"/>
        <v>Honda</v>
      </c>
      <c r="F41" s="166" t="str">
        <f t="shared" si="9"/>
        <v>Kharisma</v>
      </c>
      <c r="G41" s="167">
        <f t="shared" si="10"/>
        <v>1200000</v>
      </c>
      <c r="H41" s="168">
        <f t="shared" si="11"/>
        <v>652000</v>
      </c>
    </row>
    <row r="42" spans="1:20" x14ac:dyDescent="0.35">
      <c r="B42" s="76">
        <v>4</v>
      </c>
      <c r="C42" s="75" t="s">
        <v>324</v>
      </c>
      <c r="D42" s="74" t="s">
        <v>325</v>
      </c>
      <c r="E42" s="165" t="str">
        <f t="shared" si="8"/>
        <v>Honda</v>
      </c>
      <c r="F42" s="166" t="str">
        <f t="shared" si="9"/>
        <v>Supra X</v>
      </c>
      <c r="G42" s="167">
        <f t="shared" si="10"/>
        <v>2000000</v>
      </c>
      <c r="H42" s="168">
        <f t="shared" si="11"/>
        <v>531000</v>
      </c>
      <c r="J42" s="149" t="s">
        <v>218</v>
      </c>
      <c r="K42" s="150" t="s">
        <v>347</v>
      </c>
      <c r="L42" s="151" t="s">
        <v>216</v>
      </c>
      <c r="M42" s="152" t="s">
        <v>219</v>
      </c>
    </row>
    <row r="43" spans="1:20" x14ac:dyDescent="0.35">
      <c r="B43" s="76">
        <v>5</v>
      </c>
      <c r="C43" s="75" t="s">
        <v>326</v>
      </c>
      <c r="D43" s="74" t="s">
        <v>327</v>
      </c>
      <c r="E43" s="165" t="str">
        <f t="shared" si="8"/>
        <v>Yamaha</v>
      </c>
      <c r="F43" s="166" t="str">
        <f t="shared" si="9"/>
        <v>RX King</v>
      </c>
      <c r="G43" s="167">
        <f t="shared" si="10"/>
        <v>2500000</v>
      </c>
      <c r="H43" s="168">
        <f t="shared" si="11"/>
        <v>711000</v>
      </c>
      <c r="J43" s="153" t="s">
        <v>348</v>
      </c>
      <c r="K43" s="154" t="s">
        <v>349</v>
      </c>
      <c r="L43" s="155">
        <v>1750000</v>
      </c>
      <c r="M43" s="156">
        <v>608000</v>
      </c>
    </row>
    <row r="44" spans="1:20" x14ac:dyDescent="0.35">
      <c r="B44" s="76">
        <v>6</v>
      </c>
      <c r="C44" s="75" t="s">
        <v>328</v>
      </c>
      <c r="D44" s="74" t="s">
        <v>329</v>
      </c>
      <c r="E44" s="165" t="str">
        <f t="shared" si="8"/>
        <v>Yamaha</v>
      </c>
      <c r="F44" s="166" t="str">
        <f t="shared" si="9"/>
        <v>Vega R</v>
      </c>
      <c r="G44" s="167">
        <f t="shared" si="10"/>
        <v>1250000</v>
      </c>
      <c r="H44" s="168">
        <f t="shared" si="11"/>
        <v>481000</v>
      </c>
      <c r="J44" s="153" t="s">
        <v>350</v>
      </c>
      <c r="K44" s="154" t="s">
        <v>351</v>
      </c>
      <c r="L44" s="155">
        <v>1500000</v>
      </c>
      <c r="M44" s="156">
        <v>504000</v>
      </c>
    </row>
    <row r="45" spans="1:20" x14ac:dyDescent="0.35">
      <c r="B45" s="76">
        <v>7</v>
      </c>
      <c r="C45" s="75" t="s">
        <v>330</v>
      </c>
      <c r="D45" s="74" t="s">
        <v>331</v>
      </c>
      <c r="E45" s="165" t="str">
        <f t="shared" si="8"/>
        <v>Honda</v>
      </c>
      <c r="F45" s="166" t="str">
        <f t="shared" si="9"/>
        <v>Supra Fit</v>
      </c>
      <c r="G45" s="167">
        <f t="shared" si="10"/>
        <v>1750000</v>
      </c>
      <c r="H45" s="168">
        <f t="shared" si="11"/>
        <v>566000</v>
      </c>
      <c r="J45" s="153" t="s">
        <v>241</v>
      </c>
      <c r="K45" s="154" t="s">
        <v>352</v>
      </c>
      <c r="L45" s="155">
        <v>1500000</v>
      </c>
      <c r="M45" s="156">
        <v>634000</v>
      </c>
    </row>
    <row r="46" spans="1:20" x14ac:dyDescent="0.35">
      <c r="B46" s="76">
        <v>8</v>
      </c>
      <c r="C46" s="75" t="s">
        <v>332</v>
      </c>
      <c r="D46" s="74" t="s">
        <v>333</v>
      </c>
      <c r="E46" s="165" t="str">
        <f t="shared" si="8"/>
        <v>Honda</v>
      </c>
      <c r="F46" s="166" t="str">
        <f t="shared" si="9"/>
        <v>Tiger</v>
      </c>
      <c r="G46" s="167">
        <f t="shared" si="10"/>
        <v>3000000</v>
      </c>
      <c r="H46" s="168">
        <f t="shared" si="11"/>
        <v>915000</v>
      </c>
      <c r="J46" s="153" t="s">
        <v>353</v>
      </c>
      <c r="K46" s="154" t="s">
        <v>354</v>
      </c>
      <c r="L46" s="155">
        <v>2500000</v>
      </c>
      <c r="M46" s="156">
        <v>711000</v>
      </c>
    </row>
    <row r="47" spans="1:20" x14ac:dyDescent="0.35">
      <c r="B47" s="76">
        <v>9</v>
      </c>
      <c r="C47" s="75" t="s">
        <v>334</v>
      </c>
      <c r="D47" s="74" t="s">
        <v>335</v>
      </c>
      <c r="E47" s="165" t="str">
        <f t="shared" si="8"/>
        <v>Honda</v>
      </c>
      <c r="F47" s="166" t="str">
        <f t="shared" si="9"/>
        <v>Tiger</v>
      </c>
      <c r="G47" s="167">
        <f t="shared" si="10"/>
        <v>3000000</v>
      </c>
      <c r="H47" s="168">
        <f t="shared" si="11"/>
        <v>915000</v>
      </c>
      <c r="J47" s="157" t="s">
        <v>355</v>
      </c>
      <c r="K47" s="158" t="s">
        <v>356</v>
      </c>
      <c r="L47" s="159">
        <v>1250000</v>
      </c>
      <c r="M47" s="160">
        <v>481000</v>
      </c>
    </row>
    <row r="48" spans="1:20" x14ac:dyDescent="0.35">
      <c r="B48" s="76">
        <v>10</v>
      </c>
      <c r="C48" s="75" t="s">
        <v>336</v>
      </c>
      <c r="D48" s="74" t="s">
        <v>337</v>
      </c>
      <c r="E48" s="165" t="str">
        <f t="shared" si="8"/>
        <v>Yamaha</v>
      </c>
      <c r="F48" s="166" t="str">
        <f t="shared" si="9"/>
        <v>Mio</v>
      </c>
      <c r="G48" s="167">
        <f t="shared" si="10"/>
        <v>1500000</v>
      </c>
      <c r="H48" s="168">
        <f t="shared" si="11"/>
        <v>504000</v>
      </c>
      <c r="J48" s="161" t="s">
        <v>357</v>
      </c>
      <c r="K48" s="162" t="s">
        <v>358</v>
      </c>
      <c r="L48" s="163">
        <v>1200000</v>
      </c>
      <c r="M48" s="164">
        <v>652000</v>
      </c>
    </row>
    <row r="49" spans="1:20" x14ac:dyDescent="0.35">
      <c r="B49" s="76">
        <v>11</v>
      </c>
      <c r="C49" s="75" t="s">
        <v>338</v>
      </c>
      <c r="D49" s="74" t="s">
        <v>339</v>
      </c>
      <c r="E49" s="165" t="str">
        <f t="shared" si="8"/>
        <v>Honda</v>
      </c>
      <c r="F49" s="166" t="str">
        <f t="shared" si="9"/>
        <v>Kharisma</v>
      </c>
      <c r="G49" s="167">
        <f t="shared" si="10"/>
        <v>1200000</v>
      </c>
      <c r="H49" s="168">
        <f t="shared" si="11"/>
        <v>652000</v>
      </c>
      <c r="J49" s="82" t="s">
        <v>359</v>
      </c>
      <c r="K49" s="80" t="s">
        <v>360</v>
      </c>
      <c r="L49" s="81">
        <v>1750000</v>
      </c>
      <c r="M49" s="83">
        <v>566000</v>
      </c>
    </row>
    <row r="50" spans="1:20" x14ac:dyDescent="0.35">
      <c r="B50" s="76">
        <v>12</v>
      </c>
      <c r="C50" s="75" t="s">
        <v>340</v>
      </c>
      <c r="D50" s="74" t="s">
        <v>341</v>
      </c>
      <c r="E50" s="165" t="str">
        <f t="shared" si="8"/>
        <v>Yamaha</v>
      </c>
      <c r="F50" s="166" t="str">
        <f t="shared" si="9"/>
        <v>Jupiter</v>
      </c>
      <c r="G50" s="167">
        <f t="shared" si="10"/>
        <v>1750000</v>
      </c>
      <c r="H50" s="168">
        <f t="shared" si="11"/>
        <v>608000</v>
      </c>
      <c r="J50" s="82" t="s">
        <v>361</v>
      </c>
      <c r="K50" s="80" t="s">
        <v>362</v>
      </c>
      <c r="L50" s="81">
        <v>2000000</v>
      </c>
      <c r="M50" s="83">
        <v>531000</v>
      </c>
    </row>
    <row r="51" spans="1:20" ht="15" thickBot="1" x14ac:dyDescent="0.4">
      <c r="B51" s="77">
        <v>13</v>
      </c>
      <c r="C51" s="78" t="s">
        <v>342</v>
      </c>
      <c r="D51" s="79" t="s">
        <v>343</v>
      </c>
      <c r="E51" s="165" t="str">
        <f t="shared" si="8"/>
        <v>Honda</v>
      </c>
      <c r="F51" s="166" t="str">
        <f t="shared" si="9"/>
        <v>Supra X</v>
      </c>
      <c r="G51" s="167">
        <f t="shared" si="10"/>
        <v>2000000</v>
      </c>
      <c r="H51" s="168">
        <f t="shared" si="11"/>
        <v>531000</v>
      </c>
      <c r="J51" s="84" t="s">
        <v>363</v>
      </c>
      <c r="K51" s="85" t="s">
        <v>364</v>
      </c>
      <c r="L51" s="86">
        <v>3000000</v>
      </c>
      <c r="M51" s="87">
        <v>915000</v>
      </c>
    </row>
    <row r="53" spans="1:20" x14ac:dyDescent="0.35">
      <c r="A53" s="241"/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</row>
    <row r="54" spans="1:20" ht="18.5" thickBot="1" x14ac:dyDescent="0.45">
      <c r="B54" s="120" t="s">
        <v>366</v>
      </c>
      <c r="F54" s="121"/>
      <c r="G54" s="121"/>
      <c r="H54" s="121"/>
    </row>
    <row r="55" spans="1:20" ht="15" thickBot="1" x14ac:dyDescent="0.4">
      <c r="F55" s="121"/>
      <c r="G55" s="186">
        <f ca="1">NOW()</f>
        <v>45483.915958217593</v>
      </c>
      <c r="H55" s="121"/>
    </row>
    <row r="56" spans="1:20" x14ac:dyDescent="0.35">
      <c r="B56" s="264" t="s">
        <v>212</v>
      </c>
      <c r="C56" s="266" t="s">
        <v>367</v>
      </c>
      <c r="D56" s="253" t="s">
        <v>368</v>
      </c>
      <c r="E56" s="266" t="s">
        <v>369</v>
      </c>
      <c r="F56" s="253" t="s">
        <v>370</v>
      </c>
      <c r="G56" s="253" t="s">
        <v>371</v>
      </c>
      <c r="H56" s="253" t="s">
        <v>372</v>
      </c>
      <c r="I56" s="253" t="s">
        <v>373</v>
      </c>
      <c r="J56" s="253" t="s">
        <v>374</v>
      </c>
      <c r="K56" s="255" t="s">
        <v>375</v>
      </c>
    </row>
    <row r="57" spans="1:20" x14ac:dyDescent="0.35">
      <c r="B57" s="265"/>
      <c r="C57" s="267"/>
      <c r="D57" s="254"/>
      <c r="E57" s="267"/>
      <c r="F57" s="254"/>
      <c r="G57" s="254"/>
      <c r="H57" s="254"/>
      <c r="I57" s="254"/>
      <c r="J57" s="254"/>
      <c r="K57" s="256"/>
    </row>
    <row r="58" spans="1:20" x14ac:dyDescent="0.35">
      <c r="B58" s="76">
        <v>1</v>
      </c>
      <c r="C58" s="75" t="s">
        <v>318</v>
      </c>
      <c r="D58" s="74">
        <v>10110</v>
      </c>
      <c r="E58" s="122">
        <v>36312</v>
      </c>
      <c r="F58" s="74">
        <v>1</v>
      </c>
      <c r="G58" s="182">
        <f>DATEDIF(E58,DATEVALUE("10 July 2024"),"MD")</f>
        <v>9</v>
      </c>
      <c r="H58" s="183">
        <f>VLOOKUP(F58,$B$73:$H$78,2,0)</f>
        <v>7500000</v>
      </c>
      <c r="I58" s="183">
        <f>IF(G58&gt;=15, VLOOKUP(F58,$B$73:$H$78, 3,FALSE)*H58,IF(G58&gt;=10, VLOOKUP(F58,$B$73:$H$78,4,FALSE)*H58,IF(G58&gt;=5, VLOOKUP(F58,$B$73:$H$78,5,FALSE)*H58, VLOOKUP(F58, $B$73:$H$78,6,FALSE)*H58)))</f>
        <v>75000000</v>
      </c>
      <c r="J58" s="183">
        <f>IF(G58&gt;=15,VLOOKUP(F58,$B$73:$H$78,7,0)*H58,0)</f>
        <v>0</v>
      </c>
      <c r="K58" s="184">
        <f>I58+J58</f>
        <v>75000000</v>
      </c>
    </row>
    <row r="59" spans="1:20" x14ac:dyDescent="0.35">
      <c r="B59" s="76">
        <v>2</v>
      </c>
      <c r="C59" s="75" t="s">
        <v>320</v>
      </c>
      <c r="D59" s="74">
        <v>10112</v>
      </c>
      <c r="E59" s="122">
        <v>37937</v>
      </c>
      <c r="F59" s="74">
        <v>3</v>
      </c>
      <c r="G59" s="182">
        <f t="shared" ref="G59:G70" si="12">DATEDIF(E59,DATEVALUE("10 July 2024"),"MD")</f>
        <v>28</v>
      </c>
      <c r="H59" s="183">
        <f t="shared" ref="H59:H70" si="13">VLOOKUP(F59,$B$73:$H$78,2,0)</f>
        <v>4600000</v>
      </c>
      <c r="I59" s="183">
        <f t="shared" ref="I59:I70" si="14">IF(G59&gt;=15, VLOOKUP(F59,$B$73:$H$78, 3,FALSE)*H59,IF(G59&gt;=10, VLOOKUP(F59,$B$73:$H$78,4,FALSE)*H59,IF(G59&gt;=5, VLOOKUP(F59,$B$73:$H$78,5,FALSE)*H59, VLOOKUP(F59, $B$73:$H$78,6,FALSE)*H59)))</f>
        <v>46000000</v>
      </c>
      <c r="J59" s="183">
        <f t="shared" ref="J59:J70" si="15">IF(G59&gt;=15,VLOOKUP(F59,$B$73:$H$78,7,0)*H59,0)</f>
        <v>13800000</v>
      </c>
      <c r="K59" s="184">
        <f t="shared" ref="K59:K70" si="16">I59+J59</f>
        <v>59800000</v>
      </c>
    </row>
    <row r="60" spans="1:20" x14ac:dyDescent="0.35">
      <c r="B60" s="76">
        <v>3</v>
      </c>
      <c r="C60" s="75" t="s">
        <v>322</v>
      </c>
      <c r="D60" s="74">
        <v>10114</v>
      </c>
      <c r="E60" s="122">
        <v>38720</v>
      </c>
      <c r="F60" s="74">
        <v>3</v>
      </c>
      <c r="G60" s="182">
        <f t="shared" si="12"/>
        <v>7</v>
      </c>
      <c r="H60" s="183">
        <f t="shared" si="13"/>
        <v>4600000</v>
      </c>
      <c r="I60" s="183">
        <f t="shared" si="14"/>
        <v>27600000</v>
      </c>
      <c r="J60" s="183">
        <f t="shared" si="15"/>
        <v>0</v>
      </c>
      <c r="K60" s="184">
        <f t="shared" si="16"/>
        <v>27600000</v>
      </c>
    </row>
    <row r="61" spans="1:20" x14ac:dyDescent="0.35">
      <c r="B61" s="76">
        <v>4</v>
      </c>
      <c r="C61" s="75" t="s">
        <v>324</v>
      </c>
      <c r="D61" s="74">
        <v>10116</v>
      </c>
      <c r="E61" s="122">
        <v>41459</v>
      </c>
      <c r="F61" s="74">
        <v>2</v>
      </c>
      <c r="G61" s="182">
        <f t="shared" si="12"/>
        <v>6</v>
      </c>
      <c r="H61" s="183">
        <f t="shared" si="13"/>
        <v>5450000</v>
      </c>
      <c r="I61" s="183">
        <f t="shared" si="14"/>
        <v>43600000</v>
      </c>
      <c r="J61" s="183">
        <f t="shared" si="15"/>
        <v>0</v>
      </c>
      <c r="K61" s="184">
        <f t="shared" si="16"/>
        <v>43600000</v>
      </c>
    </row>
    <row r="62" spans="1:20" x14ac:dyDescent="0.35">
      <c r="B62" s="76">
        <v>5</v>
      </c>
      <c r="C62" s="75" t="s">
        <v>326</v>
      </c>
      <c r="D62" s="74">
        <v>10118</v>
      </c>
      <c r="E62" s="122">
        <v>42709</v>
      </c>
      <c r="F62" s="74">
        <v>3</v>
      </c>
      <c r="G62" s="182">
        <f t="shared" si="12"/>
        <v>5</v>
      </c>
      <c r="H62" s="183">
        <f t="shared" si="13"/>
        <v>4600000</v>
      </c>
      <c r="I62" s="183">
        <f t="shared" si="14"/>
        <v>27600000</v>
      </c>
      <c r="J62" s="183">
        <f t="shared" si="15"/>
        <v>0</v>
      </c>
      <c r="K62" s="184">
        <f t="shared" si="16"/>
        <v>27600000</v>
      </c>
    </row>
    <row r="63" spans="1:20" x14ac:dyDescent="0.35">
      <c r="B63" s="76">
        <v>6</v>
      </c>
      <c r="C63" s="75" t="s">
        <v>328</v>
      </c>
      <c r="D63" s="74">
        <v>10120</v>
      </c>
      <c r="E63" s="122">
        <v>41645</v>
      </c>
      <c r="F63" s="74">
        <v>2</v>
      </c>
      <c r="G63" s="182">
        <f t="shared" si="12"/>
        <v>4</v>
      </c>
      <c r="H63" s="183">
        <f t="shared" si="13"/>
        <v>5450000</v>
      </c>
      <c r="I63" s="183">
        <f t="shared" si="14"/>
        <v>32700000</v>
      </c>
      <c r="J63" s="183">
        <f t="shared" si="15"/>
        <v>0</v>
      </c>
      <c r="K63" s="184">
        <f t="shared" si="16"/>
        <v>32700000</v>
      </c>
    </row>
    <row r="64" spans="1:20" x14ac:dyDescent="0.35">
      <c r="B64" s="76">
        <v>7</v>
      </c>
      <c r="C64" s="75" t="s">
        <v>330</v>
      </c>
      <c r="D64" s="74">
        <v>10122</v>
      </c>
      <c r="E64" s="122">
        <v>37993</v>
      </c>
      <c r="F64" s="74">
        <v>3</v>
      </c>
      <c r="G64" s="182">
        <f t="shared" si="12"/>
        <v>3</v>
      </c>
      <c r="H64" s="183">
        <f t="shared" si="13"/>
        <v>4600000</v>
      </c>
      <c r="I64" s="183">
        <f t="shared" si="14"/>
        <v>18400000</v>
      </c>
      <c r="J64" s="183">
        <f t="shared" si="15"/>
        <v>0</v>
      </c>
      <c r="K64" s="184">
        <f t="shared" si="16"/>
        <v>18400000</v>
      </c>
    </row>
    <row r="65" spans="2:11" x14ac:dyDescent="0.35">
      <c r="B65" s="76">
        <v>8</v>
      </c>
      <c r="C65" s="75" t="s">
        <v>332</v>
      </c>
      <c r="D65" s="74">
        <v>10124</v>
      </c>
      <c r="E65" s="122">
        <v>42001</v>
      </c>
      <c r="F65" s="74">
        <v>1</v>
      </c>
      <c r="G65" s="182">
        <f t="shared" si="12"/>
        <v>12</v>
      </c>
      <c r="H65" s="183">
        <f t="shared" si="13"/>
        <v>7500000</v>
      </c>
      <c r="I65" s="183">
        <f t="shared" si="14"/>
        <v>90000000</v>
      </c>
      <c r="J65" s="183">
        <f t="shared" si="15"/>
        <v>0</v>
      </c>
      <c r="K65" s="184">
        <f t="shared" si="16"/>
        <v>90000000</v>
      </c>
    </row>
    <row r="66" spans="2:11" x14ac:dyDescent="0.35">
      <c r="B66" s="76">
        <v>9</v>
      </c>
      <c r="C66" s="75" t="s">
        <v>334</v>
      </c>
      <c r="D66" s="74">
        <v>10126</v>
      </c>
      <c r="E66" s="122">
        <v>42043</v>
      </c>
      <c r="F66" s="74">
        <v>3</v>
      </c>
      <c r="G66" s="182">
        <f t="shared" si="12"/>
        <v>2</v>
      </c>
      <c r="H66" s="183">
        <f t="shared" si="13"/>
        <v>4600000</v>
      </c>
      <c r="I66" s="183">
        <f t="shared" si="14"/>
        <v>18400000</v>
      </c>
      <c r="J66" s="183">
        <f t="shared" si="15"/>
        <v>0</v>
      </c>
      <c r="K66" s="184">
        <f t="shared" si="16"/>
        <v>18400000</v>
      </c>
    </row>
    <row r="67" spans="2:11" x14ac:dyDescent="0.35">
      <c r="B67" s="76">
        <v>10</v>
      </c>
      <c r="C67" s="75" t="s">
        <v>336</v>
      </c>
      <c r="D67" s="74">
        <v>10128</v>
      </c>
      <c r="E67" s="122">
        <v>39100</v>
      </c>
      <c r="F67" s="74">
        <v>2</v>
      </c>
      <c r="G67" s="182">
        <f t="shared" si="12"/>
        <v>22</v>
      </c>
      <c r="H67" s="183">
        <f t="shared" si="13"/>
        <v>5450000</v>
      </c>
      <c r="I67" s="183">
        <f t="shared" si="14"/>
        <v>65400000</v>
      </c>
      <c r="J67" s="183">
        <f t="shared" si="15"/>
        <v>21800000</v>
      </c>
      <c r="K67" s="184">
        <f t="shared" si="16"/>
        <v>87200000</v>
      </c>
    </row>
    <row r="68" spans="2:11" x14ac:dyDescent="0.35">
      <c r="B68" s="76">
        <v>11</v>
      </c>
      <c r="C68" s="75" t="s">
        <v>338</v>
      </c>
      <c r="D68" s="74">
        <v>10130</v>
      </c>
      <c r="E68" s="122">
        <v>38299</v>
      </c>
      <c r="F68" s="74">
        <v>4</v>
      </c>
      <c r="G68" s="182">
        <f t="shared" si="12"/>
        <v>2</v>
      </c>
      <c r="H68" s="183">
        <f t="shared" si="13"/>
        <v>3550000</v>
      </c>
      <c r="I68" s="183">
        <f t="shared" si="14"/>
        <v>10650000</v>
      </c>
      <c r="J68" s="183">
        <f t="shared" si="15"/>
        <v>0</v>
      </c>
      <c r="K68" s="184">
        <f t="shared" si="16"/>
        <v>10650000</v>
      </c>
    </row>
    <row r="69" spans="2:11" x14ac:dyDescent="0.35">
      <c r="B69" s="76">
        <v>12</v>
      </c>
      <c r="C69" s="75" t="s">
        <v>340</v>
      </c>
      <c r="D69" s="74">
        <v>10132</v>
      </c>
      <c r="E69" s="122">
        <v>38633</v>
      </c>
      <c r="F69" s="74">
        <v>4</v>
      </c>
      <c r="G69" s="182">
        <f t="shared" si="12"/>
        <v>2</v>
      </c>
      <c r="H69" s="183">
        <f t="shared" si="13"/>
        <v>3550000</v>
      </c>
      <c r="I69" s="183">
        <f t="shared" si="14"/>
        <v>10650000</v>
      </c>
      <c r="J69" s="183">
        <f t="shared" si="15"/>
        <v>0</v>
      </c>
      <c r="K69" s="184">
        <f t="shared" si="16"/>
        <v>10650000</v>
      </c>
    </row>
    <row r="70" spans="2:11" ht="15" thickBot="1" x14ac:dyDescent="0.4">
      <c r="B70" s="77">
        <v>13</v>
      </c>
      <c r="C70" s="78" t="s">
        <v>342</v>
      </c>
      <c r="D70" s="79">
        <v>10134</v>
      </c>
      <c r="E70" s="129">
        <v>40196</v>
      </c>
      <c r="F70" s="79">
        <v>4</v>
      </c>
      <c r="G70" s="182">
        <f t="shared" si="12"/>
        <v>22</v>
      </c>
      <c r="H70" s="183">
        <f t="shared" si="13"/>
        <v>3550000</v>
      </c>
      <c r="I70" s="183">
        <f t="shared" si="14"/>
        <v>28400000</v>
      </c>
      <c r="J70" s="183">
        <f t="shared" si="15"/>
        <v>7100000</v>
      </c>
      <c r="K70" s="184">
        <f t="shared" si="16"/>
        <v>35500000</v>
      </c>
    </row>
    <row r="72" spans="2:11" ht="16" thickBot="1" x14ac:dyDescent="0.4">
      <c r="B72" s="17" t="s">
        <v>380</v>
      </c>
    </row>
    <row r="73" spans="2:11" ht="25.5" customHeight="1" x14ac:dyDescent="0.35">
      <c r="B73" s="257" t="s">
        <v>376</v>
      </c>
      <c r="C73" s="259" t="s">
        <v>377</v>
      </c>
      <c r="D73" s="261" t="s">
        <v>378</v>
      </c>
      <c r="E73" s="261"/>
      <c r="F73" s="261"/>
      <c r="G73" s="261"/>
      <c r="H73" s="262" t="s">
        <v>379</v>
      </c>
    </row>
    <row r="74" spans="2:11" x14ac:dyDescent="0.35">
      <c r="B74" s="258"/>
      <c r="C74" s="260"/>
      <c r="D74" s="172">
        <v>15</v>
      </c>
      <c r="E74" s="172">
        <v>10</v>
      </c>
      <c r="F74" s="172">
        <v>5</v>
      </c>
      <c r="G74" s="173">
        <v>5</v>
      </c>
      <c r="H74" s="263"/>
    </row>
    <row r="75" spans="2:11" x14ac:dyDescent="0.35">
      <c r="B75" s="176">
        <v>1</v>
      </c>
      <c r="C75" s="174">
        <v>7500000</v>
      </c>
      <c r="D75" s="175">
        <v>15</v>
      </c>
      <c r="E75" s="175">
        <v>12</v>
      </c>
      <c r="F75" s="175">
        <v>10</v>
      </c>
      <c r="G75" s="175">
        <v>8</v>
      </c>
      <c r="H75" s="177">
        <v>5</v>
      </c>
    </row>
    <row r="76" spans="2:11" x14ac:dyDescent="0.35">
      <c r="B76" s="176">
        <v>2</v>
      </c>
      <c r="C76" s="174">
        <v>5450000</v>
      </c>
      <c r="D76" s="175">
        <v>12</v>
      </c>
      <c r="E76" s="175">
        <v>10</v>
      </c>
      <c r="F76" s="175">
        <v>8</v>
      </c>
      <c r="G76" s="175">
        <v>6</v>
      </c>
      <c r="H76" s="177">
        <v>4</v>
      </c>
    </row>
    <row r="77" spans="2:11" x14ac:dyDescent="0.35">
      <c r="B77" s="176">
        <v>3</v>
      </c>
      <c r="C77" s="174">
        <v>4600000</v>
      </c>
      <c r="D77" s="175">
        <v>10</v>
      </c>
      <c r="E77" s="175">
        <v>8</v>
      </c>
      <c r="F77" s="175">
        <v>6</v>
      </c>
      <c r="G77" s="175">
        <v>4</v>
      </c>
      <c r="H77" s="177">
        <v>3</v>
      </c>
    </row>
    <row r="78" spans="2:11" ht="15" thickBot="1" x14ac:dyDescent="0.4">
      <c r="B78" s="178">
        <v>4</v>
      </c>
      <c r="C78" s="179">
        <v>3550000</v>
      </c>
      <c r="D78" s="180">
        <v>8</v>
      </c>
      <c r="E78" s="180">
        <v>6</v>
      </c>
      <c r="F78" s="180">
        <v>4</v>
      </c>
      <c r="G78" s="180">
        <v>3</v>
      </c>
      <c r="H78" s="181">
        <v>2</v>
      </c>
    </row>
  </sheetData>
  <sortState xmlns:xlrd2="http://schemas.microsoft.com/office/spreadsheetml/2017/richdata2" ref="E4:E20">
    <sortCondition ref="E4:E20"/>
  </sortState>
  <mergeCells count="14">
    <mergeCell ref="H56:H57"/>
    <mergeCell ref="I56:I57"/>
    <mergeCell ref="J56:J57"/>
    <mergeCell ref="K56:K57"/>
    <mergeCell ref="B73:B74"/>
    <mergeCell ref="C73:C74"/>
    <mergeCell ref="D73:G73"/>
    <mergeCell ref="H73:H74"/>
    <mergeCell ref="B56:B57"/>
    <mergeCell ref="C56:C57"/>
    <mergeCell ref="D56:D57"/>
    <mergeCell ref="E56:E57"/>
    <mergeCell ref="F56:F57"/>
    <mergeCell ref="G56:G57"/>
  </mergeCell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DBCD8DAD-06BF-47E7-ABD5-A8031DC10079}">
            <xm:f>E39&lt;&gt;'ans1'!E39</xm:f>
            <x14:dxf>
              <fill>
                <patternFill>
                  <bgColor rgb="FFFF9999"/>
                </patternFill>
              </fill>
            </x14:dxf>
          </x14:cfRule>
          <x14:cfRule type="expression" priority="4" id="{5F0F6868-4EBC-45A9-BF88-28CFCFAD29E1}">
            <xm:f>E39='ans1'!E39</xm:f>
            <x14:dxf>
              <fill>
                <patternFill>
                  <bgColor theme="9" tint="0.59996337778862885"/>
                </patternFill>
              </fill>
            </x14:dxf>
          </x14:cfRule>
          <xm:sqref>E39:H51</xm:sqref>
        </x14:conditionalFormatting>
        <x14:conditionalFormatting xmlns:xm="http://schemas.microsoft.com/office/excel/2006/main">
          <x14:cfRule type="expression" priority="1" id="{36EE29F3-A51B-42B3-9FCA-AB231D9573CE}">
            <xm:f>G58&lt;&gt;'ans1'!G58</xm:f>
            <x14:dxf>
              <fill>
                <patternFill>
                  <bgColor rgb="FFFF9999"/>
                </patternFill>
              </fill>
            </x14:dxf>
          </x14:cfRule>
          <x14:cfRule type="expression" priority="2" id="{A55DC945-AB0C-489D-99CD-C75649F5AD2F}">
            <xm:f>G58='ans1'!G58</xm:f>
            <x14:dxf>
              <fill>
                <patternFill>
                  <bgColor theme="9" tint="0.59996337778862885"/>
                </patternFill>
              </fill>
            </x14:dxf>
          </x14:cfRule>
          <xm:sqref>G58:K70</xm:sqref>
        </x14:conditionalFormatting>
        <x14:conditionalFormatting xmlns:xm="http://schemas.microsoft.com/office/excel/2006/main">
          <x14:cfRule type="expression" priority="7" id="{63A5ED16-AA1B-426F-B7E7-803653BB5C98}">
            <xm:f>H9='ans1'!H9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8" id="{210DCEDC-BC7C-42EE-AE4E-8E8C6A6BFA63}">
            <xm:f>H9&lt;&gt;'ans1'!H9</xm:f>
            <x14:dxf>
              <fill>
                <patternFill>
                  <bgColor rgb="FFFF9999"/>
                </patternFill>
              </fill>
            </x14:dxf>
          </x14:cfRule>
          <xm:sqref>H9:J18</xm:sqref>
        </x14:conditionalFormatting>
        <x14:conditionalFormatting xmlns:xm="http://schemas.microsoft.com/office/excel/2006/main">
          <x14:cfRule type="expression" priority="5" id="{38766343-73F0-4D14-9AB8-6EBCB4D099C1}">
            <xm:f>I24&lt;&gt;'ans1'!I24</xm:f>
            <x14:dxf>
              <fill>
                <patternFill>
                  <bgColor rgb="FFFF9999"/>
                </patternFill>
              </fill>
            </x14:dxf>
          </x14:cfRule>
          <x14:cfRule type="expression" priority="6" id="{34FD346C-FD2E-4855-800C-9644119ACEE0}">
            <xm:f>I24='ans1'!I24</xm:f>
            <x14:dxf>
              <fill>
                <patternFill>
                  <bgColor theme="9" tint="0.59996337778862885"/>
                </patternFill>
              </fill>
            </x14:dxf>
          </x14:cfRule>
          <xm:sqref>I24:M32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98B0-5128-4C0E-B0E8-BAF798992D1F}">
  <dimension ref="A1:T58"/>
  <sheetViews>
    <sheetView showGridLines="0" topLeftCell="A31" workbookViewId="0">
      <selection activeCell="H51" sqref="H51"/>
    </sheetView>
  </sheetViews>
  <sheetFormatPr defaultRowHeight="14.5" x14ac:dyDescent="0.35"/>
  <cols>
    <col min="1" max="1" width="3.26953125" customWidth="1"/>
    <col min="3" max="3" width="14.54296875" bestFit="1" customWidth="1"/>
    <col min="4" max="4" width="10.26953125" bestFit="1" customWidth="1"/>
    <col min="5" max="5" width="11.453125" bestFit="1" customWidth="1"/>
    <col min="6" max="6" width="15" bestFit="1" customWidth="1"/>
    <col min="7" max="7" width="11.81640625" bestFit="1" customWidth="1"/>
    <col min="8" max="8" width="13.81640625" style="121" bestFit="1" customWidth="1"/>
    <col min="9" max="9" width="12.453125" bestFit="1" customWidth="1"/>
    <col min="10" max="10" width="12.7265625" bestFit="1" customWidth="1"/>
    <col min="11" max="11" width="14.453125" bestFit="1" customWidth="1"/>
    <col min="12" max="12" width="1.453125" customWidth="1"/>
    <col min="13" max="13" width="10.54296875" bestFit="1" customWidth="1"/>
    <col min="14" max="14" width="19.26953125" bestFit="1" customWidth="1"/>
    <col min="15" max="15" width="16.7265625" bestFit="1" customWidth="1"/>
    <col min="16" max="16" width="11.453125" bestFit="1" customWidth="1"/>
  </cols>
  <sheetData>
    <row r="1" spans="2:15" ht="23.5" x14ac:dyDescent="0.35">
      <c r="B1" s="1" t="s">
        <v>381</v>
      </c>
    </row>
    <row r="2" spans="2:15" ht="18" x14ac:dyDescent="0.4">
      <c r="B2" s="120" t="s">
        <v>383</v>
      </c>
      <c r="F2" s="121"/>
      <c r="G2" s="121"/>
      <c r="I2" s="121"/>
    </row>
    <row r="3" spans="2:15" ht="15" thickBot="1" x14ac:dyDescent="0.4">
      <c r="F3" s="121"/>
      <c r="G3" s="121"/>
      <c r="I3" s="121"/>
    </row>
    <row r="4" spans="2:15" ht="15" thickBot="1" x14ac:dyDescent="0.4">
      <c r="B4" s="274" t="s">
        <v>212</v>
      </c>
      <c r="C4" s="270" t="s">
        <v>367</v>
      </c>
      <c r="D4" s="268" t="s">
        <v>218</v>
      </c>
      <c r="E4" s="276" t="s">
        <v>384</v>
      </c>
      <c r="F4" s="268" t="s">
        <v>385</v>
      </c>
      <c r="G4" s="268" t="s">
        <v>386</v>
      </c>
      <c r="H4" s="268" t="s">
        <v>387</v>
      </c>
      <c r="I4" s="270" t="s">
        <v>388</v>
      </c>
      <c r="J4" s="268" t="s">
        <v>389</v>
      </c>
      <c r="K4" s="272" t="s">
        <v>390</v>
      </c>
    </row>
    <row r="5" spans="2:15" x14ac:dyDescent="0.35">
      <c r="B5" s="275"/>
      <c r="C5" s="271"/>
      <c r="D5" s="269"/>
      <c r="E5" s="277"/>
      <c r="F5" s="269"/>
      <c r="G5" s="269"/>
      <c r="H5" s="269"/>
      <c r="I5" s="271"/>
      <c r="J5" s="269"/>
      <c r="K5" s="273"/>
      <c r="N5" s="146" t="s">
        <v>412</v>
      </c>
      <c r="O5" s="125" t="s">
        <v>413</v>
      </c>
    </row>
    <row r="6" spans="2:15" x14ac:dyDescent="0.35">
      <c r="B6" s="76">
        <v>1</v>
      </c>
      <c r="C6" s="75" t="s">
        <v>391</v>
      </c>
      <c r="D6" s="74" t="s">
        <v>392</v>
      </c>
      <c r="E6" s="197"/>
      <c r="F6" s="198"/>
      <c r="G6" s="199"/>
      <c r="H6" s="187">
        <v>15</v>
      </c>
      <c r="I6" s="201"/>
      <c r="J6" s="183"/>
      <c r="K6" s="202"/>
      <c r="M6" s="245"/>
      <c r="N6" s="190" t="s">
        <v>414</v>
      </c>
      <c r="O6" s="191" t="s">
        <v>415</v>
      </c>
    </row>
    <row r="7" spans="2:15" x14ac:dyDescent="0.35">
      <c r="B7" s="76">
        <v>2</v>
      </c>
      <c r="C7" s="75" t="s">
        <v>118</v>
      </c>
      <c r="D7" s="74" t="s">
        <v>393</v>
      </c>
      <c r="E7" s="197"/>
      <c r="F7" s="198"/>
      <c r="G7" s="199"/>
      <c r="H7" s="187">
        <v>24</v>
      </c>
      <c r="I7" s="201"/>
      <c r="J7" s="183"/>
      <c r="K7" s="202"/>
      <c r="N7" s="190" t="s">
        <v>416</v>
      </c>
      <c r="O7" s="191" t="s">
        <v>417</v>
      </c>
    </row>
    <row r="8" spans="2:15" x14ac:dyDescent="0.35">
      <c r="B8" s="76">
        <v>3</v>
      </c>
      <c r="C8" s="75" t="s">
        <v>394</v>
      </c>
      <c r="D8" s="74" t="s">
        <v>395</v>
      </c>
      <c r="E8" s="197"/>
      <c r="F8" s="198"/>
      <c r="G8" s="199"/>
      <c r="H8" s="187">
        <v>30</v>
      </c>
      <c r="I8" s="201"/>
      <c r="J8" s="183"/>
      <c r="K8" s="202"/>
      <c r="N8" s="190" t="s">
        <v>418</v>
      </c>
      <c r="O8" s="191" t="s">
        <v>419</v>
      </c>
    </row>
    <row r="9" spans="2:15" ht="15" thickBot="1" x14ac:dyDescent="0.4">
      <c r="B9" s="76">
        <v>4</v>
      </c>
      <c r="C9" s="75" t="s">
        <v>396</v>
      </c>
      <c r="D9" s="74" t="s">
        <v>397</v>
      </c>
      <c r="E9" s="197"/>
      <c r="F9" s="198"/>
      <c r="G9" s="199"/>
      <c r="H9" s="187">
        <v>6</v>
      </c>
      <c r="I9" s="201"/>
      <c r="J9" s="183"/>
      <c r="K9" s="202"/>
      <c r="N9" s="192" t="s">
        <v>420</v>
      </c>
      <c r="O9" s="193" t="s">
        <v>421</v>
      </c>
    </row>
    <row r="10" spans="2:15" ht="15" thickBot="1" x14ac:dyDescent="0.4">
      <c r="B10" s="76">
        <v>5</v>
      </c>
      <c r="C10" s="75" t="s">
        <v>398</v>
      </c>
      <c r="D10" s="74" t="s">
        <v>393</v>
      </c>
      <c r="E10" s="197"/>
      <c r="F10" s="198"/>
      <c r="G10" s="199"/>
      <c r="H10" s="187">
        <v>55</v>
      </c>
      <c r="I10" s="201"/>
      <c r="J10" s="183"/>
      <c r="K10" s="202"/>
    </row>
    <row r="11" spans="2:15" x14ac:dyDescent="0.35">
      <c r="B11" s="76">
        <v>6</v>
      </c>
      <c r="C11" s="75" t="s">
        <v>399</v>
      </c>
      <c r="D11" s="74" t="s">
        <v>400</v>
      </c>
      <c r="E11" s="197"/>
      <c r="F11" s="198"/>
      <c r="G11" s="199"/>
      <c r="H11" s="187">
        <v>47</v>
      </c>
      <c r="I11" s="201"/>
      <c r="J11" s="183"/>
      <c r="K11" s="202"/>
      <c r="N11" s="146" t="s">
        <v>422</v>
      </c>
      <c r="O11" s="125" t="s">
        <v>389</v>
      </c>
    </row>
    <row r="12" spans="2:15" x14ac:dyDescent="0.35">
      <c r="B12" s="76">
        <v>7</v>
      </c>
      <c r="C12" s="75" t="s">
        <v>401</v>
      </c>
      <c r="D12" s="74" t="s">
        <v>402</v>
      </c>
      <c r="E12" s="197"/>
      <c r="F12" s="198"/>
      <c r="G12" s="199"/>
      <c r="H12" s="187">
        <v>12</v>
      </c>
      <c r="I12" s="201"/>
      <c r="J12" s="183"/>
      <c r="K12" s="202"/>
      <c r="N12" s="190" t="s">
        <v>32</v>
      </c>
      <c r="O12" s="194">
        <v>0.3</v>
      </c>
    </row>
    <row r="13" spans="2:15" x14ac:dyDescent="0.35">
      <c r="B13" s="76">
        <v>8</v>
      </c>
      <c r="C13" s="75" t="s">
        <v>403</v>
      </c>
      <c r="D13" s="74" t="s">
        <v>404</v>
      </c>
      <c r="E13" s="197"/>
      <c r="F13" s="198"/>
      <c r="G13" s="199"/>
      <c r="H13" s="187">
        <v>8</v>
      </c>
      <c r="I13" s="201"/>
      <c r="J13" s="183"/>
      <c r="K13" s="202"/>
      <c r="N13" s="190" t="s">
        <v>21</v>
      </c>
      <c r="O13" s="194">
        <v>0.25</v>
      </c>
    </row>
    <row r="14" spans="2:15" x14ac:dyDescent="0.35">
      <c r="B14" s="76">
        <v>9</v>
      </c>
      <c r="C14" s="75" t="s">
        <v>405</v>
      </c>
      <c r="D14" s="74" t="s">
        <v>406</v>
      </c>
      <c r="E14" s="197"/>
      <c r="F14" s="198"/>
      <c r="G14" s="199"/>
      <c r="H14" s="187">
        <v>45</v>
      </c>
      <c r="I14" s="201"/>
      <c r="J14" s="183"/>
      <c r="K14" s="202"/>
      <c r="N14" s="190" t="s">
        <v>50</v>
      </c>
      <c r="O14" s="194">
        <v>0.2</v>
      </c>
    </row>
    <row r="15" spans="2:15" ht="15" thickBot="1" x14ac:dyDescent="0.4">
      <c r="B15" s="76">
        <v>10</v>
      </c>
      <c r="C15" s="75" t="s">
        <v>407</v>
      </c>
      <c r="D15" s="74" t="s">
        <v>408</v>
      </c>
      <c r="E15" s="197"/>
      <c r="F15" s="198"/>
      <c r="G15" s="199"/>
      <c r="H15" s="187">
        <v>65</v>
      </c>
      <c r="I15" s="201"/>
      <c r="J15" s="183"/>
      <c r="K15" s="202"/>
      <c r="N15" s="192" t="s">
        <v>89</v>
      </c>
      <c r="O15" s="195">
        <v>0.1</v>
      </c>
    </row>
    <row r="16" spans="2:15" ht="15" thickBot="1" x14ac:dyDescent="0.4">
      <c r="B16" s="76">
        <v>11</v>
      </c>
      <c r="C16" s="75" t="s">
        <v>409</v>
      </c>
      <c r="D16" s="74" t="s">
        <v>400</v>
      </c>
      <c r="E16" s="197"/>
      <c r="F16" s="198"/>
      <c r="G16" s="199"/>
      <c r="H16" s="187">
        <v>3</v>
      </c>
      <c r="I16" s="201"/>
      <c r="J16" s="183"/>
      <c r="K16" s="202"/>
    </row>
    <row r="17" spans="1:20" ht="15" thickBot="1" x14ac:dyDescent="0.4">
      <c r="B17" s="77">
        <v>12</v>
      </c>
      <c r="C17" s="78" t="s">
        <v>410</v>
      </c>
      <c r="D17" s="79" t="s">
        <v>411</v>
      </c>
      <c r="E17" s="197"/>
      <c r="F17" s="198"/>
      <c r="G17" s="199"/>
      <c r="H17" s="196">
        <v>8</v>
      </c>
      <c r="I17" s="201"/>
      <c r="J17" s="183"/>
      <c r="K17" s="202"/>
      <c r="N17" s="146" t="s">
        <v>218</v>
      </c>
      <c r="O17" s="125" t="s">
        <v>428</v>
      </c>
      <c r="Q17" s="189"/>
    </row>
    <row r="18" spans="1:20" x14ac:dyDescent="0.35">
      <c r="N18" s="190" t="s">
        <v>96</v>
      </c>
      <c r="O18" s="194" t="s">
        <v>425</v>
      </c>
      <c r="Q18" s="189"/>
    </row>
    <row r="19" spans="1:20" x14ac:dyDescent="0.35">
      <c r="B19" s="16" t="s">
        <v>423</v>
      </c>
      <c r="N19" s="190" t="s">
        <v>429</v>
      </c>
      <c r="O19" s="194" t="s">
        <v>426</v>
      </c>
    </row>
    <row r="20" spans="1:20" x14ac:dyDescent="0.35">
      <c r="B20" s="239" t="s">
        <v>424</v>
      </c>
      <c r="N20" s="190" t="s">
        <v>430</v>
      </c>
      <c r="O20" s="194" t="s">
        <v>427</v>
      </c>
    </row>
    <row r="22" spans="1:20" x14ac:dyDescent="0.35">
      <c r="A22" s="240"/>
      <c r="B22" s="240"/>
      <c r="C22" s="240"/>
      <c r="D22" s="240"/>
      <c r="E22" s="240"/>
      <c r="F22" s="240"/>
      <c r="G22" s="240"/>
      <c r="H22" s="25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</row>
    <row r="23" spans="1:20" ht="18" x14ac:dyDescent="0.4">
      <c r="B23" s="120" t="s">
        <v>431</v>
      </c>
    </row>
    <row r="24" spans="1:20" ht="15" thickBot="1" x14ac:dyDescent="0.4"/>
    <row r="25" spans="1:20" ht="39" x14ac:dyDescent="0.35">
      <c r="B25" s="123" t="s">
        <v>212</v>
      </c>
      <c r="C25" s="147" t="s">
        <v>367</v>
      </c>
      <c r="D25" s="124" t="s">
        <v>214</v>
      </c>
      <c r="E25" s="203" t="s">
        <v>432</v>
      </c>
      <c r="F25" s="203" t="s">
        <v>433</v>
      </c>
      <c r="G25" s="203" t="s">
        <v>434</v>
      </c>
      <c r="H25" s="124" t="s">
        <v>435</v>
      </c>
      <c r="I25" s="204" t="s">
        <v>436</v>
      </c>
      <c r="J25" s="203" t="s">
        <v>437</v>
      </c>
      <c r="K25" s="116" t="s">
        <v>438</v>
      </c>
      <c r="M25" s="146" t="s">
        <v>214</v>
      </c>
      <c r="N25" s="147" t="s">
        <v>432</v>
      </c>
      <c r="O25" s="147" t="s">
        <v>433</v>
      </c>
      <c r="P25" s="205" t="s">
        <v>435</v>
      </c>
    </row>
    <row r="26" spans="1:20" x14ac:dyDescent="0.35">
      <c r="B26" s="76">
        <v>1</v>
      </c>
      <c r="C26" s="75" t="s">
        <v>439</v>
      </c>
      <c r="D26" s="74" t="s">
        <v>440</v>
      </c>
      <c r="E26" s="218"/>
      <c r="F26" s="218"/>
      <c r="G26" s="198"/>
      <c r="H26" s="199"/>
      <c r="I26" s="219"/>
      <c r="J26" s="219"/>
      <c r="K26" s="222"/>
      <c r="M26" s="206" t="s">
        <v>460</v>
      </c>
      <c r="N26" s="188" t="s">
        <v>461</v>
      </c>
      <c r="O26" s="188" t="s">
        <v>462</v>
      </c>
      <c r="P26" s="207">
        <v>220000</v>
      </c>
    </row>
    <row r="27" spans="1:20" x14ac:dyDescent="0.35">
      <c r="B27" s="76">
        <v>2</v>
      </c>
      <c r="C27" s="75" t="s">
        <v>441</v>
      </c>
      <c r="D27" s="74" t="s">
        <v>442</v>
      </c>
      <c r="E27" s="218"/>
      <c r="F27" s="218"/>
      <c r="G27" s="198"/>
      <c r="H27" s="199"/>
      <c r="I27" s="219"/>
      <c r="J27" s="219"/>
      <c r="K27" s="222"/>
      <c r="M27" s="206" t="s">
        <v>463</v>
      </c>
      <c r="N27" s="188" t="s">
        <v>464</v>
      </c>
      <c r="O27" s="188" t="s">
        <v>465</v>
      </c>
      <c r="P27" s="207">
        <v>40000</v>
      </c>
    </row>
    <row r="28" spans="1:20" x14ac:dyDescent="0.35">
      <c r="B28" s="76">
        <v>3</v>
      </c>
      <c r="C28" s="75" t="s">
        <v>443</v>
      </c>
      <c r="D28" s="74" t="s">
        <v>444</v>
      </c>
      <c r="E28" s="218"/>
      <c r="F28" s="218"/>
      <c r="G28" s="198"/>
      <c r="H28" s="199"/>
      <c r="I28" s="219"/>
      <c r="J28" s="219"/>
      <c r="K28" s="222"/>
      <c r="M28" s="206" t="s">
        <v>466</v>
      </c>
      <c r="N28" s="188" t="s">
        <v>467</v>
      </c>
      <c r="O28" s="188" t="s">
        <v>468</v>
      </c>
      <c r="P28" s="207">
        <v>60000</v>
      </c>
    </row>
    <row r="29" spans="1:20" x14ac:dyDescent="0.35">
      <c r="B29" s="76">
        <v>4</v>
      </c>
      <c r="C29" s="75" t="s">
        <v>445</v>
      </c>
      <c r="D29" s="74" t="s">
        <v>446</v>
      </c>
      <c r="E29" s="218"/>
      <c r="F29" s="218"/>
      <c r="G29" s="198"/>
      <c r="H29" s="199"/>
      <c r="I29" s="219" t="s">
        <v>519</v>
      </c>
      <c r="J29" s="219"/>
      <c r="K29" s="222"/>
      <c r="M29" s="206" t="s">
        <v>469</v>
      </c>
      <c r="N29" s="188" t="s">
        <v>470</v>
      </c>
      <c r="O29" s="188" t="s">
        <v>471</v>
      </c>
      <c r="P29" s="207">
        <v>190000</v>
      </c>
    </row>
    <row r="30" spans="1:20" ht="15" thickBot="1" x14ac:dyDescent="0.4">
      <c r="B30" s="76">
        <v>5</v>
      </c>
      <c r="C30" s="75" t="s">
        <v>447</v>
      </c>
      <c r="D30" s="74" t="s">
        <v>448</v>
      </c>
      <c r="E30" s="218"/>
      <c r="F30" s="218"/>
      <c r="G30" s="198"/>
      <c r="H30" s="199"/>
      <c r="I30" s="219"/>
      <c r="J30" s="219"/>
      <c r="K30" s="222"/>
      <c r="M30" s="208" t="s">
        <v>472</v>
      </c>
      <c r="N30" s="209" t="s">
        <v>473</v>
      </c>
      <c r="O30" s="209" t="s">
        <v>474</v>
      </c>
      <c r="P30" s="210">
        <v>120000</v>
      </c>
    </row>
    <row r="31" spans="1:20" ht="15" thickBot="1" x14ac:dyDescent="0.4">
      <c r="B31" s="76">
        <v>6</v>
      </c>
      <c r="C31" s="75" t="s">
        <v>449</v>
      </c>
      <c r="D31" s="74" t="s">
        <v>450</v>
      </c>
      <c r="E31" s="218"/>
      <c r="F31" s="218"/>
      <c r="G31" s="198"/>
      <c r="H31" s="199"/>
      <c r="I31" s="219"/>
      <c r="J31" s="219"/>
      <c r="K31" s="222"/>
    </row>
    <row r="32" spans="1:20" x14ac:dyDescent="0.35">
      <c r="B32" s="76">
        <v>7</v>
      </c>
      <c r="C32" s="75" t="s">
        <v>451</v>
      </c>
      <c r="D32" s="74" t="s">
        <v>444</v>
      </c>
      <c r="E32" s="218"/>
      <c r="F32" s="218"/>
      <c r="G32" s="198"/>
      <c r="H32" s="199"/>
      <c r="I32" s="219"/>
      <c r="J32" s="219"/>
      <c r="K32" s="222"/>
      <c r="M32" s="211" t="s">
        <v>475</v>
      </c>
      <c r="N32" s="147" t="s">
        <v>434</v>
      </c>
      <c r="O32" s="116" t="s">
        <v>436</v>
      </c>
    </row>
    <row r="33" spans="1:20" x14ac:dyDescent="0.35">
      <c r="B33" s="76">
        <v>8</v>
      </c>
      <c r="C33" s="75" t="s">
        <v>452</v>
      </c>
      <c r="D33" s="74" t="s">
        <v>446</v>
      </c>
      <c r="E33" s="218"/>
      <c r="F33" s="218"/>
      <c r="G33" s="198"/>
      <c r="H33" s="199"/>
      <c r="I33" s="219" t="s">
        <v>519</v>
      </c>
      <c r="J33" s="219"/>
      <c r="K33" s="222"/>
      <c r="M33" s="212" t="s">
        <v>476</v>
      </c>
      <c r="N33" s="188" t="s">
        <v>477</v>
      </c>
      <c r="O33" s="194">
        <v>0.25</v>
      </c>
    </row>
    <row r="34" spans="1:20" x14ac:dyDescent="0.35">
      <c r="B34" s="76">
        <v>9</v>
      </c>
      <c r="C34" s="75" t="s">
        <v>453</v>
      </c>
      <c r="D34" s="74" t="s">
        <v>442</v>
      </c>
      <c r="E34" s="218"/>
      <c r="F34" s="218"/>
      <c r="G34" s="198"/>
      <c r="H34" s="199"/>
      <c r="I34" s="219"/>
      <c r="J34" s="219"/>
      <c r="K34" s="222"/>
      <c r="M34" s="212" t="s">
        <v>478</v>
      </c>
      <c r="N34" s="188" t="s">
        <v>479</v>
      </c>
      <c r="O34" s="194">
        <v>0</v>
      </c>
    </row>
    <row r="35" spans="1:20" x14ac:dyDescent="0.35">
      <c r="B35" s="76">
        <v>10</v>
      </c>
      <c r="C35" s="75" t="s">
        <v>454</v>
      </c>
      <c r="D35" s="74" t="s">
        <v>455</v>
      </c>
      <c r="E35" s="218"/>
      <c r="F35" s="218"/>
      <c r="G35" s="198"/>
      <c r="H35" s="199"/>
      <c r="I35" s="219"/>
      <c r="J35" s="219"/>
      <c r="K35" s="222"/>
      <c r="M35" s="212" t="s">
        <v>480</v>
      </c>
      <c r="N35" s="188" t="s">
        <v>481</v>
      </c>
      <c r="O35" s="194">
        <v>0.5</v>
      </c>
    </row>
    <row r="36" spans="1:20" ht="15" thickBot="1" x14ac:dyDescent="0.4">
      <c r="B36" s="76">
        <v>11</v>
      </c>
      <c r="C36" s="75" t="s">
        <v>456</v>
      </c>
      <c r="D36" s="74" t="s">
        <v>457</v>
      </c>
      <c r="E36" s="218"/>
      <c r="F36" s="218"/>
      <c r="G36" s="198"/>
      <c r="H36" s="199"/>
      <c r="I36" s="219" t="s">
        <v>519</v>
      </c>
      <c r="J36" s="219"/>
      <c r="K36" s="222"/>
      <c r="M36" s="213" t="s">
        <v>482</v>
      </c>
      <c r="N36" s="209" t="s">
        <v>483</v>
      </c>
      <c r="O36" s="195">
        <v>0.75</v>
      </c>
    </row>
    <row r="37" spans="1:20" ht="15" thickBot="1" x14ac:dyDescent="0.4">
      <c r="B37" s="77">
        <v>12</v>
      </c>
      <c r="C37" s="78" t="s">
        <v>458</v>
      </c>
      <c r="D37" s="79" t="s">
        <v>459</v>
      </c>
      <c r="E37" s="220"/>
      <c r="F37" s="220"/>
      <c r="G37" s="200"/>
      <c r="H37" s="251"/>
      <c r="I37" s="221"/>
      <c r="J37" s="221"/>
      <c r="K37" s="223"/>
    </row>
    <row r="38" spans="1:20" x14ac:dyDescent="0.35">
      <c r="M38" s="211" t="s">
        <v>475</v>
      </c>
      <c r="N38" s="148" t="s">
        <v>487</v>
      </c>
    </row>
    <row r="39" spans="1:20" x14ac:dyDescent="0.35">
      <c r="M39" s="214" t="s">
        <v>484</v>
      </c>
      <c r="N39" s="216">
        <v>0.33333333333333331</v>
      </c>
    </row>
    <row r="40" spans="1:20" x14ac:dyDescent="0.35">
      <c r="M40" s="214" t="s">
        <v>485</v>
      </c>
      <c r="N40" s="216">
        <v>0.41666666666666669</v>
      </c>
    </row>
    <row r="41" spans="1:20" ht="15" thickBot="1" x14ac:dyDescent="0.4">
      <c r="M41" s="215" t="s">
        <v>486</v>
      </c>
      <c r="N41" s="217">
        <v>0.58333333333333337</v>
      </c>
    </row>
    <row r="42" spans="1:20" x14ac:dyDescent="0.35">
      <c r="A42" s="241"/>
      <c r="B42" s="241"/>
      <c r="C42" s="241"/>
      <c r="D42" s="241"/>
      <c r="E42" s="241"/>
      <c r="F42" s="241"/>
      <c r="G42" s="241"/>
      <c r="H42" s="252"/>
      <c r="I42" s="241"/>
      <c r="J42" s="241"/>
      <c r="K42" s="241"/>
      <c r="L42" s="241"/>
      <c r="M42" s="242"/>
      <c r="N42" s="243"/>
      <c r="O42" s="241"/>
      <c r="P42" s="241"/>
      <c r="Q42" s="241"/>
      <c r="R42" s="241"/>
      <c r="S42" s="241"/>
      <c r="T42" s="241"/>
    </row>
    <row r="43" spans="1:20" ht="18" x14ac:dyDescent="0.4">
      <c r="B43" s="120" t="s">
        <v>502</v>
      </c>
      <c r="F43" s="121"/>
    </row>
    <row r="44" spans="1:20" ht="15" thickBot="1" x14ac:dyDescent="0.4">
      <c r="F44" s="121"/>
    </row>
    <row r="45" spans="1:20" ht="26" x14ac:dyDescent="0.35">
      <c r="B45" s="146" t="s">
        <v>212</v>
      </c>
      <c r="C45" s="147" t="s">
        <v>367</v>
      </c>
      <c r="D45" s="124" t="s">
        <v>214</v>
      </c>
      <c r="E45" s="203" t="s">
        <v>434</v>
      </c>
      <c r="F45" s="124" t="s">
        <v>488</v>
      </c>
      <c r="G45" s="235" t="s">
        <v>489</v>
      </c>
      <c r="H45" s="124" t="s">
        <v>490</v>
      </c>
      <c r="I45" s="236" t="s">
        <v>491</v>
      </c>
      <c r="M45" s="232" t="s">
        <v>214</v>
      </c>
      <c r="N45" s="233" t="s">
        <v>434</v>
      </c>
      <c r="O45" s="231" t="s">
        <v>489</v>
      </c>
    </row>
    <row r="46" spans="1:20" x14ac:dyDescent="0.35">
      <c r="B46" s="76">
        <v>1</v>
      </c>
      <c r="C46" s="75" t="s">
        <v>492</v>
      </c>
      <c r="D46" s="74" t="s">
        <v>507</v>
      </c>
      <c r="E46" s="218"/>
      <c r="F46" s="224">
        <v>44440</v>
      </c>
      <c r="G46" s="234"/>
      <c r="H46" s="201"/>
      <c r="I46" s="184"/>
      <c r="M46" s="226" t="s">
        <v>32</v>
      </c>
      <c r="N46" s="225" t="s">
        <v>503</v>
      </c>
      <c r="O46" s="227">
        <v>1000000</v>
      </c>
    </row>
    <row r="47" spans="1:20" x14ac:dyDescent="0.35">
      <c r="B47" s="76">
        <v>2</v>
      </c>
      <c r="C47" s="75" t="s">
        <v>493</v>
      </c>
      <c r="D47" s="74" t="s">
        <v>508</v>
      </c>
      <c r="E47" s="218"/>
      <c r="F47" s="224">
        <v>44444</v>
      </c>
      <c r="G47" s="234"/>
      <c r="H47" s="199"/>
      <c r="I47" s="184"/>
      <c r="M47" s="226" t="s">
        <v>21</v>
      </c>
      <c r="N47" s="225" t="s">
        <v>504</v>
      </c>
      <c r="O47" s="227">
        <v>2000000</v>
      </c>
    </row>
    <row r="48" spans="1:20" ht="15" thickBot="1" x14ac:dyDescent="0.4">
      <c r="B48" s="76">
        <v>3</v>
      </c>
      <c r="C48" s="75" t="s">
        <v>494</v>
      </c>
      <c r="D48" s="74" t="s">
        <v>509</v>
      </c>
      <c r="E48" s="218"/>
      <c r="F48" s="224">
        <v>44441</v>
      </c>
      <c r="G48" s="234"/>
      <c r="H48" s="199" t="s">
        <v>519</v>
      </c>
      <c r="I48" s="184"/>
      <c r="M48" s="228" t="s">
        <v>50</v>
      </c>
      <c r="N48" s="229" t="s">
        <v>505</v>
      </c>
      <c r="O48" s="230">
        <v>1200000</v>
      </c>
    </row>
    <row r="49" spans="2:9" x14ac:dyDescent="0.35">
      <c r="B49" s="76">
        <v>4</v>
      </c>
      <c r="C49" s="75" t="s">
        <v>495</v>
      </c>
      <c r="D49" s="74" t="s">
        <v>510</v>
      </c>
      <c r="E49" s="218"/>
      <c r="F49" s="224">
        <v>44456</v>
      </c>
      <c r="G49" s="234"/>
      <c r="H49" s="199" t="s">
        <v>519</v>
      </c>
      <c r="I49" s="184"/>
    </row>
    <row r="50" spans="2:9" x14ac:dyDescent="0.35">
      <c r="B50" s="76">
        <v>5</v>
      </c>
      <c r="C50" s="75" t="s">
        <v>496</v>
      </c>
      <c r="D50" s="74" t="s">
        <v>511</v>
      </c>
      <c r="E50" s="218"/>
      <c r="F50" s="224">
        <v>44440</v>
      </c>
      <c r="G50" s="234"/>
      <c r="H50" s="199"/>
      <c r="I50" s="184"/>
    </row>
    <row r="51" spans="2:9" x14ac:dyDescent="0.35">
      <c r="B51" s="76">
        <v>6</v>
      </c>
      <c r="C51" s="75" t="s">
        <v>497</v>
      </c>
      <c r="D51" s="74" t="s">
        <v>512</v>
      </c>
      <c r="E51" s="218"/>
      <c r="F51" s="224">
        <v>44450</v>
      </c>
      <c r="G51" s="234"/>
      <c r="H51" s="199"/>
      <c r="I51" s="184"/>
    </row>
    <row r="52" spans="2:9" x14ac:dyDescent="0.35">
      <c r="B52" s="76">
        <v>7</v>
      </c>
      <c r="C52" s="75" t="s">
        <v>498</v>
      </c>
      <c r="D52" s="74" t="s">
        <v>513</v>
      </c>
      <c r="E52" s="218"/>
      <c r="F52" s="224">
        <v>44458</v>
      </c>
      <c r="G52" s="234"/>
      <c r="H52" s="199" t="s">
        <v>519</v>
      </c>
      <c r="I52" s="184"/>
    </row>
    <row r="53" spans="2:9" x14ac:dyDescent="0.35">
      <c r="B53" s="76">
        <v>8</v>
      </c>
      <c r="C53" s="75" t="s">
        <v>499</v>
      </c>
      <c r="D53" s="74" t="s">
        <v>514</v>
      </c>
      <c r="E53" s="218"/>
      <c r="F53" s="224">
        <v>44449</v>
      </c>
      <c r="G53" s="234"/>
      <c r="H53" s="199"/>
      <c r="I53" s="184"/>
    </row>
    <row r="54" spans="2:9" x14ac:dyDescent="0.35">
      <c r="B54" s="76">
        <v>9</v>
      </c>
      <c r="C54" s="75" t="s">
        <v>453</v>
      </c>
      <c r="D54" s="74" t="s">
        <v>515</v>
      </c>
      <c r="E54" s="218"/>
      <c r="F54" s="224">
        <v>44444</v>
      </c>
      <c r="G54" s="234"/>
      <c r="H54" s="199"/>
      <c r="I54" s="184"/>
    </row>
    <row r="55" spans="2:9" x14ac:dyDescent="0.35">
      <c r="B55" s="76">
        <v>10</v>
      </c>
      <c r="C55" s="75" t="s">
        <v>500</v>
      </c>
      <c r="D55" s="74" t="s">
        <v>516</v>
      </c>
      <c r="E55" s="218"/>
      <c r="F55" s="224">
        <v>44469</v>
      </c>
      <c r="G55" s="234"/>
      <c r="H55" s="199" t="s">
        <v>519</v>
      </c>
      <c r="I55" s="184"/>
    </row>
    <row r="56" spans="2:9" x14ac:dyDescent="0.35">
      <c r="B56" s="76">
        <v>11</v>
      </c>
      <c r="C56" s="75" t="s">
        <v>291</v>
      </c>
      <c r="D56" s="74" t="s">
        <v>517</v>
      </c>
      <c r="E56" s="218"/>
      <c r="F56" s="224">
        <v>44450</v>
      </c>
      <c r="G56" s="234"/>
      <c r="H56" s="199" t="s">
        <v>519</v>
      </c>
      <c r="I56" s="184"/>
    </row>
    <row r="57" spans="2:9" ht="15" thickBot="1" x14ac:dyDescent="0.4">
      <c r="B57" s="77">
        <v>12</v>
      </c>
      <c r="C57" s="78" t="s">
        <v>501</v>
      </c>
      <c r="D57" s="79" t="s">
        <v>518</v>
      </c>
      <c r="E57" s="220"/>
      <c r="F57" s="237">
        <v>44444</v>
      </c>
      <c r="G57" s="238"/>
      <c r="H57" s="251"/>
      <c r="I57" s="185"/>
    </row>
    <row r="58" spans="2:9" x14ac:dyDescent="0.35">
      <c r="B58" s="239" t="s">
        <v>506</v>
      </c>
    </row>
  </sheetData>
  <mergeCells count="10">
    <mergeCell ref="H4:H5"/>
    <mergeCell ref="I4:I5"/>
    <mergeCell ref="J4:J5"/>
    <mergeCell ref="K4:K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F3FC5F45-3AF4-481D-9D07-020A39B822A3}">
            <xm:f>E46&lt;&gt;'ans2'!E46</xm:f>
            <x14:dxf>
              <fill>
                <patternFill>
                  <bgColor rgb="FFFF9999"/>
                </patternFill>
              </fill>
            </x14:dxf>
          </x14:cfRule>
          <x14:cfRule type="expression" priority="2" stopIfTrue="1" id="{F14C07D2-2E09-4EC0-AB1C-011D59BA7391}">
            <xm:f>E46='ans2'!E46</xm:f>
            <x14:dxf>
              <fill>
                <patternFill>
                  <bgColor theme="9" tint="0.59996337778862885"/>
                </patternFill>
              </fill>
            </x14:dxf>
          </x14:cfRule>
          <xm:sqref>E46:E57 G46:I57</xm:sqref>
        </x14:conditionalFormatting>
        <x14:conditionalFormatting xmlns:xm="http://schemas.microsoft.com/office/excel/2006/main">
          <x14:cfRule type="expression" priority="7" id="{3168D575-1B3D-4754-955B-17078DA3D77B}">
            <xm:f>E6&lt;&gt;'ans2'!E6</xm:f>
            <x14:dxf>
              <fill>
                <patternFill>
                  <bgColor rgb="FFFF9999"/>
                </patternFill>
              </fill>
            </x14:dxf>
          </x14:cfRule>
          <x14:cfRule type="expression" priority="8" id="{FAB27E96-3CBF-4DED-8E8A-8245A46F9AA4}">
            <xm:f>E6='ans2'!E6</xm:f>
            <x14:dxf>
              <fill>
                <patternFill>
                  <bgColor theme="9" tint="0.59996337778862885"/>
                </patternFill>
              </fill>
            </x14:dxf>
          </x14:cfRule>
          <xm:sqref>E6:G17</xm:sqref>
        </x14:conditionalFormatting>
        <x14:conditionalFormatting xmlns:xm="http://schemas.microsoft.com/office/excel/2006/main">
          <x14:cfRule type="expression" priority="3" id="{6454D92C-BC7A-4DFD-97A7-34BC084116D3}">
            <xm:f>E26&lt;&gt;'ans2'!E26</xm:f>
            <x14:dxf>
              <fill>
                <patternFill>
                  <bgColor rgb="FFFF9999"/>
                </patternFill>
              </fill>
            </x14:dxf>
          </x14:cfRule>
          <x14:cfRule type="expression" priority="4" id="{95DFC51A-4854-4C6E-AACA-B3F73E5701F5}">
            <xm:f>E26='ans2'!E26</xm:f>
            <x14:dxf>
              <fill>
                <patternFill>
                  <bgColor theme="9" tint="0.59996337778862885"/>
                </patternFill>
              </fill>
            </x14:dxf>
          </x14:cfRule>
          <xm:sqref>E26:K37</xm:sqref>
        </x14:conditionalFormatting>
        <x14:conditionalFormatting xmlns:xm="http://schemas.microsoft.com/office/excel/2006/main">
          <x14:cfRule type="expression" priority="5" id="{02D66257-6C1E-4BE8-9352-7A1F7C8D43D3}">
            <xm:f>I6&lt;&gt;'ans2'!I6</xm:f>
            <x14:dxf>
              <fill>
                <patternFill>
                  <bgColor rgb="FFFF9999"/>
                </patternFill>
              </fill>
            </x14:dxf>
          </x14:cfRule>
          <x14:cfRule type="expression" priority="6" id="{45DFA4C7-7C86-4907-935B-BBC5F22494B0}">
            <xm:f>I6='ans2'!I6</xm:f>
            <x14:dxf>
              <fill>
                <patternFill>
                  <bgColor theme="9" tint="0.59996337778862885"/>
                </patternFill>
              </fill>
            </x14:dxf>
          </x14:cfRule>
          <xm:sqref>I6:K17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50C5-58C7-460A-AF7D-BB81914A283B}">
  <dimension ref="B1:AI34"/>
  <sheetViews>
    <sheetView showGridLines="0" workbookViewId="0">
      <selection activeCell="H11" sqref="H11"/>
    </sheetView>
  </sheetViews>
  <sheetFormatPr defaultRowHeight="14.5" x14ac:dyDescent="0.35"/>
  <cols>
    <col min="1" max="1" width="3.54296875" customWidth="1"/>
    <col min="2" max="2" width="17.7265625" customWidth="1"/>
    <col min="3" max="3" width="8.26953125" customWidth="1"/>
    <col min="4" max="4" width="7.54296875" bestFit="1" customWidth="1"/>
    <col min="5" max="5" width="10.453125" bestFit="1" customWidth="1"/>
    <col min="6" max="6" width="7" bestFit="1" customWidth="1"/>
    <col min="7" max="7" width="15.26953125" bestFit="1" customWidth="1"/>
    <col min="8" max="8" width="17.453125" bestFit="1" customWidth="1"/>
    <col min="9" max="9" width="15.453125" bestFit="1" customWidth="1"/>
    <col min="10" max="10" width="12" bestFit="1" customWidth="1"/>
    <col min="11" max="12" width="17.453125" bestFit="1" customWidth="1"/>
    <col min="13" max="13" width="8.26953125" bestFit="1" customWidth="1"/>
    <col min="14" max="14" width="10.81640625" bestFit="1" customWidth="1"/>
    <col min="15" max="15" width="12.453125" bestFit="1" customWidth="1"/>
    <col min="16" max="21" width="2.26953125" customWidth="1"/>
    <col min="22" max="22" width="17.453125" bestFit="1" customWidth="1"/>
  </cols>
  <sheetData>
    <row r="1" spans="2:35" ht="23.5" x14ac:dyDescent="0.35">
      <c r="B1" s="1" t="s">
        <v>178</v>
      </c>
    </row>
    <row r="2" spans="2:35" ht="24" thickBot="1" x14ac:dyDescent="0.4">
      <c r="B2" s="1" t="s">
        <v>183</v>
      </c>
      <c r="V2" s="16" t="s">
        <v>60</v>
      </c>
    </row>
    <row r="3" spans="2:35" x14ac:dyDescent="0.35">
      <c r="B3" s="30" t="s">
        <v>179</v>
      </c>
      <c r="C3" s="56"/>
      <c r="D3" s="56"/>
      <c r="E3" s="56"/>
      <c r="F3" s="56"/>
      <c r="G3" s="56"/>
      <c r="H3" s="57"/>
      <c r="V3" s="16"/>
    </row>
    <row r="4" spans="2:35" x14ac:dyDescent="0.35">
      <c r="B4" s="33" t="s">
        <v>180</v>
      </c>
      <c r="C4" s="58"/>
      <c r="D4" s="58"/>
      <c r="E4" s="58"/>
      <c r="F4" s="58"/>
      <c r="G4" s="58"/>
      <c r="H4" s="59"/>
      <c r="V4" s="16"/>
    </row>
    <row r="5" spans="2:35" x14ac:dyDescent="0.35">
      <c r="B5" s="33" t="s">
        <v>181</v>
      </c>
      <c r="C5" s="58"/>
      <c r="D5" s="58"/>
      <c r="E5" s="58"/>
      <c r="F5" s="58"/>
      <c r="G5" s="58"/>
      <c r="H5" s="59"/>
      <c r="V5" s="16"/>
    </row>
    <row r="6" spans="2:35" ht="15" thickBot="1" x14ac:dyDescent="0.4">
      <c r="B6" s="36" t="s">
        <v>182</v>
      </c>
      <c r="C6" s="60"/>
      <c r="D6" s="60"/>
      <c r="E6" s="60"/>
      <c r="F6" s="60"/>
      <c r="G6" s="60"/>
      <c r="H6" s="61"/>
      <c r="V6" s="16"/>
    </row>
    <row r="7" spans="2:35" x14ac:dyDescent="0.35">
      <c r="B7" s="21"/>
      <c r="V7" s="16"/>
    </row>
    <row r="8" spans="2:35" ht="11.25" customHeight="1" thickBot="1" x14ac:dyDescent="0.4">
      <c r="B8" s="1"/>
      <c r="C8" s="16" t="s">
        <v>60</v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2:35" ht="15" thickBot="1" x14ac:dyDescent="0.4">
      <c r="B9" s="16" t="s">
        <v>174</v>
      </c>
      <c r="C9" s="53">
        <v>2</v>
      </c>
      <c r="D9" s="54">
        <f>C9+1</f>
        <v>3</v>
      </c>
      <c r="E9" s="54">
        <f t="shared" ref="E9:O9" si="0">D9+1</f>
        <v>4</v>
      </c>
      <c r="F9" s="54">
        <f t="shared" si="0"/>
        <v>5</v>
      </c>
      <c r="G9" s="54">
        <f t="shared" si="0"/>
        <v>6</v>
      </c>
      <c r="H9" s="54">
        <f t="shared" si="0"/>
        <v>7</v>
      </c>
      <c r="I9" s="54">
        <f t="shared" si="0"/>
        <v>8</v>
      </c>
      <c r="J9" s="54">
        <f t="shared" si="0"/>
        <v>9</v>
      </c>
      <c r="K9" s="54">
        <f t="shared" si="0"/>
        <v>10</v>
      </c>
      <c r="L9" s="54">
        <f t="shared" si="0"/>
        <v>11</v>
      </c>
      <c r="M9" s="54">
        <f t="shared" si="0"/>
        <v>12</v>
      </c>
      <c r="N9" s="54">
        <f t="shared" si="0"/>
        <v>13</v>
      </c>
      <c r="O9" s="55">
        <f t="shared" si="0"/>
        <v>14</v>
      </c>
      <c r="AA9" t="s">
        <v>172</v>
      </c>
    </row>
    <row r="10" spans="2:35" x14ac:dyDescent="0.35">
      <c r="B10" s="101" t="s">
        <v>173</v>
      </c>
      <c r="C10" s="102" t="s">
        <v>251</v>
      </c>
      <c r="D10" s="102" t="s">
        <v>250</v>
      </c>
      <c r="E10" s="102" t="s">
        <v>252</v>
      </c>
      <c r="F10" s="102" t="s">
        <v>249</v>
      </c>
      <c r="G10" s="102" t="s">
        <v>246</v>
      </c>
      <c r="H10" s="102" t="s">
        <v>248</v>
      </c>
      <c r="I10" s="102" t="s">
        <v>247</v>
      </c>
      <c r="J10" s="102" t="s">
        <v>253</v>
      </c>
      <c r="K10" s="102" t="s">
        <v>258</v>
      </c>
      <c r="L10" s="102" t="s">
        <v>256</v>
      </c>
      <c r="M10" s="102" t="s">
        <v>255</v>
      </c>
      <c r="N10" s="102" t="s">
        <v>257</v>
      </c>
      <c r="O10" s="102" t="s">
        <v>254</v>
      </c>
      <c r="V10" s="103" t="s">
        <v>171</v>
      </c>
      <c r="W10" s="104" t="s">
        <v>28</v>
      </c>
      <c r="X10" s="104" t="s">
        <v>46</v>
      </c>
      <c r="Y10" s="104" t="s">
        <v>168</v>
      </c>
      <c r="Z10" s="104" t="s">
        <v>169</v>
      </c>
      <c r="AA10" s="104" t="s">
        <v>170</v>
      </c>
      <c r="AB10" s="104" t="s">
        <v>14</v>
      </c>
    </row>
    <row r="11" spans="2:35" x14ac:dyDescent="0.35">
      <c r="B11" s="49" t="s">
        <v>28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V11" s="5" t="s">
        <v>251</v>
      </c>
      <c r="W11" s="47">
        <v>150</v>
      </c>
      <c r="X11" s="47">
        <f>W11+28</f>
        <v>178</v>
      </c>
      <c r="Y11" s="47">
        <f>X11+256</f>
        <v>434</v>
      </c>
      <c r="Z11" s="47">
        <f>Y11+34</f>
        <v>468</v>
      </c>
      <c r="AA11" s="47">
        <f>Z11+50</f>
        <v>518</v>
      </c>
      <c r="AB11" s="46">
        <f>SUM(W11:AA11)</f>
        <v>1748</v>
      </c>
    </row>
    <row r="12" spans="2:35" x14ac:dyDescent="0.35">
      <c r="B12" s="49" t="s">
        <v>46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V12" s="5" t="s">
        <v>250</v>
      </c>
      <c r="W12" s="47">
        <v>350</v>
      </c>
      <c r="X12" s="47">
        <f t="shared" ref="X12:X23" si="1">W12+28</f>
        <v>378</v>
      </c>
      <c r="Y12" s="47">
        <f t="shared" ref="Y12:Y23" si="2">X12+256</f>
        <v>634</v>
      </c>
      <c r="Z12" s="47">
        <f t="shared" ref="Z12:Z23" si="3">Y12+34</f>
        <v>668</v>
      </c>
      <c r="AA12" s="47">
        <f t="shared" ref="AA12:AA23" si="4">Z12+50</f>
        <v>718</v>
      </c>
      <c r="AB12" s="46">
        <f t="shared" ref="AB12:AB15" si="5">SUM(W12:AA12)</f>
        <v>2748</v>
      </c>
    </row>
    <row r="13" spans="2:35" x14ac:dyDescent="0.35">
      <c r="B13" s="49" t="s">
        <v>168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V13" s="5" t="s">
        <v>252</v>
      </c>
      <c r="W13" s="47">
        <v>251</v>
      </c>
      <c r="X13" s="47">
        <f t="shared" si="1"/>
        <v>279</v>
      </c>
      <c r="Y13" s="47">
        <f t="shared" si="2"/>
        <v>535</v>
      </c>
      <c r="Z13" s="47">
        <f t="shared" si="3"/>
        <v>569</v>
      </c>
      <c r="AA13" s="47">
        <f t="shared" si="4"/>
        <v>619</v>
      </c>
      <c r="AB13" s="46">
        <f t="shared" si="5"/>
        <v>2253</v>
      </c>
    </row>
    <row r="14" spans="2:35" x14ac:dyDescent="0.35">
      <c r="B14" s="49" t="s">
        <v>169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V14" s="5" t="s">
        <v>249</v>
      </c>
      <c r="W14" s="47">
        <v>153</v>
      </c>
      <c r="X14" s="47">
        <f t="shared" si="1"/>
        <v>181</v>
      </c>
      <c r="Y14" s="47">
        <f t="shared" si="2"/>
        <v>437</v>
      </c>
      <c r="Z14" s="47">
        <f t="shared" si="3"/>
        <v>471</v>
      </c>
      <c r="AA14" s="47">
        <f t="shared" si="4"/>
        <v>521</v>
      </c>
      <c r="AB14" s="46">
        <f t="shared" si="5"/>
        <v>1763</v>
      </c>
    </row>
    <row r="15" spans="2:35" x14ac:dyDescent="0.35">
      <c r="B15" s="49" t="s">
        <v>170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V15" s="5" t="s">
        <v>246</v>
      </c>
      <c r="W15" s="47">
        <v>378</v>
      </c>
      <c r="X15" s="47">
        <f t="shared" si="1"/>
        <v>406</v>
      </c>
      <c r="Y15" s="47">
        <f t="shared" si="2"/>
        <v>662</v>
      </c>
      <c r="Z15" s="47">
        <f t="shared" si="3"/>
        <v>696</v>
      </c>
      <c r="AA15" s="47">
        <f t="shared" si="4"/>
        <v>746</v>
      </c>
      <c r="AB15" s="46">
        <f t="shared" si="5"/>
        <v>2888</v>
      </c>
    </row>
    <row r="16" spans="2:35" x14ac:dyDescent="0.35">
      <c r="B16" s="50" t="s">
        <v>14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V16" s="5" t="s">
        <v>248</v>
      </c>
      <c r="W16" s="47">
        <v>125</v>
      </c>
      <c r="X16" s="47">
        <f t="shared" si="1"/>
        <v>153</v>
      </c>
      <c r="Y16" s="47">
        <f t="shared" si="2"/>
        <v>409</v>
      </c>
      <c r="Z16" s="47">
        <f t="shared" si="3"/>
        <v>443</v>
      </c>
      <c r="AA16" s="47">
        <f t="shared" si="4"/>
        <v>493</v>
      </c>
      <c r="AB16" s="46">
        <f t="shared" ref="AB16:AB23" si="6">SUM(W16:AA16)</f>
        <v>1623</v>
      </c>
    </row>
    <row r="17" spans="2:28" x14ac:dyDescent="0.35">
      <c r="V17" s="5" t="s">
        <v>247</v>
      </c>
      <c r="W17" s="47">
        <v>326</v>
      </c>
      <c r="X17" s="47">
        <f t="shared" si="1"/>
        <v>354</v>
      </c>
      <c r="Y17" s="47">
        <f t="shared" si="2"/>
        <v>610</v>
      </c>
      <c r="Z17" s="47">
        <f t="shared" si="3"/>
        <v>644</v>
      </c>
      <c r="AA17" s="47">
        <f t="shared" si="4"/>
        <v>694</v>
      </c>
      <c r="AB17" s="46">
        <f t="shared" si="6"/>
        <v>2628</v>
      </c>
    </row>
    <row r="18" spans="2:28" x14ac:dyDescent="0.35">
      <c r="B18" s="52" t="s">
        <v>175</v>
      </c>
      <c r="V18" s="5" t="s">
        <v>253</v>
      </c>
      <c r="W18" s="47">
        <v>250</v>
      </c>
      <c r="X18" s="47">
        <f t="shared" si="1"/>
        <v>278</v>
      </c>
      <c r="Y18" s="47">
        <f t="shared" si="2"/>
        <v>534</v>
      </c>
      <c r="Z18" s="47">
        <f t="shared" si="3"/>
        <v>568</v>
      </c>
      <c r="AA18" s="47">
        <f t="shared" si="4"/>
        <v>618</v>
      </c>
      <c r="AB18" s="46">
        <f t="shared" si="6"/>
        <v>2248</v>
      </c>
    </row>
    <row r="19" spans="2:28" x14ac:dyDescent="0.35">
      <c r="B19" s="101" t="s">
        <v>173</v>
      </c>
      <c r="C19" s="103" t="s">
        <v>251</v>
      </c>
      <c r="D19" s="103" t="s">
        <v>250</v>
      </c>
      <c r="E19" s="103" t="s">
        <v>252</v>
      </c>
      <c r="F19" s="103" t="s">
        <v>249</v>
      </c>
      <c r="G19" s="103" t="s">
        <v>246</v>
      </c>
      <c r="H19" s="103" t="s">
        <v>248</v>
      </c>
      <c r="I19" s="103" t="s">
        <v>247</v>
      </c>
      <c r="J19" s="103" t="s">
        <v>253</v>
      </c>
      <c r="K19" s="103" t="s">
        <v>258</v>
      </c>
      <c r="L19" s="103" t="s">
        <v>256</v>
      </c>
      <c r="M19" s="103" t="s">
        <v>255</v>
      </c>
      <c r="N19" s="103" t="s">
        <v>257</v>
      </c>
      <c r="O19" s="103" t="s">
        <v>254</v>
      </c>
      <c r="V19" s="5" t="s">
        <v>258</v>
      </c>
      <c r="W19" s="47">
        <v>382</v>
      </c>
      <c r="X19" s="47">
        <f t="shared" si="1"/>
        <v>410</v>
      </c>
      <c r="Y19" s="47">
        <f t="shared" si="2"/>
        <v>666</v>
      </c>
      <c r="Z19" s="47">
        <f t="shared" si="3"/>
        <v>700</v>
      </c>
      <c r="AA19" s="47">
        <f t="shared" si="4"/>
        <v>750</v>
      </c>
      <c r="AB19" s="46">
        <f t="shared" si="6"/>
        <v>2908</v>
      </c>
    </row>
    <row r="20" spans="2:28" x14ac:dyDescent="0.35">
      <c r="B20" s="49" t="s">
        <v>28</v>
      </c>
      <c r="C20" s="47">
        <v>120</v>
      </c>
      <c r="D20" s="47">
        <v>365</v>
      </c>
      <c r="E20" s="47">
        <v>154</v>
      </c>
      <c r="F20" s="47">
        <v>169</v>
      </c>
      <c r="G20" s="47">
        <v>478</v>
      </c>
      <c r="H20" s="47">
        <v>225</v>
      </c>
      <c r="I20" s="47">
        <v>336</v>
      </c>
      <c r="J20" s="47">
        <v>152</v>
      </c>
      <c r="K20" s="47">
        <v>382</v>
      </c>
      <c r="L20" s="47">
        <v>455</v>
      </c>
      <c r="M20" s="47">
        <v>237</v>
      </c>
      <c r="N20" s="47">
        <v>321</v>
      </c>
      <c r="O20" s="47">
        <v>223</v>
      </c>
      <c r="V20" s="5" t="s">
        <v>256</v>
      </c>
      <c r="W20" s="47">
        <v>450</v>
      </c>
      <c r="X20" s="47">
        <f t="shared" si="1"/>
        <v>478</v>
      </c>
      <c r="Y20" s="47">
        <f t="shared" si="2"/>
        <v>734</v>
      </c>
      <c r="Z20" s="47">
        <f t="shared" si="3"/>
        <v>768</v>
      </c>
      <c r="AA20" s="47">
        <f t="shared" si="4"/>
        <v>818</v>
      </c>
      <c r="AB20" s="46">
        <f t="shared" si="6"/>
        <v>3248</v>
      </c>
    </row>
    <row r="21" spans="2:28" x14ac:dyDescent="0.35">
      <c r="B21" s="49" t="s">
        <v>46</v>
      </c>
      <c r="C21" s="47">
        <v>180</v>
      </c>
      <c r="D21" s="47">
        <v>365</v>
      </c>
      <c r="E21" s="47">
        <v>342</v>
      </c>
      <c r="F21" s="47">
        <v>180</v>
      </c>
      <c r="G21" s="47">
        <v>405</v>
      </c>
      <c r="H21" s="47">
        <v>253</v>
      </c>
      <c r="I21" s="47">
        <v>454</v>
      </c>
      <c r="J21" s="47">
        <v>378</v>
      </c>
      <c r="K21" s="47">
        <v>410</v>
      </c>
      <c r="L21" s="47">
        <v>378</v>
      </c>
      <c r="M21" s="47">
        <v>284</v>
      </c>
      <c r="N21" s="47">
        <v>249</v>
      </c>
      <c r="O21" s="47">
        <v>251</v>
      </c>
      <c r="V21" s="5" t="s">
        <v>255</v>
      </c>
      <c r="W21" s="47">
        <v>257</v>
      </c>
      <c r="X21" s="47">
        <f t="shared" si="1"/>
        <v>285</v>
      </c>
      <c r="Y21" s="47">
        <f t="shared" si="2"/>
        <v>541</v>
      </c>
      <c r="Z21" s="47">
        <f t="shared" si="3"/>
        <v>575</v>
      </c>
      <c r="AA21" s="47">
        <f t="shared" si="4"/>
        <v>625</v>
      </c>
      <c r="AB21" s="46">
        <f t="shared" si="6"/>
        <v>2283</v>
      </c>
    </row>
    <row r="22" spans="2:28" x14ac:dyDescent="0.35">
      <c r="B22" s="49" t="s">
        <v>168</v>
      </c>
      <c r="C22" s="47">
        <v>439</v>
      </c>
      <c r="D22" s="47">
        <v>678</v>
      </c>
      <c r="E22" s="47">
        <v>652</v>
      </c>
      <c r="F22" s="47">
        <v>427</v>
      </c>
      <c r="G22" s="47">
        <v>668</v>
      </c>
      <c r="H22" s="47">
        <v>309</v>
      </c>
      <c r="I22" s="47">
        <v>510</v>
      </c>
      <c r="J22" s="47">
        <v>544</v>
      </c>
      <c r="K22" s="47">
        <v>666</v>
      </c>
      <c r="L22" s="47">
        <v>834</v>
      </c>
      <c r="M22" s="47">
        <v>641</v>
      </c>
      <c r="N22" s="47">
        <v>614</v>
      </c>
      <c r="O22" s="47">
        <v>404</v>
      </c>
      <c r="V22" s="5" t="s">
        <v>257</v>
      </c>
      <c r="W22" s="47">
        <v>320</v>
      </c>
      <c r="X22" s="47">
        <f t="shared" si="1"/>
        <v>348</v>
      </c>
      <c r="Y22" s="47">
        <f t="shared" si="2"/>
        <v>604</v>
      </c>
      <c r="Z22" s="47">
        <f t="shared" si="3"/>
        <v>638</v>
      </c>
      <c r="AA22" s="47">
        <f t="shared" si="4"/>
        <v>688</v>
      </c>
      <c r="AB22" s="46">
        <f t="shared" si="6"/>
        <v>2598</v>
      </c>
    </row>
    <row r="23" spans="2:28" x14ac:dyDescent="0.35">
      <c r="B23" s="49" t="s">
        <v>169</v>
      </c>
      <c r="C23" s="47">
        <v>540</v>
      </c>
      <c r="D23" s="47">
        <v>763</v>
      </c>
      <c r="E23" s="47">
        <v>500</v>
      </c>
      <c r="F23" s="47">
        <v>371</v>
      </c>
      <c r="G23" s="47">
        <v>695</v>
      </c>
      <c r="H23" s="47">
        <v>343</v>
      </c>
      <c r="I23" s="47">
        <v>544</v>
      </c>
      <c r="J23" s="47">
        <v>468</v>
      </c>
      <c r="K23" s="47">
        <v>700</v>
      </c>
      <c r="L23" s="47">
        <v>738</v>
      </c>
      <c r="M23" s="47">
        <v>475</v>
      </c>
      <c r="N23" s="47">
        <v>634</v>
      </c>
      <c r="O23" s="47">
        <v>440</v>
      </c>
      <c r="V23" s="5" t="s">
        <v>254</v>
      </c>
      <c r="W23" s="47">
        <v>123</v>
      </c>
      <c r="X23" s="47">
        <f t="shared" si="1"/>
        <v>151</v>
      </c>
      <c r="Y23" s="47">
        <f t="shared" si="2"/>
        <v>407</v>
      </c>
      <c r="Z23" s="47">
        <f t="shared" si="3"/>
        <v>441</v>
      </c>
      <c r="AA23" s="47">
        <f t="shared" si="4"/>
        <v>491</v>
      </c>
      <c r="AB23" s="46">
        <f t="shared" si="6"/>
        <v>1613</v>
      </c>
    </row>
    <row r="24" spans="2:28" x14ac:dyDescent="0.35">
      <c r="B24" s="49" t="s">
        <v>170</v>
      </c>
      <c r="C24" s="47">
        <v>430</v>
      </c>
      <c r="D24" s="47">
        <v>250</v>
      </c>
      <c r="E24" s="47">
        <v>670</v>
      </c>
      <c r="F24" s="47">
        <v>423</v>
      </c>
      <c r="G24" s="47">
        <v>746</v>
      </c>
      <c r="H24" s="47">
        <v>492</v>
      </c>
      <c r="I24" s="47">
        <v>695</v>
      </c>
      <c r="J24" s="47">
        <v>628</v>
      </c>
      <c r="K24" s="47">
        <v>750</v>
      </c>
      <c r="L24" s="47">
        <v>812</v>
      </c>
      <c r="M24" s="47">
        <v>725</v>
      </c>
      <c r="N24" s="47">
        <v>628</v>
      </c>
      <c r="O24" s="47">
        <v>461</v>
      </c>
      <c r="V24" s="48" t="s">
        <v>176</v>
      </c>
      <c r="W24" s="11"/>
      <c r="X24" s="11"/>
      <c r="Y24" s="11"/>
      <c r="Z24" s="11"/>
      <c r="AA24" s="11"/>
      <c r="AB24" s="11"/>
    </row>
    <row r="25" spans="2:28" x14ac:dyDescent="0.35">
      <c r="B25" s="50" t="s">
        <v>14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7" spans="2:28" x14ac:dyDescent="0.35">
      <c r="B27" s="52" t="s">
        <v>177</v>
      </c>
    </row>
    <row r="28" spans="2:28" x14ac:dyDescent="0.35">
      <c r="B28" s="101" t="s">
        <v>173</v>
      </c>
      <c r="C28" s="103" t="s">
        <v>251</v>
      </c>
      <c r="D28" s="103" t="s">
        <v>250</v>
      </c>
      <c r="E28" s="103" t="s">
        <v>252</v>
      </c>
      <c r="F28" s="103" t="s">
        <v>249</v>
      </c>
      <c r="G28" s="103" t="s">
        <v>246</v>
      </c>
      <c r="H28" s="103" t="s">
        <v>248</v>
      </c>
      <c r="I28" s="103" t="s">
        <v>247</v>
      </c>
      <c r="J28" s="103" t="s">
        <v>253</v>
      </c>
      <c r="K28" s="103" t="s">
        <v>258</v>
      </c>
      <c r="L28" s="103" t="s">
        <v>256</v>
      </c>
      <c r="M28" s="103" t="s">
        <v>255</v>
      </c>
      <c r="N28" s="103" t="s">
        <v>257</v>
      </c>
      <c r="O28" s="103" t="s">
        <v>254</v>
      </c>
    </row>
    <row r="29" spans="2:28" x14ac:dyDescent="0.35">
      <c r="B29" s="49" t="s">
        <v>28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28" x14ac:dyDescent="0.35">
      <c r="B30" s="49" t="s">
        <v>46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28" x14ac:dyDescent="0.35">
      <c r="B31" s="49" t="s">
        <v>168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28" x14ac:dyDescent="0.35">
      <c r="B32" s="49" t="s">
        <v>169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35">
      <c r="B33" s="49" t="s">
        <v>170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2:15" s="21" customFormat="1" ht="33.75" customHeight="1" x14ac:dyDescent="0.35">
      <c r="B34" s="107" t="s">
        <v>239</v>
      </c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</row>
  </sheetData>
  <conditionalFormatting sqref="C29:O33">
    <cfRule type="containsText" dxfId="13" priority="1" operator="containsText" text="OK">
      <formula>NOT(ISERROR(SEARCH("OK",C29)))</formula>
    </cfRule>
    <cfRule type="containsText" dxfId="12" priority="2" operator="containsText" text="NO">
      <formula>NOT(ISERROR(SEARCH("NO",C29)))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C64B-5BC5-434E-AAF5-E49F31C3810A}">
  <dimension ref="A1:AB42"/>
  <sheetViews>
    <sheetView showGridLines="0" zoomScale="85" zoomScaleNormal="85" workbookViewId="0">
      <selection activeCell="I43" sqref="I43"/>
    </sheetView>
  </sheetViews>
  <sheetFormatPr defaultRowHeight="14.5" x14ac:dyDescent="0.35"/>
  <cols>
    <col min="2" max="2" width="33.453125" customWidth="1"/>
    <col min="3" max="3" width="12.453125" bestFit="1" customWidth="1"/>
    <col min="4" max="4" width="10.26953125" bestFit="1" customWidth="1"/>
    <col min="5" max="5" width="13" bestFit="1" customWidth="1"/>
    <col min="6" max="6" width="20.54296875" bestFit="1" customWidth="1"/>
    <col min="7" max="7" width="8.7265625" bestFit="1" customWidth="1"/>
    <col min="8" max="8" width="8.453125" bestFit="1" customWidth="1"/>
    <col min="9" max="14" width="7" bestFit="1" customWidth="1"/>
    <col min="15" max="15" width="9.54296875" bestFit="1" customWidth="1"/>
    <col min="16" max="16" width="2.453125" style="16" customWidth="1"/>
    <col min="17" max="17" width="17.1796875" bestFit="1" customWidth="1"/>
    <col min="18" max="18" width="12.26953125" bestFit="1" customWidth="1"/>
    <col min="19" max="19" width="12.453125" bestFit="1" customWidth="1"/>
    <col min="20" max="20" width="31.81640625" bestFit="1" customWidth="1"/>
    <col min="21" max="21" width="19.26953125" bestFit="1" customWidth="1"/>
    <col min="22" max="22" width="9.26953125" bestFit="1" customWidth="1"/>
    <col min="23" max="28" width="5.54296875" bestFit="1" customWidth="1"/>
  </cols>
  <sheetData>
    <row r="1" spans="1:28" ht="23.5" x14ac:dyDescent="0.35">
      <c r="H1" s="109">
        <v>4</v>
      </c>
      <c r="I1" s="109">
        <f>H1+1</f>
        <v>5</v>
      </c>
      <c r="J1" s="109">
        <f t="shared" ref="J1:M1" si="0">I1+1</f>
        <v>6</v>
      </c>
      <c r="K1" s="109">
        <f t="shared" si="0"/>
        <v>7</v>
      </c>
      <c r="L1" s="109">
        <f t="shared" si="0"/>
        <v>8</v>
      </c>
      <c r="M1" s="109">
        <f t="shared" si="0"/>
        <v>9</v>
      </c>
    </row>
    <row r="2" spans="1:28" ht="23.5" x14ac:dyDescent="0.35">
      <c r="B2" s="1" t="s">
        <v>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8" ht="23.5" x14ac:dyDescent="0.35">
      <c r="B3" s="1" t="s">
        <v>192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8" ht="7.5" customHeight="1" thickBot="1" x14ac:dyDescent="0.4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8" ht="23.5" x14ac:dyDescent="0.35">
      <c r="B5" s="62" t="s">
        <v>184</v>
      </c>
      <c r="C5" s="63"/>
      <c r="D5" s="63"/>
      <c r="E5" s="63"/>
      <c r="F5" s="63"/>
      <c r="G5" s="63"/>
      <c r="H5" s="64"/>
      <c r="I5" s="1"/>
      <c r="J5" s="1"/>
      <c r="K5" s="1"/>
      <c r="L5" s="1"/>
      <c r="M5" s="1"/>
    </row>
    <row r="6" spans="1:28" ht="23.5" x14ac:dyDescent="0.35">
      <c r="B6" s="65" t="s">
        <v>185</v>
      </c>
      <c r="C6" s="66"/>
      <c r="D6" s="66"/>
      <c r="E6" s="66"/>
      <c r="F6" s="66"/>
      <c r="G6" s="66"/>
      <c r="H6" s="67"/>
      <c r="I6" s="1"/>
      <c r="J6" s="1"/>
      <c r="K6" s="1"/>
      <c r="L6" s="1"/>
      <c r="M6" s="1"/>
    </row>
    <row r="7" spans="1:28" ht="23.5" x14ac:dyDescent="0.35">
      <c r="B7" s="65" t="s">
        <v>242</v>
      </c>
      <c r="C7" s="66"/>
      <c r="D7" s="66"/>
      <c r="E7" s="66"/>
      <c r="F7" s="66"/>
      <c r="G7" s="66"/>
      <c r="H7" s="67"/>
      <c r="I7" s="1"/>
      <c r="J7" s="1"/>
      <c r="K7" s="1"/>
      <c r="L7" s="1"/>
      <c r="M7" s="1"/>
    </row>
    <row r="8" spans="1:28" ht="24" thickBot="1" x14ac:dyDescent="0.4">
      <c r="B8" s="68" t="s">
        <v>186</v>
      </c>
      <c r="C8" s="69"/>
      <c r="D8" s="69"/>
      <c r="E8" s="69"/>
      <c r="F8" s="69"/>
      <c r="G8" s="69"/>
      <c r="H8" s="70"/>
      <c r="I8" s="1"/>
      <c r="J8" s="1"/>
      <c r="K8" s="1"/>
      <c r="L8" s="1"/>
      <c r="M8" s="1"/>
    </row>
    <row r="9" spans="1:28" ht="23.5" x14ac:dyDescent="0.45">
      <c r="A9" s="17" t="s">
        <v>61</v>
      </c>
      <c r="B9" s="2"/>
      <c r="C9" s="2"/>
      <c r="D9" s="2"/>
      <c r="E9" s="2"/>
      <c r="F9" s="2"/>
      <c r="G9" s="2"/>
      <c r="H9" s="109"/>
      <c r="I9" s="109"/>
      <c r="J9" s="109"/>
      <c r="K9" s="109"/>
      <c r="L9" s="109"/>
      <c r="M9" s="109"/>
      <c r="N9" s="110"/>
      <c r="Q9" s="18" t="s">
        <v>60</v>
      </c>
    </row>
    <row r="10" spans="1:28" ht="15" thickBot="1" x14ac:dyDescent="0.4">
      <c r="B10" s="279" t="s">
        <v>2</v>
      </c>
      <c r="C10" s="279" t="s">
        <v>3</v>
      </c>
      <c r="D10" s="279" t="s">
        <v>4</v>
      </c>
      <c r="E10" s="279" t="s">
        <v>5</v>
      </c>
      <c r="F10" s="279" t="s">
        <v>6</v>
      </c>
      <c r="G10" s="279" t="s">
        <v>7</v>
      </c>
      <c r="H10" s="287" t="s">
        <v>1</v>
      </c>
      <c r="I10" s="288"/>
      <c r="J10" s="288"/>
      <c r="K10" s="288"/>
      <c r="L10" s="288"/>
      <c r="M10" s="288"/>
      <c r="N10" s="288"/>
      <c r="O10" s="289"/>
      <c r="W10" s="278" t="s">
        <v>1</v>
      </c>
      <c r="X10" s="278"/>
      <c r="Y10" s="278"/>
      <c r="Z10" s="278"/>
      <c r="AA10" s="278"/>
      <c r="AB10" s="278"/>
    </row>
    <row r="11" spans="1:28" ht="16" thickBot="1" x14ac:dyDescent="0.4">
      <c r="A11" s="19" t="s">
        <v>0</v>
      </c>
      <c r="B11" s="280"/>
      <c r="C11" s="281"/>
      <c r="D11" s="281"/>
      <c r="E11" s="281"/>
      <c r="F11" s="281"/>
      <c r="G11" s="281"/>
      <c r="H11" s="105" t="s">
        <v>8</v>
      </c>
      <c r="I11" s="105" t="s">
        <v>9</v>
      </c>
      <c r="J11" s="105" t="s">
        <v>10</v>
      </c>
      <c r="K11" s="105" t="s">
        <v>11</v>
      </c>
      <c r="L11" s="105" t="s">
        <v>12</v>
      </c>
      <c r="M11" s="105" t="s">
        <v>13</v>
      </c>
      <c r="N11" s="105" t="s">
        <v>14</v>
      </c>
      <c r="O11" s="105" t="s">
        <v>15</v>
      </c>
      <c r="Q11" s="103" t="s">
        <v>4</v>
      </c>
      <c r="R11" s="103" t="s">
        <v>5</v>
      </c>
      <c r="S11" s="103" t="s">
        <v>3</v>
      </c>
      <c r="T11" s="103" t="s">
        <v>2</v>
      </c>
      <c r="U11" s="103" t="s">
        <v>6</v>
      </c>
      <c r="V11" s="103" t="s">
        <v>7</v>
      </c>
      <c r="W11" s="105" t="s">
        <v>8</v>
      </c>
      <c r="X11" s="105" t="s">
        <v>9</v>
      </c>
      <c r="Y11" s="105" t="s">
        <v>10</v>
      </c>
      <c r="Z11" s="105" t="s">
        <v>11</v>
      </c>
      <c r="AA11" s="105" t="s">
        <v>12</v>
      </c>
      <c r="AB11" s="105" t="s">
        <v>13</v>
      </c>
    </row>
    <row r="12" spans="1:28" x14ac:dyDescent="0.35">
      <c r="B12" s="3" t="s">
        <v>16</v>
      </c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12"/>
      <c r="N12" s="12"/>
      <c r="O12" s="13"/>
      <c r="Q12" s="3" t="s">
        <v>17</v>
      </c>
      <c r="R12" s="3" t="s">
        <v>17</v>
      </c>
      <c r="S12" s="3" t="s">
        <v>18</v>
      </c>
      <c r="T12" s="3" t="s">
        <v>19</v>
      </c>
      <c r="U12" s="3" t="s">
        <v>20</v>
      </c>
      <c r="V12" s="3" t="s">
        <v>21</v>
      </c>
      <c r="W12" s="4">
        <v>100</v>
      </c>
      <c r="X12" s="4">
        <v>90</v>
      </c>
      <c r="Y12" s="4">
        <v>100</v>
      </c>
      <c r="Z12" s="4">
        <v>120</v>
      </c>
      <c r="AA12" s="4">
        <v>80</v>
      </c>
      <c r="AB12" s="4">
        <v>100</v>
      </c>
    </row>
    <row r="13" spans="1:28" x14ac:dyDescent="0.35">
      <c r="B13" s="3" t="s">
        <v>22</v>
      </c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12"/>
      <c r="N13" s="12"/>
      <c r="O13" s="13"/>
      <c r="Q13" s="3" t="s">
        <v>17</v>
      </c>
      <c r="R13" s="3" t="s">
        <v>17</v>
      </c>
      <c r="S13" s="3" t="s">
        <v>23</v>
      </c>
      <c r="T13" s="3" t="s">
        <v>24</v>
      </c>
      <c r="U13" s="3" t="s">
        <v>20</v>
      </c>
      <c r="V13" s="3" t="s">
        <v>21</v>
      </c>
      <c r="W13" s="4">
        <v>95</v>
      </c>
      <c r="X13" s="4">
        <v>70</v>
      </c>
      <c r="Y13" s="4">
        <v>80</v>
      </c>
      <c r="Z13" s="4">
        <v>95</v>
      </c>
      <c r="AA13" s="4">
        <v>90</v>
      </c>
      <c r="AB13" s="4">
        <v>80</v>
      </c>
    </row>
    <row r="14" spans="1:28" x14ac:dyDescent="0.35">
      <c r="B14" s="3" t="s">
        <v>25</v>
      </c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2"/>
      <c r="N14" s="12"/>
      <c r="O14" s="13"/>
      <c r="Q14" s="3" t="s">
        <v>17</v>
      </c>
      <c r="R14" s="3" t="s">
        <v>17</v>
      </c>
      <c r="S14" s="3" t="s">
        <v>26</v>
      </c>
      <c r="T14" s="3" t="s">
        <v>25</v>
      </c>
      <c r="U14" s="3" t="s">
        <v>20</v>
      </c>
      <c r="V14" s="3" t="s">
        <v>21</v>
      </c>
      <c r="W14" s="4">
        <v>80</v>
      </c>
      <c r="X14" s="4">
        <v>95</v>
      </c>
      <c r="Y14" s="4">
        <v>90</v>
      </c>
      <c r="Z14" s="4">
        <v>80</v>
      </c>
      <c r="AA14" s="4">
        <v>100</v>
      </c>
      <c r="AB14" s="4">
        <v>95</v>
      </c>
    </row>
    <row r="15" spans="1:28" x14ac:dyDescent="0.35">
      <c r="B15" s="3" t="s">
        <v>27</v>
      </c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2"/>
      <c r="N15" s="12"/>
      <c r="O15" s="13"/>
      <c r="Q15" s="3" t="s">
        <v>28</v>
      </c>
      <c r="R15" s="3" t="s">
        <v>29</v>
      </c>
      <c r="S15" s="3" t="s">
        <v>30</v>
      </c>
      <c r="T15" s="3" t="s">
        <v>16</v>
      </c>
      <c r="U15" s="3" t="s">
        <v>31</v>
      </c>
      <c r="V15" s="3" t="s">
        <v>32</v>
      </c>
      <c r="W15" s="4">
        <v>100</v>
      </c>
      <c r="X15" s="4">
        <v>90</v>
      </c>
      <c r="Y15" s="4">
        <v>105</v>
      </c>
      <c r="Z15" s="4">
        <v>120</v>
      </c>
      <c r="AA15" s="4">
        <v>110</v>
      </c>
      <c r="AB15" s="4">
        <v>100</v>
      </c>
    </row>
    <row r="16" spans="1:28" x14ac:dyDescent="0.35">
      <c r="B16" s="3" t="s">
        <v>33</v>
      </c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12"/>
      <c r="N16" s="12"/>
      <c r="O16" s="13"/>
      <c r="Q16" s="3" t="s">
        <v>28</v>
      </c>
      <c r="R16" s="3" t="s">
        <v>29</v>
      </c>
      <c r="S16" s="3" t="s">
        <v>34</v>
      </c>
      <c r="T16" s="3" t="s">
        <v>33</v>
      </c>
      <c r="U16" s="3" t="s">
        <v>31</v>
      </c>
      <c r="V16" s="3" t="s">
        <v>32</v>
      </c>
      <c r="W16" s="4">
        <v>80</v>
      </c>
      <c r="X16" s="4">
        <v>70</v>
      </c>
      <c r="Y16" s="4">
        <v>110</v>
      </c>
      <c r="Z16" s="4">
        <v>100</v>
      </c>
      <c r="AA16" s="4">
        <v>105</v>
      </c>
      <c r="AB16" s="4">
        <v>100</v>
      </c>
    </row>
    <row r="17" spans="1:28" x14ac:dyDescent="0.35">
      <c r="B17" s="3" t="s">
        <v>35</v>
      </c>
      <c r="C17" s="10"/>
      <c r="D17" s="10"/>
      <c r="E17" s="10"/>
      <c r="F17" s="10"/>
      <c r="G17" s="10"/>
      <c r="H17" s="12"/>
      <c r="I17" s="12"/>
      <c r="J17" s="12"/>
      <c r="K17" s="12"/>
      <c r="L17" s="12"/>
      <c r="M17" s="12"/>
      <c r="N17" s="12"/>
      <c r="O17" s="13"/>
      <c r="Q17" s="3" t="s">
        <v>28</v>
      </c>
      <c r="R17" s="3" t="s">
        <v>29</v>
      </c>
      <c r="S17" s="3" t="s">
        <v>36</v>
      </c>
      <c r="T17" s="3" t="s">
        <v>37</v>
      </c>
      <c r="U17" s="3" t="s">
        <v>31</v>
      </c>
      <c r="V17" s="3" t="s">
        <v>32</v>
      </c>
      <c r="W17" s="4">
        <v>90</v>
      </c>
      <c r="X17" s="4">
        <v>95</v>
      </c>
      <c r="Y17" s="4">
        <v>80</v>
      </c>
      <c r="Z17" s="4">
        <v>85</v>
      </c>
      <c r="AA17" s="4">
        <v>90</v>
      </c>
      <c r="AB17" s="4">
        <v>85</v>
      </c>
    </row>
    <row r="18" spans="1:28" x14ac:dyDescent="0.35">
      <c r="B18" s="3" t="s">
        <v>19</v>
      </c>
      <c r="C18" s="10"/>
      <c r="D18" s="10"/>
      <c r="E18" s="10"/>
      <c r="F18" s="10"/>
      <c r="G18" s="10"/>
      <c r="H18" s="12"/>
      <c r="I18" s="12"/>
      <c r="J18" s="12"/>
      <c r="K18" s="12"/>
      <c r="L18" s="12"/>
      <c r="M18" s="12"/>
      <c r="N18" s="12"/>
      <c r="O18" s="13"/>
      <c r="Q18" s="3" t="s">
        <v>28</v>
      </c>
      <c r="R18" s="3" t="s">
        <v>38</v>
      </c>
      <c r="S18" s="3" t="s">
        <v>39</v>
      </c>
      <c r="T18" s="3" t="s">
        <v>22</v>
      </c>
      <c r="U18" s="3" t="s">
        <v>40</v>
      </c>
      <c r="V18" s="3" t="s">
        <v>32</v>
      </c>
      <c r="W18" s="4">
        <v>50</v>
      </c>
      <c r="X18" s="4">
        <v>40</v>
      </c>
      <c r="Y18" s="4">
        <v>45</v>
      </c>
      <c r="Z18" s="4">
        <v>60</v>
      </c>
      <c r="AA18" s="4">
        <v>60</v>
      </c>
      <c r="AB18" s="4">
        <v>50</v>
      </c>
    </row>
    <row r="19" spans="1:28" x14ac:dyDescent="0.35">
      <c r="B19" s="3" t="s">
        <v>41</v>
      </c>
      <c r="C19" s="10"/>
      <c r="D19" s="10"/>
      <c r="E19" s="10"/>
      <c r="F19" s="10"/>
      <c r="G19" s="10"/>
      <c r="H19" s="12"/>
      <c r="I19" s="12"/>
      <c r="J19" s="12"/>
      <c r="K19" s="12"/>
      <c r="L19" s="12"/>
      <c r="M19" s="12"/>
      <c r="N19" s="12"/>
      <c r="O19" s="13"/>
      <c r="Q19" s="3" t="s">
        <v>28</v>
      </c>
      <c r="R19" s="3" t="s">
        <v>38</v>
      </c>
      <c r="S19" s="3" t="s">
        <v>42</v>
      </c>
      <c r="T19" s="3" t="s">
        <v>41</v>
      </c>
      <c r="U19" s="3" t="s">
        <v>40</v>
      </c>
      <c r="V19" s="3" t="s">
        <v>32</v>
      </c>
      <c r="W19" s="4">
        <v>40</v>
      </c>
      <c r="X19" s="4">
        <v>45</v>
      </c>
      <c r="Y19" s="4">
        <v>50</v>
      </c>
      <c r="Z19" s="4">
        <v>45</v>
      </c>
      <c r="AA19" s="4">
        <v>45</v>
      </c>
      <c r="AB19" s="4">
        <v>40</v>
      </c>
    </row>
    <row r="20" spans="1:28" x14ac:dyDescent="0.35">
      <c r="B20" s="3" t="s">
        <v>43</v>
      </c>
      <c r="C20" s="10"/>
      <c r="D20" s="10"/>
      <c r="E20" s="10"/>
      <c r="F20" s="10"/>
      <c r="G20" s="10"/>
      <c r="H20" s="12"/>
      <c r="I20" s="12"/>
      <c r="J20" s="12"/>
      <c r="K20" s="12"/>
      <c r="L20" s="12"/>
      <c r="M20" s="12"/>
      <c r="N20" s="12"/>
      <c r="O20" s="13"/>
      <c r="Q20" s="3" t="s">
        <v>28</v>
      </c>
      <c r="R20" s="3" t="s">
        <v>38</v>
      </c>
      <c r="S20" s="3" t="s">
        <v>44</v>
      </c>
      <c r="T20" s="3" t="s">
        <v>45</v>
      </c>
      <c r="U20" s="3" t="s">
        <v>40</v>
      </c>
      <c r="V20" s="3" t="s">
        <v>32</v>
      </c>
      <c r="W20" s="4">
        <v>40</v>
      </c>
      <c r="X20" s="4">
        <v>40</v>
      </c>
      <c r="Y20" s="4">
        <v>50</v>
      </c>
      <c r="Z20" s="4">
        <v>50</v>
      </c>
      <c r="AA20" s="4">
        <v>30</v>
      </c>
      <c r="AB20" s="4">
        <v>40</v>
      </c>
    </row>
    <row r="21" spans="1:28" x14ac:dyDescent="0.35">
      <c r="B21" s="3" t="s">
        <v>24</v>
      </c>
      <c r="C21" s="10"/>
      <c r="D21" s="10"/>
      <c r="E21" s="10"/>
      <c r="F21" s="10"/>
      <c r="G21" s="10"/>
      <c r="H21" s="12"/>
      <c r="I21" s="12"/>
      <c r="J21" s="12"/>
      <c r="K21" s="12"/>
      <c r="L21" s="12"/>
      <c r="M21" s="12"/>
      <c r="N21" s="12"/>
      <c r="O21" s="13"/>
      <c r="Q21" s="3" t="s">
        <v>46</v>
      </c>
      <c r="R21" s="3" t="s">
        <v>47</v>
      </c>
      <c r="S21" s="3" t="s">
        <v>48</v>
      </c>
      <c r="T21" s="3" t="s">
        <v>35</v>
      </c>
      <c r="U21" s="3" t="s">
        <v>49</v>
      </c>
      <c r="V21" s="3" t="s">
        <v>50</v>
      </c>
      <c r="W21" s="4">
        <v>200</v>
      </c>
      <c r="X21" s="4">
        <v>150</v>
      </c>
      <c r="Y21" s="4">
        <v>180</v>
      </c>
      <c r="Z21" s="4">
        <v>250</v>
      </c>
      <c r="AA21" s="4">
        <v>300</v>
      </c>
      <c r="AB21" s="4">
        <v>210</v>
      </c>
    </row>
    <row r="22" spans="1:28" x14ac:dyDescent="0.35">
      <c r="B22" s="3" t="s">
        <v>37</v>
      </c>
      <c r="C22" s="10"/>
      <c r="D22" s="10"/>
      <c r="E22" s="10"/>
      <c r="F22" s="10"/>
      <c r="G22" s="10"/>
      <c r="H22" s="12"/>
      <c r="I22" s="12"/>
      <c r="J22" s="12"/>
      <c r="K22" s="12"/>
      <c r="L22" s="12"/>
      <c r="M22" s="12"/>
      <c r="N22" s="12"/>
      <c r="O22" s="13"/>
      <c r="Q22" s="3" t="s">
        <v>46</v>
      </c>
      <c r="R22" s="3" t="s">
        <v>47</v>
      </c>
      <c r="S22" s="3" t="s">
        <v>51</v>
      </c>
      <c r="T22" s="3" t="s">
        <v>27</v>
      </c>
      <c r="U22" s="3" t="s">
        <v>49</v>
      </c>
      <c r="V22" s="3" t="s">
        <v>50</v>
      </c>
      <c r="W22" s="4">
        <v>150</v>
      </c>
      <c r="X22" s="4">
        <v>260</v>
      </c>
      <c r="Y22" s="4">
        <v>200</v>
      </c>
      <c r="Z22" s="4">
        <v>230</v>
      </c>
      <c r="AA22" s="4">
        <v>185</v>
      </c>
      <c r="AB22" s="4">
        <v>190</v>
      </c>
    </row>
    <row r="23" spans="1:28" x14ac:dyDescent="0.35">
      <c r="B23" s="3" t="s">
        <v>45</v>
      </c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3"/>
      <c r="Q23" s="3" t="s">
        <v>46</v>
      </c>
      <c r="R23" s="3" t="s">
        <v>47</v>
      </c>
      <c r="S23" s="3" t="s">
        <v>52</v>
      </c>
      <c r="T23" s="3" t="s">
        <v>43</v>
      </c>
      <c r="U23" s="3" t="s">
        <v>49</v>
      </c>
      <c r="V23" s="3" t="s">
        <v>50</v>
      </c>
      <c r="W23" s="4">
        <v>40</v>
      </c>
      <c r="X23" s="4">
        <v>30</v>
      </c>
      <c r="Y23" s="4">
        <v>55</v>
      </c>
      <c r="Z23" s="4">
        <v>60</v>
      </c>
      <c r="AA23" s="4">
        <v>45</v>
      </c>
      <c r="AB23" s="4">
        <v>45</v>
      </c>
    </row>
    <row r="24" spans="1:28" x14ac:dyDescent="0.35">
      <c r="B24" s="5" t="s">
        <v>14</v>
      </c>
      <c r="C24" s="6"/>
      <c r="D24" s="6"/>
      <c r="E24" s="6"/>
      <c r="F24" s="6"/>
      <c r="G24" s="6"/>
      <c r="H24" s="14"/>
      <c r="I24" s="14"/>
      <c r="J24" s="14"/>
      <c r="K24" s="14"/>
      <c r="L24" s="14"/>
      <c r="M24" s="14"/>
      <c r="N24" s="14"/>
      <c r="O24" s="13"/>
    </row>
    <row r="25" spans="1:28" x14ac:dyDescent="0.35">
      <c r="B25" s="5" t="s">
        <v>62</v>
      </c>
      <c r="C25" s="20"/>
      <c r="D25" s="20"/>
      <c r="E25" s="20"/>
      <c r="F25" s="20"/>
      <c r="G25" s="20"/>
      <c r="H25" s="14"/>
      <c r="I25" s="14"/>
      <c r="J25" s="14"/>
      <c r="K25" s="14"/>
      <c r="L25" s="14"/>
      <c r="M25" s="14"/>
      <c r="N25" s="20"/>
      <c r="O25" s="14"/>
    </row>
    <row r="26" spans="1:28" x14ac:dyDescent="0.35">
      <c r="B26" s="5" t="s">
        <v>63</v>
      </c>
      <c r="C26" s="20"/>
      <c r="D26" s="20"/>
      <c r="E26" s="20"/>
      <c r="F26" s="20"/>
      <c r="G26" s="20"/>
      <c r="H26" s="14"/>
      <c r="I26" s="14"/>
      <c r="J26" s="14"/>
      <c r="K26" s="14"/>
      <c r="L26" s="14"/>
      <c r="M26" s="14"/>
      <c r="N26" s="20"/>
      <c r="O26" s="14"/>
    </row>
    <row r="27" spans="1:28" ht="6" customHeight="1" thickBot="1" x14ac:dyDescent="0.4"/>
    <row r="28" spans="1:28" ht="16" thickBot="1" x14ac:dyDescent="0.4">
      <c r="A28" s="19" t="s">
        <v>53</v>
      </c>
      <c r="B28" s="17" t="s">
        <v>54</v>
      </c>
    </row>
    <row r="29" spans="1:28" x14ac:dyDescent="0.35">
      <c r="F29" s="104" t="s">
        <v>6</v>
      </c>
      <c r="G29" s="104" t="s">
        <v>7</v>
      </c>
      <c r="H29" s="104" t="s">
        <v>8</v>
      </c>
      <c r="I29" s="104" t="s">
        <v>9</v>
      </c>
      <c r="J29" s="104" t="s">
        <v>10</v>
      </c>
      <c r="K29" s="104" t="s">
        <v>11</v>
      </c>
      <c r="L29" s="104" t="s">
        <v>12</v>
      </c>
      <c r="M29" s="104" t="s">
        <v>13</v>
      </c>
      <c r="N29" s="104" t="s">
        <v>14</v>
      </c>
      <c r="O29" s="104" t="s">
        <v>15</v>
      </c>
    </row>
    <row r="30" spans="1:28" x14ac:dyDescent="0.35">
      <c r="F30" s="3" t="s">
        <v>20</v>
      </c>
      <c r="G30" s="11"/>
      <c r="H30" s="12"/>
      <c r="I30" s="12"/>
      <c r="J30" s="12"/>
      <c r="K30" s="12"/>
      <c r="L30" s="12"/>
      <c r="M30" s="12"/>
      <c r="N30" s="12"/>
      <c r="O30" s="14"/>
    </row>
    <row r="31" spans="1:28" x14ac:dyDescent="0.35">
      <c r="F31" s="3" t="s">
        <v>31</v>
      </c>
      <c r="G31" s="11"/>
      <c r="H31" s="12"/>
      <c r="I31" s="12"/>
      <c r="J31" s="12"/>
      <c r="K31" s="12"/>
      <c r="L31" s="12"/>
      <c r="M31" s="12"/>
      <c r="N31" s="12"/>
      <c r="O31" s="14"/>
    </row>
    <row r="32" spans="1:28" x14ac:dyDescent="0.35">
      <c r="F32" s="3" t="s">
        <v>40</v>
      </c>
      <c r="G32" s="11"/>
      <c r="H32" s="12"/>
      <c r="I32" s="12"/>
      <c r="J32" s="12"/>
      <c r="K32" s="12"/>
      <c r="L32" s="12"/>
      <c r="M32" s="12"/>
      <c r="N32" s="12"/>
      <c r="O32" s="14"/>
    </row>
    <row r="33" spans="1:15" x14ac:dyDescent="0.35">
      <c r="F33" s="3" t="s">
        <v>49</v>
      </c>
      <c r="G33" s="11"/>
      <c r="H33" s="12"/>
      <c r="I33" s="12"/>
      <c r="J33" s="12"/>
      <c r="K33" s="12"/>
      <c r="L33" s="12"/>
      <c r="M33" s="12"/>
      <c r="N33" s="12"/>
      <c r="O33" s="14"/>
    </row>
    <row r="34" spans="1:15" ht="15" thickBot="1" x14ac:dyDescent="0.4">
      <c r="F34" s="7" t="s">
        <v>14</v>
      </c>
      <c r="G34" s="8"/>
      <c r="H34" s="15"/>
      <c r="I34" s="15"/>
      <c r="J34" s="15"/>
      <c r="K34" s="15"/>
      <c r="L34" s="15"/>
      <c r="M34" s="15"/>
      <c r="N34" s="15"/>
      <c r="O34" s="14"/>
    </row>
    <row r="35" spans="1:15" ht="12" hidden="1" customHeight="1" thickBot="1" x14ac:dyDescent="0.4">
      <c r="F35" s="3" t="s">
        <v>240</v>
      </c>
      <c r="G35" s="8"/>
      <c r="H35" s="108"/>
      <c r="I35" s="108"/>
      <c r="J35" s="108"/>
      <c r="K35" s="108"/>
      <c r="L35" s="108"/>
      <c r="M35" s="108"/>
      <c r="N35" s="108"/>
      <c r="O35" s="108"/>
    </row>
    <row r="36" spans="1:15" ht="16" thickBot="1" x14ac:dyDescent="0.4">
      <c r="A36" s="19" t="s">
        <v>55</v>
      </c>
      <c r="B36" s="17" t="s">
        <v>56</v>
      </c>
    </row>
    <row r="37" spans="1:15" ht="29.15" customHeight="1" x14ac:dyDescent="0.35">
      <c r="F37" s="285" t="s">
        <v>7</v>
      </c>
      <c r="G37" s="285" t="s">
        <v>57</v>
      </c>
      <c r="H37" s="282" t="s">
        <v>58</v>
      </c>
      <c r="I37" s="283"/>
      <c r="J37" s="283"/>
      <c r="K37" s="283"/>
      <c r="L37" s="283"/>
      <c r="M37" s="284"/>
    </row>
    <row r="38" spans="1:15" x14ac:dyDescent="0.35">
      <c r="F38" s="286"/>
      <c r="G38" s="286"/>
      <c r="H38" s="105" t="s">
        <v>8</v>
      </c>
      <c r="I38" s="105" t="s">
        <v>9</v>
      </c>
      <c r="J38" s="105" t="s">
        <v>10</v>
      </c>
      <c r="K38" s="105" t="s">
        <v>11</v>
      </c>
      <c r="L38" s="105" t="s">
        <v>12</v>
      </c>
      <c r="M38" s="105" t="s">
        <v>13</v>
      </c>
    </row>
    <row r="39" spans="1:15" x14ac:dyDescent="0.35">
      <c r="F39" s="5" t="s">
        <v>32</v>
      </c>
      <c r="G39" s="4">
        <v>100</v>
      </c>
      <c r="H39" s="12"/>
      <c r="I39" s="12" t="s">
        <v>519</v>
      </c>
      <c r="J39" s="12"/>
      <c r="K39" s="12"/>
      <c r="L39" s="12"/>
      <c r="M39" s="12"/>
      <c r="N39" t="s">
        <v>244</v>
      </c>
    </row>
    <row r="40" spans="1:15" x14ac:dyDescent="0.35">
      <c r="F40" s="5" t="s">
        <v>21</v>
      </c>
      <c r="G40" s="4">
        <v>50</v>
      </c>
      <c r="H40" s="12"/>
      <c r="I40" s="12"/>
      <c r="J40" s="12"/>
      <c r="K40" s="12"/>
      <c r="L40" s="12"/>
      <c r="M40" s="12"/>
      <c r="N40" t="s">
        <v>245</v>
      </c>
    </row>
    <row r="41" spans="1:15" x14ac:dyDescent="0.35">
      <c r="F41" s="5" t="s">
        <v>50</v>
      </c>
      <c r="G41" s="4">
        <v>95</v>
      </c>
      <c r="H41" s="12"/>
      <c r="I41" s="12"/>
      <c r="J41" s="12"/>
      <c r="K41" s="12"/>
      <c r="L41" s="12"/>
      <c r="M41" s="12"/>
      <c r="N41" t="s">
        <v>243</v>
      </c>
    </row>
    <row r="42" spans="1:15" x14ac:dyDescent="0.35">
      <c r="F42" s="5" t="s">
        <v>14</v>
      </c>
      <c r="G42" s="9"/>
      <c r="H42" s="15"/>
      <c r="I42" s="15"/>
      <c r="J42" s="15"/>
      <c r="K42" s="15"/>
      <c r="L42" s="15"/>
      <c r="M42" s="15"/>
    </row>
  </sheetData>
  <mergeCells count="11">
    <mergeCell ref="H37:M37"/>
    <mergeCell ref="G37:G38"/>
    <mergeCell ref="F37:F38"/>
    <mergeCell ref="G10:G11"/>
    <mergeCell ref="H10:O10"/>
    <mergeCell ref="W10:AB10"/>
    <mergeCell ref="B10:B11"/>
    <mergeCell ref="C10:C11"/>
    <mergeCell ref="D10:D11"/>
    <mergeCell ref="E10:E11"/>
    <mergeCell ref="F10:F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B8D17AE4-3925-4882-8458-2024FF1462AD}">
            <xm:f>C12&lt;&gt;'ans3'!C12</xm:f>
            <x14:dxf>
              <fill>
                <patternFill>
                  <bgColor rgb="FFFF9999"/>
                </patternFill>
              </fill>
            </x14:dxf>
          </x14:cfRule>
          <x14:cfRule type="expression" priority="7" stopIfTrue="1" id="{82731963-546B-4F97-A1F2-1A54189F7342}">
            <xm:f>C12='ans3'!C12</xm:f>
            <x14:dxf>
              <fill>
                <patternFill>
                  <bgColor theme="9" tint="0.59996337778862885"/>
                </patternFill>
              </fill>
            </x14:dxf>
          </x14:cfRule>
          <xm:sqref>C12:O23 N24:O24 H24:M26 O25:O26</xm:sqref>
        </x14:conditionalFormatting>
        <x14:conditionalFormatting xmlns:xm="http://schemas.microsoft.com/office/excel/2006/main">
          <x14:cfRule type="expression" priority="3" stopIfTrue="1" id="{8FAB82CC-7A13-432F-A2A4-C520855C5CAB}">
            <xm:f>G30&lt;&gt;'ans3'!G30</xm:f>
            <x14:dxf>
              <fill>
                <patternFill>
                  <bgColor rgb="FFFF9999"/>
                </patternFill>
              </fill>
            </x14:dxf>
          </x14:cfRule>
          <x14:cfRule type="expression" priority="4" stopIfTrue="1" id="{81367AAD-2775-46AF-A904-15489677297D}">
            <xm:f>G30='ans3'!G30</xm:f>
            <x14:dxf>
              <fill>
                <patternFill>
                  <bgColor theme="9" tint="0.59996337778862885"/>
                </patternFill>
              </fill>
            </x14:dxf>
          </x14:cfRule>
          <xm:sqref>G30:O33 H34:O34</xm:sqref>
        </x14:conditionalFormatting>
        <x14:conditionalFormatting xmlns:xm="http://schemas.microsoft.com/office/excel/2006/main">
          <x14:cfRule type="expression" priority="1" id="{AA7CBF4F-983B-469A-9153-C58A2BCC1FF5}">
            <xm:f>H39&lt;&gt;'ans3'!H39</xm:f>
            <x14:dxf>
              <fill>
                <patternFill>
                  <bgColor rgb="FFFF9999"/>
                </patternFill>
              </fill>
            </x14:dxf>
          </x14:cfRule>
          <x14:cfRule type="expression" priority="2" id="{410E7562-0898-4CEF-B4DA-D386A8A0BB9D}">
            <xm:f>H39='ans3'!H39</xm:f>
            <x14:dxf>
              <fill>
                <patternFill>
                  <bgColor theme="9" tint="0.59996337778862885"/>
                </patternFill>
              </fill>
            </x14:dxf>
          </x14:cfRule>
          <xm:sqref>H39:M42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B853-78D0-4D31-95F2-94386649BA16}">
  <dimension ref="A2:T78"/>
  <sheetViews>
    <sheetView showGridLines="0" workbookViewId="0">
      <selection activeCell="N61" sqref="N61"/>
    </sheetView>
  </sheetViews>
  <sheetFormatPr defaultRowHeight="14.5" x14ac:dyDescent="0.35"/>
  <cols>
    <col min="1" max="1" width="3.81640625" customWidth="1"/>
    <col min="2" max="2" width="4.1796875" customWidth="1"/>
    <col min="3" max="3" width="18" bestFit="1" customWidth="1"/>
    <col min="4" max="4" width="15" bestFit="1" customWidth="1"/>
    <col min="5" max="5" width="15.1796875" bestFit="1" customWidth="1"/>
    <col min="6" max="6" width="10.54296875" bestFit="1" customWidth="1"/>
    <col min="7" max="7" width="10.7265625" bestFit="1" customWidth="1"/>
    <col min="8" max="8" width="13.7265625" bestFit="1" customWidth="1"/>
    <col min="9" max="9" width="12.54296875" bestFit="1" customWidth="1"/>
    <col min="10" max="10" width="13.81640625" bestFit="1" customWidth="1"/>
    <col min="11" max="11" width="12.54296875" bestFit="1" customWidth="1"/>
    <col min="12" max="12" width="15.1796875" customWidth="1"/>
    <col min="13" max="13" width="12.54296875" bestFit="1" customWidth="1"/>
    <col min="14" max="14" width="10.26953125" bestFit="1" customWidth="1"/>
    <col min="15" max="15" width="5.81640625" bestFit="1" customWidth="1"/>
    <col min="16" max="16" width="18.26953125" bestFit="1" customWidth="1"/>
  </cols>
  <sheetData>
    <row r="2" spans="2:16" ht="23.5" x14ac:dyDescent="0.35">
      <c r="B2" s="1" t="s">
        <v>237</v>
      </c>
    </row>
    <row r="3" spans="2:16" ht="16" thickBot="1" x14ac:dyDescent="0.4">
      <c r="B3" s="17" t="s">
        <v>382</v>
      </c>
    </row>
    <row r="4" spans="2:16" x14ac:dyDescent="0.35">
      <c r="B4" s="137" t="s">
        <v>271</v>
      </c>
      <c r="C4" s="138"/>
      <c r="D4" s="138"/>
      <c r="E4" s="138"/>
      <c r="F4" s="138"/>
      <c r="G4" s="138"/>
      <c r="H4" s="138"/>
      <c r="I4" s="138"/>
      <c r="J4" s="139"/>
    </row>
    <row r="5" spans="2:16" x14ac:dyDescent="0.35">
      <c r="B5" s="169" t="s">
        <v>312</v>
      </c>
      <c r="C5" s="170"/>
      <c r="D5" s="170"/>
      <c r="E5" s="170"/>
      <c r="F5" s="170"/>
      <c r="G5" s="170"/>
      <c r="H5" s="170"/>
      <c r="I5" s="170"/>
      <c r="J5" s="171"/>
    </row>
    <row r="6" spans="2:16" ht="15" thickBot="1" x14ac:dyDescent="0.4">
      <c r="B6" s="140" t="s">
        <v>365</v>
      </c>
      <c r="C6" s="141"/>
      <c r="D6" s="141"/>
      <c r="E6" s="141"/>
      <c r="F6" s="141"/>
      <c r="G6" s="141"/>
      <c r="H6" s="141"/>
      <c r="I6" s="141"/>
      <c r="J6" s="142"/>
    </row>
    <row r="7" spans="2:16" ht="16" thickBot="1" x14ac:dyDescent="0.4">
      <c r="L7" s="17" t="s">
        <v>225</v>
      </c>
    </row>
    <row r="8" spans="2:16" ht="39" x14ac:dyDescent="0.35">
      <c r="B8" s="114" t="s">
        <v>65</v>
      </c>
      <c r="C8" s="115" t="s">
        <v>220</v>
      </c>
      <c r="D8" s="115" t="s">
        <v>259</v>
      </c>
      <c r="E8" s="115" t="s">
        <v>260</v>
      </c>
      <c r="F8" s="115" t="s">
        <v>261</v>
      </c>
      <c r="G8" s="115" t="s">
        <v>262</v>
      </c>
      <c r="H8" s="115" t="s">
        <v>15</v>
      </c>
      <c r="I8" s="115" t="s">
        <v>221</v>
      </c>
      <c r="J8" s="116" t="s">
        <v>222</v>
      </c>
      <c r="L8" s="117" t="s">
        <v>221</v>
      </c>
      <c r="M8" s="118" t="s">
        <v>226</v>
      </c>
      <c r="O8" s="119" t="s">
        <v>226</v>
      </c>
      <c r="P8" s="118" t="s">
        <v>222</v>
      </c>
    </row>
    <row r="9" spans="2:16" x14ac:dyDescent="0.35">
      <c r="B9" s="89">
        <v>1</v>
      </c>
      <c r="C9" s="88" t="s">
        <v>263</v>
      </c>
      <c r="D9" s="74">
        <v>2004001</v>
      </c>
      <c r="E9" s="74">
        <v>90</v>
      </c>
      <c r="F9" s="74">
        <v>70</v>
      </c>
      <c r="G9" s="74">
        <v>70</v>
      </c>
      <c r="H9" s="134">
        <f>AVERAGE(E9:G9)</f>
        <v>76.666666666666671</v>
      </c>
      <c r="I9" s="135" t="str">
        <f>IF(H9&lt;50,"E",IF(H9&lt;60,"D",IF(H9&lt;80,"C",IF(H9&lt;90,"B","A"))))</f>
        <v>C</v>
      </c>
      <c r="J9" s="136" t="str">
        <f>_xlfn.XLOOKUP(I9,$O$9:$O$13,$P$9:$P$13)</f>
        <v>Cukup</v>
      </c>
      <c r="L9" s="92" t="s">
        <v>227</v>
      </c>
      <c r="M9" s="95" t="s">
        <v>125</v>
      </c>
      <c r="O9" s="92" t="s">
        <v>125</v>
      </c>
      <c r="P9" s="111" t="s">
        <v>232</v>
      </c>
    </row>
    <row r="10" spans="2:16" x14ac:dyDescent="0.35">
      <c r="B10" s="89">
        <v>2</v>
      </c>
      <c r="C10" s="88" t="s">
        <v>264</v>
      </c>
      <c r="D10" s="74">
        <v>2004002</v>
      </c>
      <c r="E10" s="74">
        <v>80</v>
      </c>
      <c r="F10" s="74">
        <v>90</v>
      </c>
      <c r="G10" s="74">
        <v>90</v>
      </c>
      <c r="H10" s="134">
        <f t="shared" ref="H10:H18" si="0">AVERAGE(E10:G10)</f>
        <v>86.666666666666671</v>
      </c>
      <c r="I10" s="135" t="str">
        <f t="shared" ref="I10:I18" si="1">IF(H10&lt;50,"E",IF(H10&lt;60,"D",IF(H10&lt;80,"C",IF(H10&lt;90,"B","A"))))</f>
        <v>B</v>
      </c>
      <c r="J10" s="136" t="str">
        <f t="shared" ref="J10:J18" si="2">_xlfn.XLOOKUP(I10,$O$9:$O$13,$P$9:$P$13)</f>
        <v>Memuaskan</v>
      </c>
      <c r="L10" s="93" t="s">
        <v>229</v>
      </c>
      <c r="M10" s="96" t="s">
        <v>89</v>
      </c>
      <c r="O10" s="93" t="s">
        <v>89</v>
      </c>
      <c r="P10" s="112" t="s">
        <v>233</v>
      </c>
    </row>
    <row r="11" spans="2:16" x14ac:dyDescent="0.35">
      <c r="B11" s="89">
        <v>3</v>
      </c>
      <c r="C11" s="88" t="s">
        <v>265</v>
      </c>
      <c r="D11" s="74">
        <v>2004003</v>
      </c>
      <c r="E11" s="74">
        <v>70</v>
      </c>
      <c r="F11" s="74">
        <v>85</v>
      </c>
      <c r="G11" s="74">
        <v>90</v>
      </c>
      <c r="H11" s="134">
        <f t="shared" si="0"/>
        <v>81.666666666666671</v>
      </c>
      <c r="I11" s="135" t="str">
        <f t="shared" si="1"/>
        <v>B</v>
      </c>
      <c r="J11" s="136" t="str">
        <f t="shared" si="2"/>
        <v>Memuaskan</v>
      </c>
      <c r="L11" s="93" t="s">
        <v>228</v>
      </c>
      <c r="M11" s="96" t="s">
        <v>50</v>
      </c>
      <c r="O11" s="93" t="s">
        <v>50</v>
      </c>
      <c r="P11" s="112" t="s">
        <v>234</v>
      </c>
    </row>
    <row r="12" spans="2:16" x14ac:dyDescent="0.35">
      <c r="B12" s="89">
        <v>4</v>
      </c>
      <c r="C12" s="88" t="s">
        <v>266</v>
      </c>
      <c r="D12" s="74">
        <v>2004004</v>
      </c>
      <c r="E12" s="74">
        <v>80</v>
      </c>
      <c r="F12" s="74">
        <v>90</v>
      </c>
      <c r="G12" s="74">
        <v>80</v>
      </c>
      <c r="H12" s="134">
        <f t="shared" si="0"/>
        <v>83.333333333333329</v>
      </c>
      <c r="I12" s="135" t="str">
        <f t="shared" si="1"/>
        <v>B</v>
      </c>
      <c r="J12" s="136" t="str">
        <f t="shared" si="2"/>
        <v>Memuaskan</v>
      </c>
      <c r="L12" s="93" t="s">
        <v>230</v>
      </c>
      <c r="M12" s="96" t="s">
        <v>21</v>
      </c>
      <c r="O12" s="93" t="s">
        <v>21</v>
      </c>
      <c r="P12" s="112" t="s">
        <v>235</v>
      </c>
    </row>
    <row r="13" spans="2:16" ht="15" thickBot="1" x14ac:dyDescent="0.4">
      <c r="B13" s="89">
        <v>5</v>
      </c>
      <c r="C13" s="88" t="s">
        <v>267</v>
      </c>
      <c r="D13" s="74">
        <v>2004005</v>
      </c>
      <c r="E13" s="74">
        <v>85</v>
      </c>
      <c r="F13" s="74">
        <v>60</v>
      </c>
      <c r="G13" s="74">
        <v>80</v>
      </c>
      <c r="H13" s="134">
        <f t="shared" si="0"/>
        <v>75</v>
      </c>
      <c r="I13" s="135" t="str">
        <f t="shared" si="1"/>
        <v>C</v>
      </c>
      <c r="J13" s="136" t="str">
        <f t="shared" si="2"/>
        <v>Cukup</v>
      </c>
      <c r="L13" s="94" t="s">
        <v>231</v>
      </c>
      <c r="M13" s="97" t="s">
        <v>32</v>
      </c>
      <c r="O13" s="94" t="s">
        <v>32</v>
      </c>
      <c r="P13" s="113" t="s">
        <v>236</v>
      </c>
    </row>
    <row r="14" spans="2:16" x14ac:dyDescent="0.35">
      <c r="B14" s="89">
        <v>6</v>
      </c>
      <c r="C14" s="88" t="s">
        <v>268</v>
      </c>
      <c r="D14" s="74">
        <v>2004006</v>
      </c>
      <c r="E14" s="74">
        <v>85</v>
      </c>
      <c r="F14" s="74">
        <v>75</v>
      </c>
      <c r="G14" s="74">
        <v>85</v>
      </c>
      <c r="H14" s="134">
        <f t="shared" si="0"/>
        <v>81.666666666666671</v>
      </c>
      <c r="I14" s="135" t="str">
        <f t="shared" si="1"/>
        <v>B</v>
      </c>
      <c r="J14" s="136" t="str">
        <f t="shared" si="2"/>
        <v>Memuaskan</v>
      </c>
    </row>
    <row r="15" spans="2:16" x14ac:dyDescent="0.35">
      <c r="B15" s="89">
        <v>7</v>
      </c>
      <c r="C15" s="88" t="s">
        <v>223</v>
      </c>
      <c r="D15" s="74">
        <v>2004007</v>
      </c>
      <c r="E15" s="74">
        <v>87</v>
      </c>
      <c r="F15" s="74">
        <v>70</v>
      </c>
      <c r="G15" s="74">
        <v>70</v>
      </c>
      <c r="H15" s="134">
        <f t="shared" si="0"/>
        <v>75.666666666666671</v>
      </c>
      <c r="I15" s="135" t="str">
        <f t="shared" si="1"/>
        <v>C</v>
      </c>
      <c r="J15" s="136" t="str">
        <f t="shared" si="2"/>
        <v>Cukup</v>
      </c>
    </row>
    <row r="16" spans="2:16" x14ac:dyDescent="0.35">
      <c r="B16" s="89">
        <v>8</v>
      </c>
      <c r="C16" s="88" t="s">
        <v>224</v>
      </c>
      <c r="D16" s="74">
        <v>2004008</v>
      </c>
      <c r="E16" s="74">
        <v>90</v>
      </c>
      <c r="F16" s="74">
        <v>80</v>
      </c>
      <c r="G16" s="74">
        <v>65</v>
      </c>
      <c r="H16" s="134">
        <f t="shared" si="0"/>
        <v>78.333333333333329</v>
      </c>
      <c r="I16" s="135" t="str">
        <f t="shared" si="1"/>
        <v>C</v>
      </c>
      <c r="J16" s="136" t="str">
        <f t="shared" si="2"/>
        <v>Cukup</v>
      </c>
    </row>
    <row r="17" spans="1:20" x14ac:dyDescent="0.35">
      <c r="B17" s="89">
        <v>9</v>
      </c>
      <c r="C17" s="88" t="s">
        <v>269</v>
      </c>
      <c r="D17" s="74">
        <v>2004009</v>
      </c>
      <c r="E17" s="74">
        <v>95</v>
      </c>
      <c r="F17" s="74">
        <v>78</v>
      </c>
      <c r="G17" s="74">
        <v>90</v>
      </c>
      <c r="H17" s="134">
        <f t="shared" si="0"/>
        <v>87.666666666666671</v>
      </c>
      <c r="I17" s="135" t="str">
        <f t="shared" si="1"/>
        <v>B</v>
      </c>
      <c r="J17" s="136" t="str">
        <f t="shared" si="2"/>
        <v>Memuaskan</v>
      </c>
    </row>
    <row r="18" spans="1:20" ht="15" thickBot="1" x14ac:dyDescent="0.4">
      <c r="B18" s="90">
        <v>10</v>
      </c>
      <c r="C18" s="91" t="s">
        <v>270</v>
      </c>
      <c r="D18" s="79">
        <v>2004010</v>
      </c>
      <c r="E18" s="79">
        <v>97</v>
      </c>
      <c r="F18" s="79">
        <v>95</v>
      </c>
      <c r="G18" s="79">
        <v>50</v>
      </c>
      <c r="H18" s="134">
        <f t="shared" si="0"/>
        <v>80.666666666666671</v>
      </c>
      <c r="I18" s="135" t="str">
        <f t="shared" si="1"/>
        <v>B</v>
      </c>
      <c r="J18" s="136" t="str">
        <f t="shared" si="2"/>
        <v>Memuaskan</v>
      </c>
    </row>
    <row r="20" spans="1:20" x14ac:dyDescent="0.35">
      <c r="A20" s="241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</row>
    <row r="21" spans="1:20" ht="18" x14ac:dyDescent="0.4">
      <c r="B21" s="120" t="s">
        <v>272</v>
      </c>
      <c r="F21" s="121"/>
    </row>
    <row r="22" spans="1:20" ht="15" thickBot="1" x14ac:dyDescent="0.4">
      <c r="F22" s="121"/>
    </row>
    <row r="23" spans="1:20" x14ac:dyDescent="0.35">
      <c r="B23" s="123" t="s">
        <v>65</v>
      </c>
      <c r="C23" s="124" t="s">
        <v>273</v>
      </c>
      <c r="D23" s="124" t="s">
        <v>274</v>
      </c>
      <c r="E23" s="124" t="s">
        <v>275</v>
      </c>
      <c r="F23" s="124" t="s">
        <v>276</v>
      </c>
      <c r="G23" s="124" t="s">
        <v>277</v>
      </c>
      <c r="H23" s="124" t="s">
        <v>278</v>
      </c>
      <c r="I23" s="124" t="s">
        <v>279</v>
      </c>
      <c r="J23" s="124" t="s">
        <v>280</v>
      </c>
      <c r="K23" s="124" t="s">
        <v>281</v>
      </c>
      <c r="L23" s="124" t="s">
        <v>314</v>
      </c>
      <c r="M23" s="125" t="s">
        <v>282</v>
      </c>
      <c r="O23" s="117" t="s">
        <v>215</v>
      </c>
      <c r="P23" s="118" t="s">
        <v>313</v>
      </c>
    </row>
    <row r="24" spans="1:20" x14ac:dyDescent="0.35">
      <c r="B24" s="126" t="s">
        <v>283</v>
      </c>
      <c r="C24" s="75" t="s">
        <v>284</v>
      </c>
      <c r="D24" s="75" t="s">
        <v>285</v>
      </c>
      <c r="E24" s="75" t="s">
        <v>286</v>
      </c>
      <c r="F24" s="74" t="s">
        <v>32</v>
      </c>
      <c r="G24" s="122">
        <v>38141</v>
      </c>
      <c r="H24" s="122">
        <v>38156</v>
      </c>
      <c r="I24" s="130">
        <f>IF(H24-G24=0,1,H24-G24)</f>
        <v>15</v>
      </c>
      <c r="J24" s="131">
        <f>_xlfn.XLOOKUP(F24,$O$24:$O$26,$P$24:$P$26)</f>
        <v>50000</v>
      </c>
      <c r="K24" s="132">
        <f>I24*J24</f>
        <v>750000</v>
      </c>
      <c r="L24" s="132">
        <f>IF(I24&gt;15,K24*15%,K24*0%)</f>
        <v>0</v>
      </c>
      <c r="M24" s="133">
        <f>K24-L24</f>
        <v>750000</v>
      </c>
      <c r="O24" s="92" t="s">
        <v>32</v>
      </c>
      <c r="P24" s="143">
        <v>50000</v>
      </c>
    </row>
    <row r="25" spans="1:20" x14ac:dyDescent="0.35">
      <c r="B25" s="127" t="s">
        <v>287</v>
      </c>
      <c r="C25" s="75" t="s">
        <v>288</v>
      </c>
      <c r="D25" s="75" t="s">
        <v>289</v>
      </c>
      <c r="E25" s="75" t="s">
        <v>286</v>
      </c>
      <c r="F25" s="74" t="s">
        <v>50</v>
      </c>
      <c r="G25" s="122">
        <v>38161</v>
      </c>
      <c r="H25" s="122">
        <v>38161</v>
      </c>
      <c r="I25" s="130">
        <f t="shared" ref="I25:I32" si="3">IF(H25-G25=0,1,H25-G25)</f>
        <v>1</v>
      </c>
      <c r="J25" s="131">
        <f t="shared" ref="J25:J32" si="4">_xlfn.XLOOKUP(F25,$O$24:$O$26,$P$24:$P$26)</f>
        <v>15000</v>
      </c>
      <c r="K25" s="132">
        <f t="shared" ref="K25:K32" si="5">I25*J25</f>
        <v>15000</v>
      </c>
      <c r="L25" s="132">
        <f t="shared" ref="L25:L32" si="6">IF(I25&gt;15,K25*15%,K25*0%)</f>
        <v>0</v>
      </c>
      <c r="M25" s="133">
        <f t="shared" ref="M25:M32" si="7">K25-L25</f>
        <v>15000</v>
      </c>
      <c r="O25" s="93" t="s">
        <v>21</v>
      </c>
      <c r="P25" s="144">
        <v>25000</v>
      </c>
    </row>
    <row r="26" spans="1:20" x14ac:dyDescent="0.35">
      <c r="B26" s="127" t="s">
        <v>290</v>
      </c>
      <c r="C26" s="75" t="s">
        <v>291</v>
      </c>
      <c r="D26" s="75" t="s">
        <v>292</v>
      </c>
      <c r="E26" s="75" t="s">
        <v>293</v>
      </c>
      <c r="F26" s="74" t="s">
        <v>50</v>
      </c>
      <c r="G26" s="122">
        <v>38184</v>
      </c>
      <c r="H26" s="122">
        <v>38184</v>
      </c>
      <c r="I26" s="130">
        <f t="shared" si="3"/>
        <v>1</v>
      </c>
      <c r="J26" s="131">
        <f t="shared" si="4"/>
        <v>15000</v>
      </c>
      <c r="K26" s="132">
        <f t="shared" si="5"/>
        <v>15000</v>
      </c>
      <c r="L26" s="132">
        <f t="shared" si="6"/>
        <v>0</v>
      </c>
      <c r="M26" s="133">
        <f t="shared" si="7"/>
        <v>15000</v>
      </c>
      <c r="O26" s="93" t="s">
        <v>50</v>
      </c>
      <c r="P26" s="144">
        <v>15000</v>
      </c>
    </row>
    <row r="27" spans="1:20" x14ac:dyDescent="0.35">
      <c r="B27" s="127" t="s">
        <v>294</v>
      </c>
      <c r="C27" s="75" t="s">
        <v>224</v>
      </c>
      <c r="D27" s="75" t="s">
        <v>295</v>
      </c>
      <c r="E27" s="75" t="s">
        <v>296</v>
      </c>
      <c r="F27" s="74" t="s">
        <v>32</v>
      </c>
      <c r="G27" s="122">
        <v>38140</v>
      </c>
      <c r="H27" s="122">
        <v>38149</v>
      </c>
      <c r="I27" s="130">
        <f t="shared" si="3"/>
        <v>9</v>
      </c>
      <c r="J27" s="131">
        <f t="shared" si="4"/>
        <v>50000</v>
      </c>
      <c r="K27" s="132">
        <f t="shared" si="5"/>
        <v>450000</v>
      </c>
      <c r="L27" s="132">
        <f t="shared" si="6"/>
        <v>0</v>
      </c>
      <c r="M27" s="133">
        <f t="shared" si="7"/>
        <v>450000</v>
      </c>
    </row>
    <row r="28" spans="1:20" x14ac:dyDescent="0.35">
      <c r="B28" s="127" t="s">
        <v>297</v>
      </c>
      <c r="C28" s="75" t="s">
        <v>298</v>
      </c>
      <c r="D28" s="75" t="s">
        <v>299</v>
      </c>
      <c r="E28" s="75" t="s">
        <v>296</v>
      </c>
      <c r="F28" s="74" t="s">
        <v>21</v>
      </c>
      <c r="G28" s="122">
        <v>38145</v>
      </c>
      <c r="H28" s="122">
        <v>38164</v>
      </c>
      <c r="I28" s="130">
        <f t="shared" si="3"/>
        <v>19</v>
      </c>
      <c r="J28" s="131">
        <f t="shared" si="4"/>
        <v>25000</v>
      </c>
      <c r="K28" s="132">
        <f t="shared" si="5"/>
        <v>475000</v>
      </c>
      <c r="L28" s="132">
        <f t="shared" si="6"/>
        <v>71250</v>
      </c>
      <c r="M28" s="133">
        <f t="shared" si="7"/>
        <v>403750</v>
      </c>
      <c r="N28" s="244"/>
    </row>
    <row r="29" spans="1:20" x14ac:dyDescent="0.35">
      <c r="B29" s="127" t="s">
        <v>300</v>
      </c>
      <c r="C29" s="75" t="s">
        <v>301</v>
      </c>
      <c r="D29" s="75" t="s">
        <v>302</v>
      </c>
      <c r="E29" s="75" t="s">
        <v>296</v>
      </c>
      <c r="F29" s="74" t="s">
        <v>21</v>
      </c>
      <c r="G29" s="122">
        <v>38159</v>
      </c>
      <c r="H29" s="122">
        <v>38169</v>
      </c>
      <c r="I29" s="130">
        <f t="shared" si="3"/>
        <v>10</v>
      </c>
      <c r="J29" s="131">
        <f t="shared" si="4"/>
        <v>25000</v>
      </c>
      <c r="K29" s="132">
        <f t="shared" si="5"/>
        <v>250000</v>
      </c>
      <c r="L29" s="132">
        <f t="shared" si="6"/>
        <v>0</v>
      </c>
      <c r="M29" s="133">
        <f t="shared" si="7"/>
        <v>250000</v>
      </c>
    </row>
    <row r="30" spans="1:20" x14ac:dyDescent="0.35">
      <c r="B30" s="127" t="s">
        <v>303</v>
      </c>
      <c r="C30" s="75" t="s">
        <v>304</v>
      </c>
      <c r="D30" s="75" t="s">
        <v>305</v>
      </c>
      <c r="E30" s="75" t="s">
        <v>296</v>
      </c>
      <c r="F30" s="74" t="s">
        <v>50</v>
      </c>
      <c r="G30" s="122">
        <v>38173</v>
      </c>
      <c r="H30" s="122">
        <v>38179</v>
      </c>
      <c r="I30" s="130">
        <f t="shared" si="3"/>
        <v>6</v>
      </c>
      <c r="J30" s="131">
        <f t="shared" si="4"/>
        <v>15000</v>
      </c>
      <c r="K30" s="132">
        <f t="shared" si="5"/>
        <v>90000</v>
      </c>
      <c r="L30" s="132">
        <f t="shared" si="6"/>
        <v>0</v>
      </c>
      <c r="M30" s="133">
        <f t="shared" si="7"/>
        <v>90000</v>
      </c>
    </row>
    <row r="31" spans="1:20" x14ac:dyDescent="0.35">
      <c r="B31" s="127" t="s">
        <v>306</v>
      </c>
      <c r="C31" s="75" t="s">
        <v>307</v>
      </c>
      <c r="D31" s="75" t="s">
        <v>308</v>
      </c>
      <c r="E31" s="75" t="s">
        <v>296</v>
      </c>
      <c r="F31" s="74" t="s">
        <v>21</v>
      </c>
      <c r="G31" s="122">
        <v>38206</v>
      </c>
      <c r="H31" s="122">
        <v>38222</v>
      </c>
      <c r="I31" s="130">
        <f t="shared" si="3"/>
        <v>16</v>
      </c>
      <c r="J31" s="131">
        <f t="shared" si="4"/>
        <v>25000</v>
      </c>
      <c r="K31" s="132">
        <f t="shared" si="5"/>
        <v>400000</v>
      </c>
      <c r="L31" s="132">
        <f t="shared" si="6"/>
        <v>60000</v>
      </c>
      <c r="M31" s="133">
        <f t="shared" si="7"/>
        <v>340000</v>
      </c>
    </row>
    <row r="32" spans="1:20" ht="15" thickBot="1" x14ac:dyDescent="0.4">
      <c r="B32" s="128" t="s">
        <v>309</v>
      </c>
      <c r="C32" s="78" t="s">
        <v>310</v>
      </c>
      <c r="D32" s="78" t="s">
        <v>311</v>
      </c>
      <c r="E32" s="78" t="s">
        <v>286</v>
      </c>
      <c r="F32" s="79" t="s">
        <v>32</v>
      </c>
      <c r="G32" s="129">
        <v>38211</v>
      </c>
      <c r="H32" s="129">
        <v>38211</v>
      </c>
      <c r="I32" s="130">
        <f t="shared" si="3"/>
        <v>1</v>
      </c>
      <c r="J32" s="131">
        <f t="shared" si="4"/>
        <v>50000</v>
      </c>
      <c r="K32" s="132">
        <f t="shared" si="5"/>
        <v>50000</v>
      </c>
      <c r="L32" s="132">
        <f t="shared" si="6"/>
        <v>0</v>
      </c>
      <c r="M32" s="133">
        <f t="shared" si="7"/>
        <v>50000</v>
      </c>
    </row>
    <row r="33" spans="1:20" x14ac:dyDescent="0.35">
      <c r="B33" s="145" t="s">
        <v>315</v>
      </c>
    </row>
    <row r="35" spans="1:20" x14ac:dyDescent="0.35">
      <c r="A35" s="241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</row>
    <row r="36" spans="1:20" ht="18" x14ac:dyDescent="0.4">
      <c r="B36" s="120" t="s">
        <v>316</v>
      </c>
    </row>
    <row r="37" spans="1:20" ht="18.5" thickBot="1" x14ac:dyDescent="0.45">
      <c r="B37" s="120"/>
    </row>
    <row r="38" spans="1:20" x14ac:dyDescent="0.35">
      <c r="B38" s="146" t="s">
        <v>212</v>
      </c>
      <c r="C38" s="147" t="s">
        <v>213</v>
      </c>
      <c r="D38" s="124" t="s">
        <v>214</v>
      </c>
      <c r="E38" s="147" t="s">
        <v>317</v>
      </c>
      <c r="F38" s="147" t="s">
        <v>215</v>
      </c>
      <c r="G38" s="124" t="s">
        <v>216</v>
      </c>
      <c r="H38" s="148" t="s">
        <v>217</v>
      </c>
      <c r="J38" s="117" t="s">
        <v>221</v>
      </c>
      <c r="K38" s="118" t="s">
        <v>226</v>
      </c>
    </row>
    <row r="39" spans="1:20" x14ac:dyDescent="0.35">
      <c r="B39" s="76">
        <v>1</v>
      </c>
      <c r="C39" s="75" t="s">
        <v>318</v>
      </c>
      <c r="D39" s="74" t="s">
        <v>319</v>
      </c>
      <c r="E39" s="165" t="str">
        <f>_xlfn.XLOOKUP(LEFT(D39,1),$J$39:$J$40,$K$39:$K$40)</f>
        <v>Yamaha</v>
      </c>
      <c r="F39" s="166" t="str">
        <f>_xlfn.XLOOKUP(MID(D39,2,2),$J$43:$J$51,$K$43:$K$51)</f>
        <v>Jupiter</v>
      </c>
      <c r="G39" s="167">
        <f>_xlfn.XLOOKUP(F39,$K$43:$K$51,$L$43:$L$51)</f>
        <v>1750000</v>
      </c>
      <c r="H39" s="168">
        <f>_xlfn.XLOOKUP(F39,$K$43:$K$51,$M$43:$M$51)</f>
        <v>608000</v>
      </c>
      <c r="J39" s="92" t="s">
        <v>100</v>
      </c>
      <c r="K39" s="95" t="s">
        <v>344</v>
      </c>
    </row>
    <row r="40" spans="1:20" ht="15" thickBot="1" x14ac:dyDescent="0.4">
      <c r="B40" s="76">
        <v>2</v>
      </c>
      <c r="C40" s="75" t="s">
        <v>320</v>
      </c>
      <c r="D40" s="74" t="s">
        <v>321</v>
      </c>
      <c r="E40" s="165" t="str">
        <f t="shared" ref="E40:E51" si="8">_xlfn.XLOOKUP(LEFT(D40,1),$J$39:$J$40,$K$39:$K$40)</f>
        <v>Yamaha</v>
      </c>
      <c r="F40" s="166" t="str">
        <f t="shared" ref="F40:F51" si="9">_xlfn.XLOOKUP(MID(D40,2,2),$J$43:$J$51,$K$43:$K$51)</f>
        <v>Nouvo</v>
      </c>
      <c r="G40" s="167">
        <f t="shared" ref="G40:G51" si="10">_xlfn.XLOOKUP(F40,$K$43:$K$51,$L$43:$L$51)</f>
        <v>1500000</v>
      </c>
      <c r="H40" s="168">
        <f t="shared" ref="H40:H51" si="11">_xlfn.XLOOKUP(F40,$K$43:$K$51,$M$43:$M$51)</f>
        <v>634000</v>
      </c>
      <c r="J40" s="94" t="s">
        <v>345</v>
      </c>
      <c r="K40" s="97" t="s">
        <v>346</v>
      </c>
    </row>
    <row r="41" spans="1:20" ht="15" thickBot="1" x14ac:dyDescent="0.4">
      <c r="B41" s="76">
        <v>3</v>
      </c>
      <c r="C41" s="75" t="s">
        <v>322</v>
      </c>
      <c r="D41" s="74" t="s">
        <v>323</v>
      </c>
      <c r="E41" s="165" t="str">
        <f t="shared" si="8"/>
        <v>Honda</v>
      </c>
      <c r="F41" s="166" t="str">
        <f t="shared" si="9"/>
        <v>Kharisma</v>
      </c>
      <c r="G41" s="167">
        <f t="shared" si="10"/>
        <v>1200000</v>
      </c>
      <c r="H41" s="168">
        <f t="shared" si="11"/>
        <v>652000</v>
      </c>
    </row>
    <row r="42" spans="1:20" x14ac:dyDescent="0.35">
      <c r="B42" s="76">
        <v>4</v>
      </c>
      <c r="C42" s="75" t="s">
        <v>324</v>
      </c>
      <c r="D42" s="74" t="s">
        <v>325</v>
      </c>
      <c r="E42" s="165" t="str">
        <f t="shared" si="8"/>
        <v>Honda</v>
      </c>
      <c r="F42" s="166" t="str">
        <f t="shared" si="9"/>
        <v>Supra X</v>
      </c>
      <c r="G42" s="167">
        <f t="shared" si="10"/>
        <v>2000000</v>
      </c>
      <c r="H42" s="168">
        <f t="shared" si="11"/>
        <v>531000</v>
      </c>
      <c r="J42" s="149" t="s">
        <v>218</v>
      </c>
      <c r="K42" s="150" t="s">
        <v>347</v>
      </c>
      <c r="L42" s="151" t="s">
        <v>216</v>
      </c>
      <c r="M42" s="152" t="s">
        <v>219</v>
      </c>
    </row>
    <row r="43" spans="1:20" x14ac:dyDescent="0.35">
      <c r="B43" s="76">
        <v>5</v>
      </c>
      <c r="C43" s="75" t="s">
        <v>326</v>
      </c>
      <c r="D43" s="74" t="s">
        <v>327</v>
      </c>
      <c r="E43" s="165" t="str">
        <f t="shared" si="8"/>
        <v>Yamaha</v>
      </c>
      <c r="F43" s="166" t="str">
        <f t="shared" si="9"/>
        <v>RX King</v>
      </c>
      <c r="G43" s="167">
        <f t="shared" si="10"/>
        <v>2500000</v>
      </c>
      <c r="H43" s="168">
        <f t="shared" si="11"/>
        <v>711000</v>
      </c>
      <c r="J43" s="153" t="s">
        <v>348</v>
      </c>
      <c r="K43" s="154" t="s">
        <v>349</v>
      </c>
      <c r="L43" s="155">
        <v>1750000</v>
      </c>
      <c r="M43" s="156">
        <v>608000</v>
      </c>
    </row>
    <row r="44" spans="1:20" x14ac:dyDescent="0.35">
      <c r="B44" s="76">
        <v>6</v>
      </c>
      <c r="C44" s="75" t="s">
        <v>328</v>
      </c>
      <c r="D44" s="74" t="s">
        <v>329</v>
      </c>
      <c r="E44" s="165" t="str">
        <f t="shared" si="8"/>
        <v>Yamaha</v>
      </c>
      <c r="F44" s="166" t="str">
        <f t="shared" si="9"/>
        <v>Vega R</v>
      </c>
      <c r="G44" s="167">
        <f t="shared" si="10"/>
        <v>1250000</v>
      </c>
      <c r="H44" s="168">
        <f t="shared" si="11"/>
        <v>481000</v>
      </c>
      <c r="J44" s="153" t="s">
        <v>350</v>
      </c>
      <c r="K44" s="154" t="s">
        <v>351</v>
      </c>
      <c r="L44" s="155">
        <v>1500000</v>
      </c>
      <c r="M44" s="156">
        <v>504000</v>
      </c>
    </row>
    <row r="45" spans="1:20" x14ac:dyDescent="0.35">
      <c r="B45" s="76">
        <v>7</v>
      </c>
      <c r="C45" s="75" t="s">
        <v>330</v>
      </c>
      <c r="D45" s="74" t="s">
        <v>331</v>
      </c>
      <c r="E45" s="165" t="str">
        <f t="shared" si="8"/>
        <v>Honda</v>
      </c>
      <c r="F45" s="166" t="str">
        <f t="shared" si="9"/>
        <v>Supra Fit</v>
      </c>
      <c r="G45" s="167">
        <f t="shared" si="10"/>
        <v>1750000</v>
      </c>
      <c r="H45" s="168">
        <f t="shared" si="11"/>
        <v>566000</v>
      </c>
      <c r="J45" s="153" t="s">
        <v>241</v>
      </c>
      <c r="K45" s="154" t="s">
        <v>352</v>
      </c>
      <c r="L45" s="155">
        <v>1500000</v>
      </c>
      <c r="M45" s="156">
        <v>634000</v>
      </c>
    </row>
    <row r="46" spans="1:20" x14ac:dyDescent="0.35">
      <c r="B46" s="76">
        <v>8</v>
      </c>
      <c r="C46" s="75" t="s">
        <v>332</v>
      </c>
      <c r="D46" s="74" t="s">
        <v>333</v>
      </c>
      <c r="E46" s="165" t="str">
        <f t="shared" si="8"/>
        <v>Honda</v>
      </c>
      <c r="F46" s="166" t="str">
        <f t="shared" si="9"/>
        <v>Tiger</v>
      </c>
      <c r="G46" s="167">
        <f t="shared" si="10"/>
        <v>3000000</v>
      </c>
      <c r="H46" s="168">
        <f t="shared" si="11"/>
        <v>915000</v>
      </c>
      <c r="J46" s="153" t="s">
        <v>353</v>
      </c>
      <c r="K46" s="154" t="s">
        <v>354</v>
      </c>
      <c r="L46" s="155">
        <v>2500000</v>
      </c>
      <c r="M46" s="156">
        <v>711000</v>
      </c>
    </row>
    <row r="47" spans="1:20" x14ac:dyDescent="0.35">
      <c r="B47" s="76">
        <v>9</v>
      </c>
      <c r="C47" s="75" t="s">
        <v>334</v>
      </c>
      <c r="D47" s="74" t="s">
        <v>335</v>
      </c>
      <c r="E47" s="165" t="str">
        <f t="shared" si="8"/>
        <v>Honda</v>
      </c>
      <c r="F47" s="166" t="str">
        <f t="shared" si="9"/>
        <v>Tiger</v>
      </c>
      <c r="G47" s="167">
        <f t="shared" si="10"/>
        <v>3000000</v>
      </c>
      <c r="H47" s="168">
        <f t="shared" si="11"/>
        <v>915000</v>
      </c>
      <c r="J47" s="157" t="s">
        <v>355</v>
      </c>
      <c r="K47" s="158" t="s">
        <v>356</v>
      </c>
      <c r="L47" s="159">
        <v>1250000</v>
      </c>
      <c r="M47" s="160">
        <v>481000</v>
      </c>
    </row>
    <row r="48" spans="1:20" x14ac:dyDescent="0.35">
      <c r="B48" s="76">
        <v>10</v>
      </c>
      <c r="C48" s="75" t="s">
        <v>336</v>
      </c>
      <c r="D48" s="74" t="s">
        <v>337</v>
      </c>
      <c r="E48" s="165" t="str">
        <f t="shared" si="8"/>
        <v>Yamaha</v>
      </c>
      <c r="F48" s="166" t="str">
        <f t="shared" si="9"/>
        <v>Mio</v>
      </c>
      <c r="G48" s="167">
        <f t="shared" si="10"/>
        <v>1500000</v>
      </c>
      <c r="H48" s="168">
        <f t="shared" si="11"/>
        <v>504000</v>
      </c>
      <c r="J48" s="161" t="s">
        <v>357</v>
      </c>
      <c r="K48" s="162" t="s">
        <v>358</v>
      </c>
      <c r="L48" s="163">
        <v>1200000</v>
      </c>
      <c r="M48" s="164">
        <v>652000</v>
      </c>
    </row>
    <row r="49" spans="1:20" x14ac:dyDescent="0.35">
      <c r="B49" s="76">
        <v>11</v>
      </c>
      <c r="C49" s="75" t="s">
        <v>338</v>
      </c>
      <c r="D49" s="74" t="s">
        <v>339</v>
      </c>
      <c r="E49" s="165" t="str">
        <f t="shared" si="8"/>
        <v>Honda</v>
      </c>
      <c r="F49" s="166" t="str">
        <f t="shared" si="9"/>
        <v>Kharisma</v>
      </c>
      <c r="G49" s="167">
        <f t="shared" si="10"/>
        <v>1200000</v>
      </c>
      <c r="H49" s="168">
        <f t="shared" si="11"/>
        <v>652000</v>
      </c>
      <c r="J49" s="82" t="s">
        <v>359</v>
      </c>
      <c r="K49" s="80" t="s">
        <v>360</v>
      </c>
      <c r="L49" s="81">
        <v>1750000</v>
      </c>
      <c r="M49" s="83">
        <v>566000</v>
      </c>
    </row>
    <row r="50" spans="1:20" x14ac:dyDescent="0.35">
      <c r="B50" s="76">
        <v>12</v>
      </c>
      <c r="C50" s="75" t="s">
        <v>340</v>
      </c>
      <c r="D50" s="74" t="s">
        <v>341</v>
      </c>
      <c r="E50" s="165" t="str">
        <f t="shared" si="8"/>
        <v>Yamaha</v>
      </c>
      <c r="F50" s="166" t="str">
        <f t="shared" si="9"/>
        <v>Jupiter</v>
      </c>
      <c r="G50" s="167">
        <f t="shared" si="10"/>
        <v>1750000</v>
      </c>
      <c r="H50" s="168">
        <f t="shared" si="11"/>
        <v>608000</v>
      </c>
      <c r="J50" s="82" t="s">
        <v>361</v>
      </c>
      <c r="K50" s="80" t="s">
        <v>362</v>
      </c>
      <c r="L50" s="81">
        <v>2000000</v>
      </c>
      <c r="M50" s="83">
        <v>531000</v>
      </c>
    </row>
    <row r="51" spans="1:20" ht="15" thickBot="1" x14ac:dyDescent="0.4">
      <c r="B51" s="77">
        <v>13</v>
      </c>
      <c r="C51" s="78" t="s">
        <v>342</v>
      </c>
      <c r="D51" s="79" t="s">
        <v>343</v>
      </c>
      <c r="E51" s="165" t="str">
        <f t="shared" si="8"/>
        <v>Honda</v>
      </c>
      <c r="F51" s="166" t="str">
        <f t="shared" si="9"/>
        <v>Supra X</v>
      </c>
      <c r="G51" s="167">
        <f t="shared" si="10"/>
        <v>2000000</v>
      </c>
      <c r="H51" s="168">
        <f t="shared" si="11"/>
        <v>531000</v>
      </c>
      <c r="J51" s="84" t="s">
        <v>363</v>
      </c>
      <c r="K51" s="85" t="s">
        <v>364</v>
      </c>
      <c r="L51" s="86">
        <v>3000000</v>
      </c>
      <c r="M51" s="87">
        <v>915000</v>
      </c>
    </row>
    <row r="53" spans="1:20" x14ac:dyDescent="0.35">
      <c r="A53" s="241"/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</row>
    <row r="54" spans="1:20" ht="18.5" thickBot="1" x14ac:dyDescent="0.45">
      <c r="B54" s="120" t="s">
        <v>366</v>
      </c>
      <c r="F54" s="121"/>
      <c r="G54" s="121"/>
      <c r="H54" s="121"/>
    </row>
    <row r="55" spans="1:20" ht="15" thickBot="1" x14ac:dyDescent="0.4">
      <c r="F55" s="121"/>
      <c r="G55" s="186">
        <f ca="1">NOW()</f>
        <v>45483.915958217593</v>
      </c>
      <c r="H55" s="121"/>
    </row>
    <row r="56" spans="1:20" x14ac:dyDescent="0.35">
      <c r="B56" s="264" t="s">
        <v>212</v>
      </c>
      <c r="C56" s="266" t="s">
        <v>367</v>
      </c>
      <c r="D56" s="253" t="s">
        <v>368</v>
      </c>
      <c r="E56" s="266" t="s">
        <v>369</v>
      </c>
      <c r="F56" s="253" t="s">
        <v>370</v>
      </c>
      <c r="G56" s="253" t="s">
        <v>371</v>
      </c>
      <c r="H56" s="253" t="s">
        <v>372</v>
      </c>
      <c r="I56" s="253" t="s">
        <v>373</v>
      </c>
      <c r="J56" s="253" t="s">
        <v>374</v>
      </c>
      <c r="K56" s="255" t="s">
        <v>375</v>
      </c>
    </row>
    <row r="57" spans="1:20" x14ac:dyDescent="0.35">
      <c r="B57" s="265"/>
      <c r="C57" s="267"/>
      <c r="D57" s="254"/>
      <c r="E57" s="267"/>
      <c r="F57" s="254"/>
      <c r="G57" s="254"/>
      <c r="H57" s="254"/>
      <c r="I57" s="254"/>
      <c r="J57" s="254"/>
      <c r="K57" s="256"/>
    </row>
    <row r="58" spans="1:20" x14ac:dyDescent="0.35">
      <c r="B58" s="76">
        <v>1</v>
      </c>
      <c r="C58" s="75" t="s">
        <v>318</v>
      </c>
      <c r="D58" s="74">
        <v>10110</v>
      </c>
      <c r="E58" s="122">
        <v>36312</v>
      </c>
      <c r="F58" s="74">
        <v>1</v>
      </c>
      <c r="G58" s="182">
        <f ca="1">YEARFRAC(E58,$G$55)</f>
        <v>25.108333333333334</v>
      </c>
      <c r="H58" s="183">
        <f>_xlfn.XLOOKUP(F58,$B$75:$B$78,$C$75:$C$78)</f>
        <v>7500000</v>
      </c>
      <c r="I58" s="183">
        <f ca="1">INDEX($D$75:$G$78,MATCH(F58,$B$75:$B$78,0),MATCH(IF(G58&lt;5,$G$74,IF(G58&lt;10,$F$74,IF(G58&lt;15,$E$74,$D$74))),$D$74:$G$74,0))*H58</f>
        <v>112500000</v>
      </c>
      <c r="J58" s="183">
        <f ca="1">IF(AND(G58&gt;=15,F58=1),$H$75*H58,IF(AND(G58&lt;=15,F58=2),$H$76*H58,IF(AND(G58&gt;15,F58=3),$H$77*H58,IF(AND(G58&gt;=15,F58=$B$78),$H$78*H58,0))))</f>
        <v>37500000</v>
      </c>
      <c r="K58" s="184">
        <f ca="1">I58+J58</f>
        <v>150000000</v>
      </c>
    </row>
    <row r="59" spans="1:20" x14ac:dyDescent="0.35">
      <c r="B59" s="76">
        <v>2</v>
      </c>
      <c r="C59" s="75" t="s">
        <v>320</v>
      </c>
      <c r="D59" s="74">
        <v>10112</v>
      </c>
      <c r="E59" s="122">
        <v>37937</v>
      </c>
      <c r="F59" s="74">
        <v>3</v>
      </c>
      <c r="G59" s="182">
        <f t="shared" ref="G59:G70" ca="1" si="12">YEARFRAC(E59,$G$55)</f>
        <v>20.661111111111111</v>
      </c>
      <c r="H59" s="183">
        <f t="shared" ref="H59:H70" si="13">_xlfn.XLOOKUP(F59,$B$75:$B$78,$C$75:$C$78)</f>
        <v>4600000</v>
      </c>
      <c r="I59" s="183">
        <f t="shared" ref="I59:I70" ca="1" si="14">INDEX($D$75:$G$78,MATCH(F59,$B$75:$B$78,0),MATCH(IF(G59&lt;5,$G$74,IF(G59&lt;10,$F$74,IF(G59&lt;15,$E$74,$D$74))),$D$74:$G$74,0))*H59</f>
        <v>46000000</v>
      </c>
      <c r="J59" s="183">
        <f t="shared" ref="J59:J70" ca="1" si="15">IF(AND(G59&gt;=15,F59=1),$H$75*H59,IF(AND(G59&lt;=15,F59=2),$H$76*H59,IF(AND(G59&gt;15,F59=3),$H$77*H59,IF(AND(G59&gt;=15,F59=$B$78),$H$78*H59,0))))</f>
        <v>13800000</v>
      </c>
      <c r="K59" s="184">
        <f t="shared" ref="K59:K70" ca="1" si="16">I59+J59</f>
        <v>59800000</v>
      </c>
    </row>
    <row r="60" spans="1:20" x14ac:dyDescent="0.35">
      <c r="B60" s="76">
        <v>3</v>
      </c>
      <c r="C60" s="75" t="s">
        <v>322</v>
      </c>
      <c r="D60" s="74">
        <v>10114</v>
      </c>
      <c r="E60" s="122">
        <v>38720</v>
      </c>
      <c r="F60" s="74">
        <v>3</v>
      </c>
      <c r="G60" s="182">
        <f t="shared" ca="1" si="12"/>
        <v>18.519444444444446</v>
      </c>
      <c r="H60" s="183">
        <f t="shared" si="13"/>
        <v>4600000</v>
      </c>
      <c r="I60" s="183">
        <f t="shared" ca="1" si="14"/>
        <v>46000000</v>
      </c>
      <c r="J60" s="183">
        <f t="shared" ca="1" si="15"/>
        <v>13800000</v>
      </c>
      <c r="K60" s="184">
        <f t="shared" ca="1" si="16"/>
        <v>59800000</v>
      </c>
    </row>
    <row r="61" spans="1:20" x14ac:dyDescent="0.35">
      <c r="B61" s="76">
        <v>4</v>
      </c>
      <c r="C61" s="75" t="s">
        <v>324</v>
      </c>
      <c r="D61" s="74">
        <v>10116</v>
      </c>
      <c r="E61" s="122">
        <v>41459</v>
      </c>
      <c r="F61" s="74">
        <v>2</v>
      </c>
      <c r="G61" s="182">
        <f t="shared" ca="1" si="12"/>
        <v>11.016666666666667</v>
      </c>
      <c r="H61" s="183">
        <f t="shared" si="13"/>
        <v>5450000</v>
      </c>
      <c r="I61" s="183">
        <f t="shared" ca="1" si="14"/>
        <v>54500000</v>
      </c>
      <c r="J61" s="183">
        <f t="shared" ca="1" si="15"/>
        <v>21800000</v>
      </c>
      <c r="K61" s="184">
        <f t="shared" ca="1" si="16"/>
        <v>76300000</v>
      </c>
    </row>
    <row r="62" spans="1:20" x14ac:dyDescent="0.35">
      <c r="B62" s="76">
        <v>5</v>
      </c>
      <c r="C62" s="75" t="s">
        <v>326</v>
      </c>
      <c r="D62" s="74">
        <v>10118</v>
      </c>
      <c r="E62" s="122">
        <v>42709</v>
      </c>
      <c r="F62" s="74">
        <v>3</v>
      </c>
      <c r="G62" s="182">
        <f t="shared" ca="1" si="12"/>
        <v>7.5972222222222223</v>
      </c>
      <c r="H62" s="183">
        <f t="shared" si="13"/>
        <v>4600000</v>
      </c>
      <c r="I62" s="183">
        <f t="shared" ca="1" si="14"/>
        <v>27600000</v>
      </c>
      <c r="J62" s="183">
        <f t="shared" ca="1" si="15"/>
        <v>0</v>
      </c>
      <c r="K62" s="184">
        <f t="shared" ca="1" si="16"/>
        <v>27600000</v>
      </c>
    </row>
    <row r="63" spans="1:20" x14ac:dyDescent="0.35">
      <c r="B63" s="76">
        <v>6</v>
      </c>
      <c r="C63" s="75" t="s">
        <v>328</v>
      </c>
      <c r="D63" s="74">
        <v>10120</v>
      </c>
      <c r="E63" s="122">
        <v>41645</v>
      </c>
      <c r="F63" s="74">
        <v>2</v>
      </c>
      <c r="G63" s="182">
        <f t="shared" ca="1" si="12"/>
        <v>10.511111111111111</v>
      </c>
      <c r="H63" s="183">
        <f t="shared" si="13"/>
        <v>5450000</v>
      </c>
      <c r="I63" s="183">
        <f t="shared" ca="1" si="14"/>
        <v>54500000</v>
      </c>
      <c r="J63" s="183">
        <f t="shared" ca="1" si="15"/>
        <v>21800000</v>
      </c>
      <c r="K63" s="184">
        <f t="shared" ca="1" si="16"/>
        <v>76300000</v>
      </c>
    </row>
    <row r="64" spans="1:20" x14ac:dyDescent="0.35">
      <c r="B64" s="76">
        <v>7</v>
      </c>
      <c r="C64" s="75" t="s">
        <v>330</v>
      </c>
      <c r="D64" s="74">
        <v>10122</v>
      </c>
      <c r="E64" s="122">
        <v>37993</v>
      </c>
      <c r="F64" s="74">
        <v>3</v>
      </c>
      <c r="G64" s="182">
        <f t="shared" ca="1" si="12"/>
        <v>20.508333333333333</v>
      </c>
      <c r="H64" s="183">
        <f t="shared" si="13"/>
        <v>4600000</v>
      </c>
      <c r="I64" s="183">
        <f t="shared" ca="1" si="14"/>
        <v>46000000</v>
      </c>
      <c r="J64" s="183">
        <f t="shared" ca="1" si="15"/>
        <v>13800000</v>
      </c>
      <c r="K64" s="184">
        <f t="shared" ca="1" si="16"/>
        <v>59800000</v>
      </c>
    </row>
    <row r="65" spans="2:11" x14ac:dyDescent="0.35">
      <c r="B65" s="76">
        <v>8</v>
      </c>
      <c r="C65" s="75" t="s">
        <v>332</v>
      </c>
      <c r="D65" s="74">
        <v>10124</v>
      </c>
      <c r="E65" s="122">
        <v>42001</v>
      </c>
      <c r="F65" s="74">
        <v>1</v>
      </c>
      <c r="G65" s="182">
        <f t="shared" ca="1" si="12"/>
        <v>9.5333333333333332</v>
      </c>
      <c r="H65" s="183">
        <f t="shared" si="13"/>
        <v>7500000</v>
      </c>
      <c r="I65" s="183">
        <f t="shared" ca="1" si="14"/>
        <v>75000000</v>
      </c>
      <c r="J65" s="183">
        <f t="shared" ca="1" si="15"/>
        <v>0</v>
      </c>
      <c r="K65" s="184">
        <f t="shared" ca="1" si="16"/>
        <v>75000000</v>
      </c>
    </row>
    <row r="66" spans="2:11" x14ac:dyDescent="0.35">
      <c r="B66" s="76">
        <v>9</v>
      </c>
      <c r="C66" s="75" t="s">
        <v>334</v>
      </c>
      <c r="D66" s="74">
        <v>10126</v>
      </c>
      <c r="E66" s="122">
        <v>42043</v>
      </c>
      <c r="F66" s="74">
        <v>3</v>
      </c>
      <c r="G66" s="182">
        <f t="shared" ca="1" si="12"/>
        <v>9.4222222222222225</v>
      </c>
      <c r="H66" s="183">
        <f t="shared" si="13"/>
        <v>4600000</v>
      </c>
      <c r="I66" s="183">
        <f t="shared" ca="1" si="14"/>
        <v>27600000</v>
      </c>
      <c r="J66" s="183">
        <f t="shared" ca="1" si="15"/>
        <v>0</v>
      </c>
      <c r="K66" s="184">
        <f t="shared" ca="1" si="16"/>
        <v>27600000</v>
      </c>
    </row>
    <row r="67" spans="2:11" x14ac:dyDescent="0.35">
      <c r="B67" s="76">
        <v>10</v>
      </c>
      <c r="C67" s="75" t="s">
        <v>336</v>
      </c>
      <c r="D67" s="74">
        <v>10128</v>
      </c>
      <c r="E67" s="122">
        <v>39100</v>
      </c>
      <c r="F67" s="74">
        <v>2</v>
      </c>
      <c r="G67" s="182">
        <f t="shared" ca="1" si="12"/>
        <v>17.477777777777778</v>
      </c>
      <c r="H67" s="183">
        <f t="shared" si="13"/>
        <v>5450000</v>
      </c>
      <c r="I67" s="183">
        <f t="shared" ca="1" si="14"/>
        <v>65400000</v>
      </c>
      <c r="J67" s="183">
        <f t="shared" ca="1" si="15"/>
        <v>0</v>
      </c>
      <c r="K67" s="184">
        <f t="shared" ca="1" si="16"/>
        <v>65400000</v>
      </c>
    </row>
    <row r="68" spans="2:11" x14ac:dyDescent="0.35">
      <c r="B68" s="76">
        <v>11</v>
      </c>
      <c r="C68" s="75" t="s">
        <v>338</v>
      </c>
      <c r="D68" s="74">
        <v>10130</v>
      </c>
      <c r="E68" s="122">
        <v>38299</v>
      </c>
      <c r="F68" s="74">
        <v>4</v>
      </c>
      <c r="G68" s="182">
        <f t="shared" ca="1" si="12"/>
        <v>19.672222222222221</v>
      </c>
      <c r="H68" s="183">
        <f t="shared" si="13"/>
        <v>3550000</v>
      </c>
      <c r="I68" s="183">
        <f t="shared" ca="1" si="14"/>
        <v>28400000</v>
      </c>
      <c r="J68" s="183">
        <f t="shared" ca="1" si="15"/>
        <v>7100000</v>
      </c>
      <c r="K68" s="184">
        <f t="shared" ca="1" si="16"/>
        <v>35500000</v>
      </c>
    </row>
    <row r="69" spans="2:11" x14ac:dyDescent="0.35">
      <c r="B69" s="76">
        <v>12</v>
      </c>
      <c r="C69" s="75" t="s">
        <v>340</v>
      </c>
      <c r="D69" s="74">
        <v>10132</v>
      </c>
      <c r="E69" s="122">
        <v>38633</v>
      </c>
      <c r="F69" s="74">
        <v>4</v>
      </c>
      <c r="G69" s="182">
        <f t="shared" ca="1" si="12"/>
        <v>18.755555555555556</v>
      </c>
      <c r="H69" s="183">
        <f t="shared" si="13"/>
        <v>3550000</v>
      </c>
      <c r="I69" s="183">
        <f t="shared" ca="1" si="14"/>
        <v>28400000</v>
      </c>
      <c r="J69" s="183">
        <f t="shared" ca="1" si="15"/>
        <v>7100000</v>
      </c>
      <c r="K69" s="184">
        <f t="shared" ca="1" si="16"/>
        <v>35500000</v>
      </c>
    </row>
    <row r="70" spans="2:11" ht="15" thickBot="1" x14ac:dyDescent="0.4">
      <c r="B70" s="77">
        <v>13</v>
      </c>
      <c r="C70" s="78" t="s">
        <v>342</v>
      </c>
      <c r="D70" s="79">
        <v>10134</v>
      </c>
      <c r="E70" s="129">
        <v>40196</v>
      </c>
      <c r="F70" s="79">
        <v>4</v>
      </c>
      <c r="G70" s="182">
        <f t="shared" ca="1" si="12"/>
        <v>14.477777777777778</v>
      </c>
      <c r="H70" s="183">
        <f t="shared" si="13"/>
        <v>3550000</v>
      </c>
      <c r="I70" s="183">
        <f t="shared" ca="1" si="14"/>
        <v>21300000</v>
      </c>
      <c r="J70" s="183">
        <f t="shared" ca="1" si="15"/>
        <v>0</v>
      </c>
      <c r="K70" s="184">
        <f t="shared" ca="1" si="16"/>
        <v>21300000</v>
      </c>
    </row>
    <row r="72" spans="2:11" ht="16" thickBot="1" x14ac:dyDescent="0.4">
      <c r="B72" s="17" t="s">
        <v>380</v>
      </c>
    </row>
    <row r="73" spans="2:11" ht="25.5" customHeight="1" x14ac:dyDescent="0.35">
      <c r="B73" s="257" t="s">
        <v>376</v>
      </c>
      <c r="C73" s="259" t="s">
        <v>377</v>
      </c>
      <c r="D73" s="261" t="s">
        <v>378</v>
      </c>
      <c r="E73" s="261"/>
      <c r="F73" s="261"/>
      <c r="G73" s="261"/>
      <c r="H73" s="262" t="s">
        <v>379</v>
      </c>
    </row>
    <row r="74" spans="2:11" x14ac:dyDescent="0.35">
      <c r="B74" s="258"/>
      <c r="C74" s="260"/>
      <c r="D74" s="172">
        <v>15</v>
      </c>
      <c r="E74" s="172">
        <v>10</v>
      </c>
      <c r="F74" s="172">
        <v>5</v>
      </c>
      <c r="G74" s="173">
        <v>5</v>
      </c>
      <c r="H74" s="263"/>
    </row>
    <row r="75" spans="2:11" x14ac:dyDescent="0.35">
      <c r="B75" s="176">
        <v>1</v>
      </c>
      <c r="C75" s="174">
        <v>7500000</v>
      </c>
      <c r="D75" s="175">
        <v>15</v>
      </c>
      <c r="E75" s="175">
        <v>12</v>
      </c>
      <c r="F75" s="175">
        <v>10</v>
      </c>
      <c r="G75" s="175">
        <v>8</v>
      </c>
      <c r="H75" s="177">
        <v>5</v>
      </c>
    </row>
    <row r="76" spans="2:11" x14ac:dyDescent="0.35">
      <c r="B76" s="176">
        <v>2</v>
      </c>
      <c r="C76" s="174">
        <v>5450000</v>
      </c>
      <c r="D76" s="175">
        <v>12</v>
      </c>
      <c r="E76" s="175">
        <v>10</v>
      </c>
      <c r="F76" s="175">
        <v>8</v>
      </c>
      <c r="G76" s="175">
        <v>6</v>
      </c>
      <c r="H76" s="177">
        <v>4</v>
      </c>
    </row>
    <row r="77" spans="2:11" x14ac:dyDescent="0.35">
      <c r="B77" s="176">
        <v>3</v>
      </c>
      <c r="C77" s="174">
        <v>4600000</v>
      </c>
      <c r="D77" s="175">
        <v>10</v>
      </c>
      <c r="E77" s="175">
        <v>8</v>
      </c>
      <c r="F77" s="175">
        <v>6</v>
      </c>
      <c r="G77" s="175">
        <v>4</v>
      </c>
      <c r="H77" s="177">
        <v>3</v>
      </c>
    </row>
    <row r="78" spans="2:11" ht="15" thickBot="1" x14ac:dyDescent="0.4">
      <c r="B78" s="178">
        <v>4</v>
      </c>
      <c r="C78" s="179">
        <v>3550000</v>
      </c>
      <c r="D78" s="180">
        <v>8</v>
      </c>
      <c r="E78" s="180">
        <v>6</v>
      </c>
      <c r="F78" s="180">
        <v>4</v>
      </c>
      <c r="G78" s="180">
        <v>3</v>
      </c>
      <c r="H78" s="181">
        <v>2</v>
      </c>
    </row>
  </sheetData>
  <sheetProtection algorithmName="SHA-512" hashValue="FTZOnc44KcPA7FRKMqZtXQ3eNT2GEKxeu+5tTYsTpumGFcmtJzqCbwgw6Fq9PQDcIVLDnXpZyF7eLajZiYoyhg==" saltValue="T602R4lNNbkq0Fj0ibG3/Q==" spinCount="100000" sheet="1" objects="1" scenarios="1"/>
  <mergeCells count="14">
    <mergeCell ref="H56:H57"/>
    <mergeCell ref="I56:I57"/>
    <mergeCell ref="J56:J57"/>
    <mergeCell ref="K56:K57"/>
    <mergeCell ref="B73:B74"/>
    <mergeCell ref="C73:C74"/>
    <mergeCell ref="D73:G73"/>
    <mergeCell ref="H73:H74"/>
    <mergeCell ref="B56:B57"/>
    <mergeCell ref="C56:C57"/>
    <mergeCell ref="D56:D57"/>
    <mergeCell ref="E56:E57"/>
    <mergeCell ref="F56:F57"/>
    <mergeCell ref="G56:G57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EA22-9CA2-4E36-834F-9C7958A78C76}">
  <dimension ref="A1:T63"/>
  <sheetViews>
    <sheetView showGridLines="0" topLeftCell="A31" workbookViewId="0">
      <selection activeCell="J28" sqref="J28"/>
    </sheetView>
  </sheetViews>
  <sheetFormatPr defaultRowHeight="14.5" x14ac:dyDescent="0.35"/>
  <cols>
    <col min="1" max="1" width="3.26953125" customWidth="1"/>
    <col min="3" max="3" width="14.54296875" bestFit="1" customWidth="1"/>
    <col min="4" max="4" width="10.26953125" bestFit="1" customWidth="1"/>
    <col min="5" max="5" width="19.7265625" bestFit="1" customWidth="1"/>
    <col min="6" max="6" width="18.1796875" bestFit="1" customWidth="1"/>
    <col min="7" max="7" width="16.1796875" bestFit="1" customWidth="1"/>
    <col min="8" max="8" width="13.81640625" bestFit="1" customWidth="1"/>
    <col min="9" max="9" width="12.453125" bestFit="1" customWidth="1"/>
    <col min="10" max="10" width="12.7265625" bestFit="1" customWidth="1"/>
    <col min="11" max="11" width="16.453125" customWidth="1"/>
    <col min="12" max="12" width="1.453125" customWidth="1"/>
    <col min="13" max="13" width="10.54296875" bestFit="1" customWidth="1"/>
    <col min="14" max="14" width="19.26953125" bestFit="1" customWidth="1"/>
    <col min="15" max="15" width="16.7265625" bestFit="1" customWidth="1"/>
    <col min="16" max="16" width="11.453125" bestFit="1" customWidth="1"/>
  </cols>
  <sheetData>
    <row r="1" spans="2:15" ht="23.5" x14ac:dyDescent="0.35">
      <c r="B1" s="1" t="s">
        <v>381</v>
      </c>
    </row>
    <row r="2" spans="2:15" ht="18" x14ac:dyDescent="0.4">
      <c r="B2" s="120" t="s">
        <v>383</v>
      </c>
      <c r="F2" s="121"/>
      <c r="G2" s="121"/>
      <c r="H2" s="121"/>
      <c r="I2" s="121"/>
    </row>
    <row r="3" spans="2:15" ht="15" thickBot="1" x14ac:dyDescent="0.4">
      <c r="F3" s="121"/>
      <c r="G3" s="121"/>
      <c r="H3" s="121"/>
      <c r="I3" s="121"/>
    </row>
    <row r="4" spans="2:15" ht="15" thickBot="1" x14ac:dyDescent="0.4">
      <c r="B4" s="274" t="s">
        <v>212</v>
      </c>
      <c r="C4" s="270" t="s">
        <v>367</v>
      </c>
      <c r="D4" s="268" t="s">
        <v>218</v>
      </c>
      <c r="E4" s="276" t="s">
        <v>384</v>
      </c>
      <c r="F4" s="268" t="s">
        <v>385</v>
      </c>
      <c r="G4" s="268" t="s">
        <v>386</v>
      </c>
      <c r="H4" s="270" t="s">
        <v>387</v>
      </c>
      <c r="I4" s="270" t="s">
        <v>388</v>
      </c>
      <c r="J4" s="268" t="s">
        <v>389</v>
      </c>
      <c r="K4" s="272" t="s">
        <v>390</v>
      </c>
    </row>
    <row r="5" spans="2:15" x14ac:dyDescent="0.35">
      <c r="B5" s="275"/>
      <c r="C5" s="271"/>
      <c r="D5" s="269"/>
      <c r="E5" s="277"/>
      <c r="F5" s="269"/>
      <c r="G5" s="269"/>
      <c r="H5" s="271"/>
      <c r="I5" s="271"/>
      <c r="J5" s="269"/>
      <c r="K5" s="273"/>
      <c r="N5" s="146" t="s">
        <v>412</v>
      </c>
      <c r="O5" s="125" t="s">
        <v>413</v>
      </c>
    </row>
    <row r="6" spans="2:15" x14ac:dyDescent="0.35">
      <c r="B6" s="76">
        <v>1</v>
      </c>
      <c r="C6" s="75" t="s">
        <v>391</v>
      </c>
      <c r="D6" s="74" t="s">
        <v>392</v>
      </c>
      <c r="E6" s="197" t="str">
        <f>_xlfn.XLOOKUP(LEFT(D6),$N$18:$N$20,$O$18:$O$20)</f>
        <v>Ligna</v>
      </c>
      <c r="F6" s="198" t="str">
        <f>_xlfn.XLOOKUP(MID(D6,2,2),$N$6:$N$9,$O$6:$O$9)</f>
        <v>ALMARI</v>
      </c>
      <c r="G6" s="199">
        <f>MID(D6,4,3)*1000</f>
        <v>350000</v>
      </c>
      <c r="H6" s="187">
        <v>15</v>
      </c>
      <c r="I6" s="201">
        <f>G6*H6</f>
        <v>5250000</v>
      </c>
      <c r="J6" s="183">
        <f>_xlfn.XLOOKUP(RIGHT(D6,1),$N$12:$N$15,$O$12:$O$15)*I6</f>
        <v>1575000</v>
      </c>
      <c r="K6" s="202">
        <f>I6-J6</f>
        <v>3675000</v>
      </c>
      <c r="M6" s="245"/>
      <c r="N6" s="190" t="s">
        <v>414</v>
      </c>
      <c r="O6" s="191" t="s">
        <v>415</v>
      </c>
    </row>
    <row r="7" spans="2:15" x14ac:dyDescent="0.35">
      <c r="B7" s="76">
        <v>2</v>
      </c>
      <c r="C7" s="75" t="s">
        <v>118</v>
      </c>
      <c r="D7" s="74" t="s">
        <v>393</v>
      </c>
      <c r="E7" s="197" t="str">
        <f t="shared" ref="E7:E17" si="0">_xlfn.XLOOKUP(LEFT(D7),$N$18:$N$20,$O$18:$O$20)</f>
        <v>Garuda</v>
      </c>
      <c r="F7" s="198" t="str">
        <f t="shared" ref="F7:F17" si="1">_xlfn.XLOOKUP(MID(D7,2,2),$N$6:$N$9,$O$6:$O$9)</f>
        <v>RAK BUKU</v>
      </c>
      <c r="G7" s="199">
        <f t="shared" ref="G7:G17" si="2">MID(D7,4,3)*1000</f>
        <v>250000</v>
      </c>
      <c r="H7" s="187">
        <v>24</v>
      </c>
      <c r="I7" s="201">
        <f t="shared" ref="I7:I17" si="3">G7*H7</f>
        <v>6000000</v>
      </c>
      <c r="J7" s="183">
        <f t="shared" ref="J7:J17" si="4">_xlfn.XLOOKUP(RIGHT(D7,1),$N$12:$N$15,$O$12:$O$15)*I7</f>
        <v>1500000</v>
      </c>
      <c r="K7" s="202">
        <f t="shared" ref="K7:K17" si="5">I7-J7</f>
        <v>4500000</v>
      </c>
      <c r="N7" s="190" t="s">
        <v>416</v>
      </c>
      <c r="O7" s="191" t="s">
        <v>417</v>
      </c>
    </row>
    <row r="8" spans="2:15" x14ac:dyDescent="0.35">
      <c r="B8" s="76">
        <v>3</v>
      </c>
      <c r="C8" s="75" t="s">
        <v>394</v>
      </c>
      <c r="D8" s="74" t="s">
        <v>395</v>
      </c>
      <c r="E8" s="197" t="str">
        <f t="shared" si="0"/>
        <v>Olympic</v>
      </c>
      <c r="F8" s="198" t="str">
        <f t="shared" si="1"/>
        <v>MEJA BELAJAR</v>
      </c>
      <c r="G8" s="199">
        <f t="shared" si="2"/>
        <v>475000</v>
      </c>
      <c r="H8" s="187">
        <v>30</v>
      </c>
      <c r="I8" s="201">
        <f t="shared" si="3"/>
        <v>14250000</v>
      </c>
      <c r="J8" s="183">
        <f t="shared" si="4"/>
        <v>4275000</v>
      </c>
      <c r="K8" s="202">
        <f t="shared" si="5"/>
        <v>9975000</v>
      </c>
      <c r="N8" s="190" t="s">
        <v>418</v>
      </c>
      <c r="O8" s="191" t="s">
        <v>419</v>
      </c>
    </row>
    <row r="9" spans="2:15" ht="15" thickBot="1" x14ac:dyDescent="0.4">
      <c r="B9" s="76">
        <v>4</v>
      </c>
      <c r="C9" s="75" t="s">
        <v>396</v>
      </c>
      <c r="D9" s="74" t="s">
        <v>397</v>
      </c>
      <c r="E9" s="197" t="str">
        <f t="shared" si="0"/>
        <v>Ligna</v>
      </c>
      <c r="F9" s="198" t="str">
        <f t="shared" si="1"/>
        <v>MEJA KERJA</v>
      </c>
      <c r="G9" s="199">
        <f t="shared" si="2"/>
        <v>760000</v>
      </c>
      <c r="H9" s="187">
        <v>6</v>
      </c>
      <c r="I9" s="201">
        <f t="shared" si="3"/>
        <v>4560000</v>
      </c>
      <c r="J9" s="183">
        <f t="shared" si="4"/>
        <v>912000</v>
      </c>
      <c r="K9" s="202">
        <f t="shared" si="5"/>
        <v>3648000</v>
      </c>
      <c r="N9" s="192" t="s">
        <v>420</v>
      </c>
      <c r="O9" s="193" t="s">
        <v>421</v>
      </c>
    </row>
    <row r="10" spans="2:15" ht="15" thickBot="1" x14ac:dyDescent="0.4">
      <c r="B10" s="76">
        <v>5</v>
      </c>
      <c r="C10" s="75" t="s">
        <v>398</v>
      </c>
      <c r="D10" s="74" t="s">
        <v>393</v>
      </c>
      <c r="E10" s="197" t="str">
        <f t="shared" si="0"/>
        <v>Garuda</v>
      </c>
      <c r="F10" s="198" t="str">
        <f t="shared" si="1"/>
        <v>RAK BUKU</v>
      </c>
      <c r="G10" s="199">
        <f t="shared" si="2"/>
        <v>250000</v>
      </c>
      <c r="H10" s="187">
        <v>55</v>
      </c>
      <c r="I10" s="201">
        <f t="shared" si="3"/>
        <v>13750000</v>
      </c>
      <c r="J10" s="183">
        <f t="shared" si="4"/>
        <v>3437500</v>
      </c>
      <c r="K10" s="202">
        <f t="shared" si="5"/>
        <v>10312500</v>
      </c>
    </row>
    <row r="11" spans="2:15" x14ac:dyDescent="0.35">
      <c r="B11" s="76">
        <v>6</v>
      </c>
      <c r="C11" s="75" t="s">
        <v>399</v>
      </c>
      <c r="D11" s="74" t="s">
        <v>400</v>
      </c>
      <c r="E11" s="197" t="str">
        <f t="shared" si="0"/>
        <v>Ligna</v>
      </c>
      <c r="F11" s="198" t="str">
        <f t="shared" si="1"/>
        <v>MEJA BELAJAR</v>
      </c>
      <c r="G11" s="199">
        <f t="shared" si="2"/>
        <v>475000</v>
      </c>
      <c r="H11" s="187">
        <v>47</v>
      </c>
      <c r="I11" s="201">
        <f t="shared" si="3"/>
        <v>22325000</v>
      </c>
      <c r="J11" s="183">
        <f t="shared" si="4"/>
        <v>4465000</v>
      </c>
      <c r="K11" s="202">
        <f t="shared" si="5"/>
        <v>17860000</v>
      </c>
      <c r="N11" s="146" t="s">
        <v>422</v>
      </c>
      <c r="O11" s="125" t="s">
        <v>389</v>
      </c>
    </row>
    <row r="12" spans="2:15" x14ac:dyDescent="0.35">
      <c r="B12" s="76">
        <v>7</v>
      </c>
      <c r="C12" s="75" t="s">
        <v>401</v>
      </c>
      <c r="D12" s="74" t="s">
        <v>402</v>
      </c>
      <c r="E12" s="197" t="str">
        <f t="shared" si="0"/>
        <v>Ligna</v>
      </c>
      <c r="F12" s="198" t="str">
        <f t="shared" si="1"/>
        <v>MEJA BELAJAR</v>
      </c>
      <c r="G12" s="199">
        <f t="shared" si="2"/>
        <v>475000</v>
      </c>
      <c r="H12" s="187">
        <v>12</v>
      </c>
      <c r="I12" s="201">
        <f t="shared" si="3"/>
        <v>5700000</v>
      </c>
      <c r="J12" s="183">
        <f t="shared" si="4"/>
        <v>1710000</v>
      </c>
      <c r="K12" s="202">
        <f t="shared" si="5"/>
        <v>3990000</v>
      </c>
      <c r="N12" s="190" t="s">
        <v>32</v>
      </c>
      <c r="O12" s="194">
        <v>0.3</v>
      </c>
    </row>
    <row r="13" spans="2:15" x14ac:dyDescent="0.35">
      <c r="B13" s="76">
        <v>8</v>
      </c>
      <c r="C13" s="75" t="s">
        <v>403</v>
      </c>
      <c r="D13" s="74" t="s">
        <v>404</v>
      </c>
      <c r="E13" s="197" t="str">
        <f t="shared" si="0"/>
        <v>Olympic</v>
      </c>
      <c r="F13" s="198" t="str">
        <f t="shared" si="1"/>
        <v>MEJA KERJA</v>
      </c>
      <c r="G13" s="199">
        <f t="shared" si="2"/>
        <v>760000</v>
      </c>
      <c r="H13" s="187">
        <v>8</v>
      </c>
      <c r="I13" s="201">
        <f t="shared" si="3"/>
        <v>6080000</v>
      </c>
      <c r="J13" s="183">
        <f t="shared" si="4"/>
        <v>608000</v>
      </c>
      <c r="K13" s="202">
        <f t="shared" si="5"/>
        <v>5472000</v>
      </c>
      <c r="N13" s="190" t="s">
        <v>21</v>
      </c>
      <c r="O13" s="194">
        <v>0.25</v>
      </c>
    </row>
    <row r="14" spans="2:15" x14ac:dyDescent="0.35">
      <c r="B14" s="76">
        <v>9</v>
      </c>
      <c r="C14" s="75" t="s">
        <v>405</v>
      </c>
      <c r="D14" s="74" t="s">
        <v>406</v>
      </c>
      <c r="E14" s="197" t="str">
        <f t="shared" si="0"/>
        <v>Ligna</v>
      </c>
      <c r="F14" s="198" t="str">
        <f t="shared" si="1"/>
        <v>RAK BUKU</v>
      </c>
      <c r="G14" s="199">
        <f t="shared" si="2"/>
        <v>250000</v>
      </c>
      <c r="H14" s="187">
        <v>45</v>
      </c>
      <c r="I14" s="201">
        <f t="shared" si="3"/>
        <v>11250000</v>
      </c>
      <c r="J14" s="183">
        <f t="shared" si="4"/>
        <v>2812500</v>
      </c>
      <c r="K14" s="202">
        <f t="shared" si="5"/>
        <v>8437500</v>
      </c>
      <c r="N14" s="190" t="s">
        <v>50</v>
      </c>
      <c r="O14" s="194">
        <v>0.2</v>
      </c>
    </row>
    <row r="15" spans="2:15" ht="15" thickBot="1" x14ac:dyDescent="0.4">
      <c r="B15" s="76">
        <v>10</v>
      </c>
      <c r="C15" s="75" t="s">
        <v>407</v>
      </c>
      <c r="D15" s="74" t="s">
        <v>408</v>
      </c>
      <c r="E15" s="197" t="str">
        <f t="shared" si="0"/>
        <v>Olympic</v>
      </c>
      <c r="F15" s="198" t="str">
        <f t="shared" si="1"/>
        <v>RAK BUKU</v>
      </c>
      <c r="G15" s="199">
        <f t="shared" si="2"/>
        <v>250000</v>
      </c>
      <c r="H15" s="187">
        <v>65</v>
      </c>
      <c r="I15" s="201">
        <f t="shared" si="3"/>
        <v>16250000</v>
      </c>
      <c r="J15" s="183">
        <f t="shared" si="4"/>
        <v>4062500</v>
      </c>
      <c r="K15" s="202">
        <f t="shared" si="5"/>
        <v>12187500</v>
      </c>
      <c r="N15" s="192" t="s">
        <v>89</v>
      </c>
      <c r="O15" s="195">
        <v>0.1</v>
      </c>
    </row>
    <row r="16" spans="2:15" ht="15" thickBot="1" x14ac:dyDescent="0.4">
      <c r="B16" s="76">
        <v>11</v>
      </c>
      <c r="C16" s="75" t="s">
        <v>409</v>
      </c>
      <c r="D16" s="74" t="s">
        <v>400</v>
      </c>
      <c r="E16" s="197" t="str">
        <f t="shared" si="0"/>
        <v>Ligna</v>
      </c>
      <c r="F16" s="198" t="str">
        <f t="shared" si="1"/>
        <v>MEJA BELAJAR</v>
      </c>
      <c r="G16" s="199">
        <f t="shared" si="2"/>
        <v>475000</v>
      </c>
      <c r="H16" s="187">
        <v>3</v>
      </c>
      <c r="I16" s="201">
        <f t="shared" si="3"/>
        <v>1425000</v>
      </c>
      <c r="J16" s="183">
        <f t="shared" si="4"/>
        <v>285000</v>
      </c>
      <c r="K16" s="202">
        <f t="shared" si="5"/>
        <v>1140000</v>
      </c>
    </row>
    <row r="17" spans="1:20" ht="15" thickBot="1" x14ac:dyDescent="0.4">
      <c r="B17" s="77">
        <v>12</v>
      </c>
      <c r="C17" s="78" t="s">
        <v>410</v>
      </c>
      <c r="D17" s="79" t="s">
        <v>411</v>
      </c>
      <c r="E17" s="197" t="str">
        <f t="shared" si="0"/>
        <v>Garuda</v>
      </c>
      <c r="F17" s="198" t="str">
        <f t="shared" si="1"/>
        <v>MEJA BELAJAR</v>
      </c>
      <c r="G17" s="199">
        <f t="shared" si="2"/>
        <v>475000</v>
      </c>
      <c r="H17" s="196">
        <v>8</v>
      </c>
      <c r="I17" s="201">
        <f t="shared" si="3"/>
        <v>3800000</v>
      </c>
      <c r="J17" s="183">
        <f t="shared" si="4"/>
        <v>1140000</v>
      </c>
      <c r="K17" s="202">
        <f t="shared" si="5"/>
        <v>2660000</v>
      </c>
      <c r="N17" s="146" t="s">
        <v>218</v>
      </c>
      <c r="O17" s="125" t="s">
        <v>428</v>
      </c>
      <c r="Q17" s="189"/>
    </row>
    <row r="18" spans="1:20" x14ac:dyDescent="0.35">
      <c r="N18" s="190" t="s">
        <v>96</v>
      </c>
      <c r="O18" s="194" t="s">
        <v>425</v>
      </c>
      <c r="Q18" s="189"/>
    </row>
    <row r="19" spans="1:20" x14ac:dyDescent="0.35">
      <c r="B19" s="16" t="s">
        <v>423</v>
      </c>
      <c r="N19" s="190" t="s">
        <v>429</v>
      </c>
      <c r="O19" s="194" t="s">
        <v>426</v>
      </c>
    </row>
    <row r="20" spans="1:20" x14ac:dyDescent="0.35">
      <c r="B20" s="239" t="s">
        <v>424</v>
      </c>
      <c r="N20" s="190" t="s">
        <v>430</v>
      </c>
      <c r="O20" s="194" t="s">
        <v>427</v>
      </c>
    </row>
    <row r="22" spans="1:20" x14ac:dyDescent="0.35">
      <c r="A22" s="240"/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</row>
    <row r="23" spans="1:20" ht="18" x14ac:dyDescent="0.4">
      <c r="B23" s="120" t="s">
        <v>431</v>
      </c>
    </row>
    <row r="24" spans="1:20" ht="15" thickBot="1" x14ac:dyDescent="0.4"/>
    <row r="25" spans="1:20" ht="26" x14ac:dyDescent="0.35">
      <c r="B25" s="123" t="s">
        <v>212</v>
      </c>
      <c r="C25" s="147" t="s">
        <v>367</v>
      </c>
      <c r="D25" s="124" t="s">
        <v>214</v>
      </c>
      <c r="E25" s="203" t="s">
        <v>432</v>
      </c>
      <c r="F25" s="203" t="s">
        <v>433</v>
      </c>
      <c r="G25" s="203" t="s">
        <v>434</v>
      </c>
      <c r="H25" s="203" t="s">
        <v>435</v>
      </c>
      <c r="I25" s="204" t="s">
        <v>436</v>
      </c>
      <c r="J25" s="203" t="s">
        <v>437</v>
      </c>
      <c r="K25" s="116" t="s">
        <v>438</v>
      </c>
      <c r="M25" s="146" t="s">
        <v>214</v>
      </c>
      <c r="N25" s="147" t="s">
        <v>432</v>
      </c>
      <c r="O25" s="147" t="s">
        <v>433</v>
      </c>
      <c r="P25" s="205" t="s">
        <v>435</v>
      </c>
    </row>
    <row r="26" spans="1:20" x14ac:dyDescent="0.35">
      <c r="B26" s="76">
        <v>1</v>
      </c>
      <c r="C26" s="75" t="s">
        <v>439</v>
      </c>
      <c r="D26" s="74" t="s">
        <v>440</v>
      </c>
      <c r="E26" s="218" t="str">
        <f>_xlfn.XLOOKUP(LEFT(D26,2),$M$26:$M$30,$N$26:$N$30)</f>
        <v>Lorena</v>
      </c>
      <c r="F26" s="218" t="str">
        <f>_xlfn.XLOOKUP(LEFT(D26,2),$M$26:$M$30,$O$26:$O$30)</f>
        <v>Jakarta-Denpasar</v>
      </c>
      <c r="G26" s="198" t="str">
        <f>_xlfn.XLOOKUP(MID(D26,FIND("-",D26)+1,2),$M$33:$M$36,$N$33:$N$36)</f>
        <v>Super Eksekutif</v>
      </c>
      <c r="H26" s="183">
        <f>_xlfn.XLOOKUP(LEFT(D26,2),$M$26:$M$30,$P$26:$P$30)</f>
        <v>220000</v>
      </c>
      <c r="I26" s="246">
        <f>_xlfn.XLOOKUP(MID(D26,FIND("-",D26)+1,2),$M$33:$M$36,$O$33:$O$36)</f>
        <v>0.75</v>
      </c>
      <c r="J26" s="219">
        <f>H26+(I26*H26)</f>
        <v>385000</v>
      </c>
      <c r="K26" s="222">
        <f>_xlfn.XLOOKUP(RIGHT(D26,2),$M$39:$M$41,$N$39:$N$41)</f>
        <v>0.33333333333333331</v>
      </c>
      <c r="M26" s="206" t="s">
        <v>460</v>
      </c>
      <c r="N26" s="188" t="s">
        <v>461</v>
      </c>
      <c r="O26" s="188" t="s">
        <v>462</v>
      </c>
      <c r="P26" s="207">
        <v>220000</v>
      </c>
    </row>
    <row r="27" spans="1:20" x14ac:dyDescent="0.35">
      <c r="B27" s="76">
        <v>2</v>
      </c>
      <c r="C27" s="75" t="s">
        <v>441</v>
      </c>
      <c r="D27" s="74" t="s">
        <v>442</v>
      </c>
      <c r="E27" s="218" t="str">
        <f t="shared" ref="E27:E37" si="6">_xlfn.XLOOKUP(LEFT(D27,2),$M$26:$M$30,$N$26:$N$30)</f>
        <v>Lorena</v>
      </c>
      <c r="F27" s="218" t="str">
        <f t="shared" ref="F27:F37" si="7">_xlfn.XLOOKUP(LEFT(D27,2),$M$26:$M$30,$O$26:$O$30)</f>
        <v>Jakarta-Denpasar</v>
      </c>
      <c r="G27" s="198" t="str">
        <f t="shared" ref="G27:G37" si="8">_xlfn.XLOOKUP(MID(D27,FIND("-",D27)+1,2),$M$33:$M$36,$N$33:$N$36)</f>
        <v>Super Eksekutif</v>
      </c>
      <c r="H27" s="183">
        <f t="shared" ref="H27:H37" si="9">_xlfn.XLOOKUP(LEFT(D27,2),$M$26:$M$30,$P$26:$P$30)</f>
        <v>220000</v>
      </c>
      <c r="I27" s="246">
        <f t="shared" ref="I27:I37" si="10">_xlfn.XLOOKUP(MID(D27,FIND("-",D27)+1,2),$M$33:$M$36,$O$33:$O$36)</f>
        <v>0.75</v>
      </c>
      <c r="J27" s="219">
        <f t="shared" ref="J27:J37" si="11">H27+(I27*H27)</f>
        <v>385000</v>
      </c>
      <c r="K27" s="222">
        <f t="shared" ref="K27:K37" si="12">_xlfn.XLOOKUP(RIGHT(D27,2),$M$39:$M$41,$N$39:$N$41)</f>
        <v>0.58333333333333337</v>
      </c>
      <c r="M27" s="206" t="s">
        <v>463</v>
      </c>
      <c r="N27" s="188" t="s">
        <v>464</v>
      </c>
      <c r="O27" s="188" t="s">
        <v>465</v>
      </c>
      <c r="P27" s="207">
        <v>40000</v>
      </c>
    </row>
    <row r="28" spans="1:20" x14ac:dyDescent="0.35">
      <c r="B28" s="76">
        <v>3</v>
      </c>
      <c r="C28" s="75" t="s">
        <v>443</v>
      </c>
      <c r="D28" s="74" t="s">
        <v>444</v>
      </c>
      <c r="E28" s="218" t="str">
        <f t="shared" si="6"/>
        <v>Setia Negara</v>
      </c>
      <c r="F28" s="218" t="str">
        <f t="shared" si="7"/>
        <v>Jakarta-Semarang</v>
      </c>
      <c r="G28" s="198" t="str">
        <f t="shared" si="8"/>
        <v>Bisnis</v>
      </c>
      <c r="H28" s="183">
        <f t="shared" si="9"/>
        <v>120000</v>
      </c>
      <c r="I28" s="246">
        <f t="shared" si="10"/>
        <v>0.25</v>
      </c>
      <c r="J28" s="219">
        <f t="shared" si="11"/>
        <v>150000</v>
      </c>
      <c r="K28" s="222">
        <f t="shared" si="12"/>
        <v>0.41666666666666669</v>
      </c>
      <c r="M28" s="206" t="s">
        <v>466</v>
      </c>
      <c r="N28" s="188" t="s">
        <v>467</v>
      </c>
      <c r="O28" s="188" t="s">
        <v>468</v>
      </c>
      <c r="P28" s="207">
        <v>60000</v>
      </c>
    </row>
    <row r="29" spans="1:20" x14ac:dyDescent="0.35">
      <c r="B29" s="76">
        <v>4</v>
      </c>
      <c r="C29" s="75" t="s">
        <v>445</v>
      </c>
      <c r="D29" s="74" t="s">
        <v>446</v>
      </c>
      <c r="E29" s="218" t="str">
        <f t="shared" si="6"/>
        <v>Luragung Jaya</v>
      </c>
      <c r="F29" s="218" t="str">
        <f t="shared" si="7"/>
        <v>Jakarta-Cirebon</v>
      </c>
      <c r="G29" s="198" t="str">
        <f t="shared" si="8"/>
        <v>Ekonomi</v>
      </c>
      <c r="H29" s="183">
        <f t="shared" si="9"/>
        <v>40000</v>
      </c>
      <c r="I29" s="246">
        <f t="shared" si="10"/>
        <v>0</v>
      </c>
      <c r="J29" s="219">
        <f t="shared" si="11"/>
        <v>40000</v>
      </c>
      <c r="K29" s="222">
        <f t="shared" si="12"/>
        <v>0.41666666666666669</v>
      </c>
      <c r="M29" s="206" t="s">
        <v>469</v>
      </c>
      <c r="N29" s="188" t="s">
        <v>470</v>
      </c>
      <c r="O29" s="188" t="s">
        <v>471</v>
      </c>
      <c r="P29" s="207">
        <v>190000</v>
      </c>
    </row>
    <row r="30" spans="1:20" ht="15" thickBot="1" x14ac:dyDescent="0.4">
      <c r="B30" s="76">
        <v>5</v>
      </c>
      <c r="C30" s="75" t="s">
        <v>447</v>
      </c>
      <c r="D30" s="74" t="s">
        <v>448</v>
      </c>
      <c r="E30" s="218" t="str">
        <f t="shared" si="6"/>
        <v>Sahabat</v>
      </c>
      <c r="F30" s="218" t="str">
        <f t="shared" si="7"/>
        <v>Jakarta-Kuningan</v>
      </c>
      <c r="G30" s="198" t="str">
        <f t="shared" si="8"/>
        <v>Super Eksekutif</v>
      </c>
      <c r="H30" s="183">
        <f t="shared" si="9"/>
        <v>60000</v>
      </c>
      <c r="I30" s="246">
        <f t="shared" si="10"/>
        <v>0.75</v>
      </c>
      <c r="J30" s="219">
        <f t="shared" si="11"/>
        <v>105000</v>
      </c>
      <c r="K30" s="222">
        <f t="shared" si="12"/>
        <v>0.33333333333333331</v>
      </c>
      <c r="M30" s="208" t="s">
        <v>472</v>
      </c>
      <c r="N30" s="209" t="s">
        <v>473</v>
      </c>
      <c r="O30" s="209" t="s">
        <v>474</v>
      </c>
      <c r="P30" s="210">
        <v>120000</v>
      </c>
    </row>
    <row r="31" spans="1:20" ht="15" thickBot="1" x14ac:dyDescent="0.4">
      <c r="B31" s="76">
        <v>6</v>
      </c>
      <c r="C31" s="75" t="s">
        <v>449</v>
      </c>
      <c r="D31" s="74" t="s">
        <v>450</v>
      </c>
      <c r="E31" s="218" t="str">
        <f t="shared" si="6"/>
        <v>Sami Jaya</v>
      </c>
      <c r="F31" s="218" t="str">
        <f t="shared" si="7"/>
        <v>Jakarta-Surabaya</v>
      </c>
      <c r="G31" s="198" t="str">
        <f t="shared" si="8"/>
        <v>Eksekutif</v>
      </c>
      <c r="H31" s="183">
        <f t="shared" si="9"/>
        <v>190000</v>
      </c>
      <c r="I31" s="246">
        <f t="shared" si="10"/>
        <v>0.5</v>
      </c>
      <c r="J31" s="219">
        <f t="shared" si="11"/>
        <v>285000</v>
      </c>
      <c r="K31" s="222">
        <f t="shared" si="12"/>
        <v>0.58333333333333337</v>
      </c>
    </row>
    <row r="32" spans="1:20" x14ac:dyDescent="0.35">
      <c r="B32" s="76">
        <v>7</v>
      </c>
      <c r="C32" s="75" t="s">
        <v>451</v>
      </c>
      <c r="D32" s="74" t="s">
        <v>444</v>
      </c>
      <c r="E32" s="218" t="str">
        <f t="shared" si="6"/>
        <v>Setia Negara</v>
      </c>
      <c r="F32" s="218" t="str">
        <f t="shared" si="7"/>
        <v>Jakarta-Semarang</v>
      </c>
      <c r="G32" s="198" t="str">
        <f t="shared" si="8"/>
        <v>Bisnis</v>
      </c>
      <c r="H32" s="183">
        <f t="shared" si="9"/>
        <v>120000</v>
      </c>
      <c r="I32" s="246">
        <f t="shared" si="10"/>
        <v>0.25</v>
      </c>
      <c r="J32" s="219">
        <f t="shared" si="11"/>
        <v>150000</v>
      </c>
      <c r="K32" s="222">
        <f t="shared" si="12"/>
        <v>0.41666666666666669</v>
      </c>
      <c r="M32" s="211" t="s">
        <v>475</v>
      </c>
      <c r="N32" s="147" t="s">
        <v>434</v>
      </c>
      <c r="O32" s="116" t="s">
        <v>436</v>
      </c>
    </row>
    <row r="33" spans="1:20" x14ac:dyDescent="0.35">
      <c r="B33" s="76">
        <v>8</v>
      </c>
      <c r="C33" s="75" t="s">
        <v>452</v>
      </c>
      <c r="D33" s="74" t="s">
        <v>446</v>
      </c>
      <c r="E33" s="218" t="str">
        <f t="shared" si="6"/>
        <v>Luragung Jaya</v>
      </c>
      <c r="F33" s="218" t="str">
        <f t="shared" si="7"/>
        <v>Jakarta-Cirebon</v>
      </c>
      <c r="G33" s="198" t="str">
        <f t="shared" si="8"/>
        <v>Ekonomi</v>
      </c>
      <c r="H33" s="183">
        <f t="shared" si="9"/>
        <v>40000</v>
      </c>
      <c r="I33" s="246">
        <f t="shared" si="10"/>
        <v>0</v>
      </c>
      <c r="J33" s="219">
        <f t="shared" si="11"/>
        <v>40000</v>
      </c>
      <c r="K33" s="222">
        <f t="shared" si="12"/>
        <v>0.41666666666666669</v>
      </c>
      <c r="M33" s="212" t="s">
        <v>476</v>
      </c>
      <c r="N33" s="188" t="s">
        <v>477</v>
      </c>
      <c r="O33" s="194">
        <v>0.25</v>
      </c>
    </row>
    <row r="34" spans="1:20" x14ac:dyDescent="0.35">
      <c r="B34" s="76">
        <v>9</v>
      </c>
      <c r="C34" s="75" t="s">
        <v>453</v>
      </c>
      <c r="D34" s="74" t="s">
        <v>442</v>
      </c>
      <c r="E34" s="218" t="str">
        <f t="shared" si="6"/>
        <v>Lorena</v>
      </c>
      <c r="F34" s="218" t="str">
        <f t="shared" si="7"/>
        <v>Jakarta-Denpasar</v>
      </c>
      <c r="G34" s="198" t="str">
        <f t="shared" si="8"/>
        <v>Super Eksekutif</v>
      </c>
      <c r="H34" s="183">
        <f t="shared" si="9"/>
        <v>220000</v>
      </c>
      <c r="I34" s="246">
        <f t="shared" si="10"/>
        <v>0.75</v>
      </c>
      <c r="J34" s="219">
        <f t="shared" si="11"/>
        <v>385000</v>
      </c>
      <c r="K34" s="222">
        <f t="shared" si="12"/>
        <v>0.58333333333333337</v>
      </c>
      <c r="M34" s="212" t="s">
        <v>478</v>
      </c>
      <c r="N34" s="188" t="s">
        <v>479</v>
      </c>
      <c r="O34" s="194">
        <v>0</v>
      </c>
    </row>
    <row r="35" spans="1:20" x14ac:dyDescent="0.35">
      <c r="B35" s="76">
        <v>10</v>
      </c>
      <c r="C35" s="75" t="s">
        <v>454</v>
      </c>
      <c r="D35" s="74" t="s">
        <v>455</v>
      </c>
      <c r="E35" s="218" t="str">
        <f t="shared" si="6"/>
        <v>Setia Negara</v>
      </c>
      <c r="F35" s="218" t="str">
        <f t="shared" si="7"/>
        <v>Jakarta-Semarang</v>
      </c>
      <c r="G35" s="198" t="str">
        <f t="shared" si="8"/>
        <v>Eksekutif</v>
      </c>
      <c r="H35" s="183">
        <f t="shared" si="9"/>
        <v>120000</v>
      </c>
      <c r="I35" s="246">
        <f t="shared" si="10"/>
        <v>0.5</v>
      </c>
      <c r="J35" s="219">
        <f t="shared" si="11"/>
        <v>180000</v>
      </c>
      <c r="K35" s="222">
        <f t="shared" si="12"/>
        <v>0.41666666666666669</v>
      </c>
      <c r="M35" s="212" t="s">
        <v>480</v>
      </c>
      <c r="N35" s="188" t="s">
        <v>481</v>
      </c>
      <c r="O35" s="194">
        <v>0.5</v>
      </c>
    </row>
    <row r="36" spans="1:20" ht="15" thickBot="1" x14ac:dyDescent="0.4">
      <c r="B36" s="76">
        <v>11</v>
      </c>
      <c r="C36" s="75" t="s">
        <v>456</v>
      </c>
      <c r="D36" s="74" t="s">
        <v>457</v>
      </c>
      <c r="E36" s="218" t="str">
        <f t="shared" si="6"/>
        <v>Luragung Jaya</v>
      </c>
      <c r="F36" s="218" t="str">
        <f t="shared" si="7"/>
        <v>Jakarta-Cirebon</v>
      </c>
      <c r="G36" s="198" t="str">
        <f t="shared" si="8"/>
        <v>Ekonomi</v>
      </c>
      <c r="H36" s="183">
        <f t="shared" si="9"/>
        <v>40000</v>
      </c>
      <c r="I36" s="246">
        <f t="shared" si="10"/>
        <v>0</v>
      </c>
      <c r="J36" s="219">
        <f t="shared" si="11"/>
        <v>40000</v>
      </c>
      <c r="K36" s="222">
        <f t="shared" si="12"/>
        <v>0.33333333333333331</v>
      </c>
      <c r="M36" s="213" t="s">
        <v>482</v>
      </c>
      <c r="N36" s="209" t="s">
        <v>483</v>
      </c>
      <c r="O36" s="195">
        <v>0.75</v>
      </c>
    </row>
    <row r="37" spans="1:20" ht="15" thickBot="1" x14ac:dyDescent="0.4">
      <c r="B37" s="77">
        <v>12</v>
      </c>
      <c r="C37" s="78" t="s">
        <v>458</v>
      </c>
      <c r="D37" s="79" t="s">
        <v>459</v>
      </c>
      <c r="E37" s="218" t="str">
        <f t="shared" si="6"/>
        <v>Sahabat</v>
      </c>
      <c r="F37" s="218" t="str">
        <f t="shared" si="7"/>
        <v>Jakarta-Kuningan</v>
      </c>
      <c r="G37" s="198" t="str">
        <f t="shared" si="8"/>
        <v>Super Eksekutif</v>
      </c>
      <c r="H37" s="183">
        <f t="shared" si="9"/>
        <v>60000</v>
      </c>
      <c r="I37" s="246">
        <f t="shared" si="10"/>
        <v>0.75</v>
      </c>
      <c r="J37" s="219">
        <f t="shared" si="11"/>
        <v>105000</v>
      </c>
      <c r="K37" s="222">
        <f t="shared" si="12"/>
        <v>0.58333333333333337</v>
      </c>
    </row>
    <row r="38" spans="1:20" x14ac:dyDescent="0.35">
      <c r="M38" s="211" t="s">
        <v>475</v>
      </c>
      <c r="N38" s="148" t="s">
        <v>487</v>
      </c>
    </row>
    <row r="39" spans="1:20" x14ac:dyDescent="0.35">
      <c r="M39" s="214" t="s">
        <v>484</v>
      </c>
      <c r="N39" s="216">
        <v>0.33333333333333331</v>
      </c>
    </row>
    <row r="40" spans="1:20" x14ac:dyDescent="0.35">
      <c r="M40" s="214" t="s">
        <v>485</v>
      </c>
      <c r="N40" s="216">
        <v>0.41666666666666669</v>
      </c>
    </row>
    <row r="41" spans="1:20" ht="15" thickBot="1" x14ac:dyDescent="0.4">
      <c r="M41" s="215" t="s">
        <v>486</v>
      </c>
      <c r="N41" s="217">
        <v>0.58333333333333337</v>
      </c>
    </row>
    <row r="42" spans="1:20" x14ac:dyDescent="0.35">
      <c r="A42" s="241"/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2"/>
      <c r="N42" s="243"/>
      <c r="O42" s="241"/>
      <c r="P42" s="241"/>
      <c r="Q42" s="241"/>
      <c r="R42" s="241"/>
      <c r="S42" s="241"/>
      <c r="T42" s="241"/>
    </row>
    <row r="43" spans="1:20" ht="18" x14ac:dyDescent="0.4">
      <c r="B43" s="120" t="s">
        <v>502</v>
      </c>
      <c r="F43" s="121"/>
    </row>
    <row r="44" spans="1:20" ht="15" thickBot="1" x14ac:dyDescent="0.4">
      <c r="F44" s="247">
        <v>44455</v>
      </c>
    </row>
    <row r="45" spans="1:20" ht="26" x14ac:dyDescent="0.35">
      <c r="B45" s="146" t="s">
        <v>212</v>
      </c>
      <c r="C45" s="147" t="s">
        <v>367</v>
      </c>
      <c r="D45" s="124" t="s">
        <v>214</v>
      </c>
      <c r="E45" s="203" t="s">
        <v>434</v>
      </c>
      <c r="F45" s="124" t="s">
        <v>488</v>
      </c>
      <c r="G45" s="235" t="s">
        <v>489</v>
      </c>
      <c r="H45" s="203" t="s">
        <v>490</v>
      </c>
      <c r="I45" s="236" t="s">
        <v>491</v>
      </c>
      <c r="M45" s="232" t="s">
        <v>214</v>
      </c>
      <c r="N45" s="233" t="s">
        <v>434</v>
      </c>
      <c r="O45" s="231" t="s">
        <v>489</v>
      </c>
    </row>
    <row r="46" spans="1:20" x14ac:dyDescent="0.35">
      <c r="B46" s="76">
        <v>1</v>
      </c>
      <c r="C46" s="75" t="s">
        <v>492</v>
      </c>
      <c r="D46" s="74" t="s">
        <v>507</v>
      </c>
      <c r="E46" s="218" t="str">
        <f>_xlfn.XLOOKUP(LEFT(D46,1),$M$46:$M$48,$N$46:$N$48)</f>
        <v>Yunior Programmer</v>
      </c>
      <c r="F46" s="224">
        <v>44440</v>
      </c>
      <c r="G46" s="234">
        <f>_xlfn.XLOOKUP(E46,$N$46:$N$48,$O$46:$O$48)</f>
        <v>1000000</v>
      </c>
      <c r="H46" s="248">
        <f>IF(F46&lt;F44,50%,0%)</f>
        <v>0.5</v>
      </c>
      <c r="I46" s="184">
        <f>G46-(G46*H46)</f>
        <v>500000</v>
      </c>
      <c r="M46" s="226" t="s">
        <v>32</v>
      </c>
      <c r="N46" s="225" t="s">
        <v>503</v>
      </c>
      <c r="O46" s="227">
        <v>1000000</v>
      </c>
    </row>
    <row r="47" spans="1:20" x14ac:dyDescent="0.35">
      <c r="B47" s="76">
        <v>2</v>
      </c>
      <c r="C47" s="75" t="s">
        <v>493</v>
      </c>
      <c r="D47" s="74" t="s">
        <v>508</v>
      </c>
      <c r="E47" s="218" t="str">
        <f t="shared" ref="E47:E57" si="13">_xlfn.XLOOKUP(LEFT(D47,1),$M$46:$M$48,$N$46:$N$48)</f>
        <v>Ms. Office</v>
      </c>
      <c r="F47" s="224">
        <v>44444</v>
      </c>
      <c r="G47" s="234">
        <f t="shared" ref="G47:G57" si="14">_xlfn.XLOOKUP(E47,$N$46:$N$48,$O$46:$O$48)</f>
        <v>1200000</v>
      </c>
      <c r="H47" s="248">
        <f t="shared" ref="H47:H57" si="15">IF(F47&lt;F45,50%,0%)</f>
        <v>0.5</v>
      </c>
      <c r="I47" s="184">
        <f t="shared" ref="I47:I57" si="16">G47-(G47*H47)</f>
        <v>600000</v>
      </c>
      <c r="M47" s="226" t="s">
        <v>21</v>
      </c>
      <c r="N47" s="225" t="s">
        <v>504</v>
      </c>
      <c r="O47" s="227">
        <v>2000000</v>
      </c>
    </row>
    <row r="48" spans="1:20" ht="15" thickBot="1" x14ac:dyDescent="0.4">
      <c r="B48" s="76">
        <v>3</v>
      </c>
      <c r="C48" s="75" t="s">
        <v>494</v>
      </c>
      <c r="D48" s="74" t="s">
        <v>509</v>
      </c>
      <c r="E48" s="218" t="str">
        <f t="shared" si="13"/>
        <v>Ms. Office</v>
      </c>
      <c r="F48" s="224">
        <v>44441</v>
      </c>
      <c r="G48" s="234">
        <f t="shared" si="14"/>
        <v>1200000</v>
      </c>
      <c r="H48" s="248">
        <f t="shared" si="15"/>
        <v>0</v>
      </c>
      <c r="I48" s="184">
        <f t="shared" si="16"/>
        <v>1200000</v>
      </c>
      <c r="M48" s="228" t="s">
        <v>50</v>
      </c>
      <c r="N48" s="229" t="s">
        <v>505</v>
      </c>
      <c r="O48" s="230">
        <v>1200000</v>
      </c>
    </row>
    <row r="49" spans="2:14" x14ac:dyDescent="0.35">
      <c r="B49" s="76">
        <v>4</v>
      </c>
      <c r="C49" s="75" t="s">
        <v>495</v>
      </c>
      <c r="D49" s="74" t="s">
        <v>510</v>
      </c>
      <c r="E49" s="218" t="str">
        <f t="shared" si="13"/>
        <v>Programmer</v>
      </c>
      <c r="F49" s="224">
        <v>44456</v>
      </c>
      <c r="G49" s="234">
        <f t="shared" si="14"/>
        <v>2000000</v>
      </c>
      <c r="H49" s="248">
        <f t="shared" si="15"/>
        <v>0</v>
      </c>
      <c r="I49" s="184">
        <f t="shared" si="16"/>
        <v>2000000</v>
      </c>
    </row>
    <row r="50" spans="2:14" x14ac:dyDescent="0.35">
      <c r="B50" s="76">
        <v>5</v>
      </c>
      <c r="C50" s="75" t="s">
        <v>496</v>
      </c>
      <c r="D50" s="74" t="s">
        <v>511</v>
      </c>
      <c r="E50" s="218" t="str">
        <f t="shared" si="13"/>
        <v>Ms. Office</v>
      </c>
      <c r="F50" s="224">
        <v>44440</v>
      </c>
      <c r="G50" s="234">
        <f t="shared" si="14"/>
        <v>1200000</v>
      </c>
      <c r="H50" s="248">
        <f t="shared" si="15"/>
        <v>0.5</v>
      </c>
      <c r="I50" s="184">
        <f t="shared" si="16"/>
        <v>600000</v>
      </c>
    </row>
    <row r="51" spans="2:14" x14ac:dyDescent="0.35">
      <c r="B51" s="76">
        <v>6</v>
      </c>
      <c r="C51" s="75" t="s">
        <v>497</v>
      </c>
      <c r="D51" s="74" t="s">
        <v>512</v>
      </c>
      <c r="E51" s="218" t="str">
        <f t="shared" si="13"/>
        <v>Programmer</v>
      </c>
      <c r="F51" s="224">
        <v>44450</v>
      </c>
      <c r="G51" s="234">
        <f t="shared" si="14"/>
        <v>2000000</v>
      </c>
      <c r="H51" s="248">
        <f t="shared" si="15"/>
        <v>0.5</v>
      </c>
      <c r="I51" s="184">
        <f t="shared" si="16"/>
        <v>1000000</v>
      </c>
    </row>
    <row r="52" spans="2:14" x14ac:dyDescent="0.35">
      <c r="B52" s="76">
        <v>7</v>
      </c>
      <c r="C52" s="75" t="s">
        <v>498</v>
      </c>
      <c r="D52" s="74" t="s">
        <v>513</v>
      </c>
      <c r="E52" s="218" t="str">
        <f t="shared" si="13"/>
        <v>Ms. Office</v>
      </c>
      <c r="F52" s="224">
        <v>44458</v>
      </c>
      <c r="G52" s="234">
        <f t="shared" si="14"/>
        <v>1200000</v>
      </c>
      <c r="H52" s="248">
        <f t="shared" si="15"/>
        <v>0</v>
      </c>
      <c r="I52" s="184">
        <f t="shared" si="16"/>
        <v>1200000</v>
      </c>
      <c r="N52" s="249"/>
    </row>
    <row r="53" spans="2:14" x14ac:dyDescent="0.35">
      <c r="B53" s="76">
        <v>8</v>
      </c>
      <c r="C53" s="75" t="s">
        <v>499</v>
      </c>
      <c r="D53" s="74" t="s">
        <v>514</v>
      </c>
      <c r="E53" s="218" t="str">
        <f t="shared" si="13"/>
        <v>Ms. Office</v>
      </c>
      <c r="F53" s="224">
        <v>44449</v>
      </c>
      <c r="G53" s="234">
        <f t="shared" si="14"/>
        <v>1200000</v>
      </c>
      <c r="H53" s="248">
        <f t="shared" si="15"/>
        <v>0.5</v>
      </c>
      <c r="I53" s="184">
        <f t="shared" si="16"/>
        <v>600000</v>
      </c>
      <c r="N53" s="249"/>
    </row>
    <row r="54" spans="2:14" x14ac:dyDescent="0.35">
      <c r="B54" s="76">
        <v>9</v>
      </c>
      <c r="C54" s="75" t="s">
        <v>453</v>
      </c>
      <c r="D54" s="74" t="s">
        <v>515</v>
      </c>
      <c r="E54" s="218" t="str">
        <f t="shared" si="13"/>
        <v>Programmer</v>
      </c>
      <c r="F54" s="224">
        <v>44444</v>
      </c>
      <c r="G54" s="234">
        <f t="shared" si="14"/>
        <v>2000000</v>
      </c>
      <c r="H54" s="248">
        <f t="shared" si="15"/>
        <v>0.5</v>
      </c>
      <c r="I54" s="184">
        <f t="shared" si="16"/>
        <v>1000000</v>
      </c>
      <c r="N54" s="249"/>
    </row>
    <row r="55" spans="2:14" x14ac:dyDescent="0.35">
      <c r="B55" s="76">
        <v>10</v>
      </c>
      <c r="C55" s="75" t="s">
        <v>500</v>
      </c>
      <c r="D55" s="74" t="s">
        <v>516</v>
      </c>
      <c r="E55" s="218" t="str">
        <f t="shared" si="13"/>
        <v>Programmer</v>
      </c>
      <c r="F55" s="224">
        <v>44469</v>
      </c>
      <c r="G55" s="234">
        <f t="shared" si="14"/>
        <v>2000000</v>
      </c>
      <c r="H55" s="248">
        <f t="shared" si="15"/>
        <v>0</v>
      </c>
      <c r="I55" s="184">
        <f t="shared" si="16"/>
        <v>2000000</v>
      </c>
      <c r="N55" s="249"/>
    </row>
    <row r="56" spans="2:14" x14ac:dyDescent="0.35">
      <c r="B56" s="76">
        <v>11</v>
      </c>
      <c r="C56" s="75" t="s">
        <v>291</v>
      </c>
      <c r="D56" s="74" t="s">
        <v>517</v>
      </c>
      <c r="E56" s="218" t="str">
        <f t="shared" si="13"/>
        <v>Yunior Programmer</v>
      </c>
      <c r="F56" s="224">
        <v>44450</v>
      </c>
      <c r="G56" s="234">
        <f t="shared" si="14"/>
        <v>1000000</v>
      </c>
      <c r="H56" s="248">
        <f t="shared" si="15"/>
        <v>0</v>
      </c>
      <c r="I56" s="184">
        <f t="shared" si="16"/>
        <v>1000000</v>
      </c>
      <c r="N56" s="249"/>
    </row>
    <row r="57" spans="2:14" ht="15" thickBot="1" x14ac:dyDescent="0.4">
      <c r="B57" s="77">
        <v>12</v>
      </c>
      <c r="C57" s="78" t="s">
        <v>501</v>
      </c>
      <c r="D57" s="79" t="s">
        <v>518</v>
      </c>
      <c r="E57" s="218" t="str">
        <f t="shared" si="13"/>
        <v>Yunior Programmer</v>
      </c>
      <c r="F57" s="237">
        <v>44444</v>
      </c>
      <c r="G57" s="234">
        <f t="shared" si="14"/>
        <v>1000000</v>
      </c>
      <c r="H57" s="248">
        <f t="shared" si="15"/>
        <v>0.5</v>
      </c>
      <c r="I57" s="184">
        <f t="shared" si="16"/>
        <v>500000</v>
      </c>
      <c r="N57" s="249"/>
    </row>
    <row r="58" spans="2:14" x14ac:dyDescent="0.35">
      <c r="B58" s="239" t="s">
        <v>506</v>
      </c>
      <c r="N58" s="249"/>
    </row>
    <row r="59" spans="2:14" x14ac:dyDescent="0.35">
      <c r="N59" s="249"/>
    </row>
    <row r="60" spans="2:14" x14ac:dyDescent="0.35">
      <c r="N60" s="249"/>
    </row>
    <row r="61" spans="2:14" x14ac:dyDescent="0.35">
      <c r="N61" s="249"/>
    </row>
    <row r="62" spans="2:14" x14ac:dyDescent="0.35">
      <c r="N62" s="249"/>
    </row>
    <row r="63" spans="2:14" x14ac:dyDescent="0.35">
      <c r="N63" s="249"/>
    </row>
  </sheetData>
  <sheetProtection algorithmName="SHA-512" hashValue="vLu5yDiLe5a/fLaEGYz9Y5DTJGdA3T932vGYALCagsfNF+06PJQw8bYPHcUQ1CvqQ3DgHFRQrwD0dd5Pk9p/Hw==" saltValue="M5xg1vp2yD9Qep+7jvxP0g==" spinCount="100000" sheet="1" objects="1" scenarios="1"/>
  <mergeCells count="10">
    <mergeCell ref="H4:H5"/>
    <mergeCell ref="I4:I5"/>
    <mergeCell ref="J4:J5"/>
    <mergeCell ref="K4:K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4BB7-06C6-4317-9C2B-BDBFC885A261}">
  <dimension ref="A1:AB42"/>
  <sheetViews>
    <sheetView showGridLines="0" topLeftCell="A21" zoomScale="85" zoomScaleNormal="85" workbookViewId="0">
      <selection activeCell="H35" sqref="H35"/>
    </sheetView>
  </sheetViews>
  <sheetFormatPr defaultRowHeight="14.5" x14ac:dyDescent="0.35"/>
  <cols>
    <col min="2" max="2" width="33.453125" customWidth="1"/>
    <col min="3" max="3" width="12.453125" bestFit="1" customWidth="1"/>
    <col min="4" max="4" width="10.26953125" bestFit="1" customWidth="1"/>
    <col min="5" max="5" width="13" bestFit="1" customWidth="1"/>
    <col min="6" max="6" width="20.54296875" bestFit="1" customWidth="1"/>
    <col min="7" max="7" width="8.7265625" bestFit="1" customWidth="1"/>
    <col min="8" max="8" width="8.453125" bestFit="1" customWidth="1"/>
    <col min="9" max="14" width="7" bestFit="1" customWidth="1"/>
    <col min="15" max="15" width="9.54296875" bestFit="1" customWidth="1"/>
    <col min="16" max="16" width="2.453125" style="16" customWidth="1"/>
    <col min="17" max="17" width="17.1796875" bestFit="1" customWidth="1"/>
    <col min="18" max="18" width="12.26953125" bestFit="1" customWidth="1"/>
    <col min="19" max="19" width="12.453125" bestFit="1" customWidth="1"/>
    <col min="20" max="20" width="31.81640625" bestFit="1" customWidth="1"/>
    <col min="21" max="21" width="19.26953125" bestFit="1" customWidth="1"/>
    <col min="22" max="22" width="9.26953125" bestFit="1" customWidth="1"/>
    <col min="23" max="28" width="7" bestFit="1" customWidth="1"/>
  </cols>
  <sheetData>
    <row r="1" spans="1:28" ht="23.5" x14ac:dyDescent="0.35">
      <c r="H1" s="109">
        <v>4</v>
      </c>
      <c r="I1" s="109">
        <f>H1+1</f>
        <v>5</v>
      </c>
      <c r="J1" s="109">
        <f>I1+1</f>
        <v>6</v>
      </c>
      <c r="K1" s="109">
        <f>J1+1</f>
        <v>7</v>
      </c>
      <c r="L1" s="109">
        <f>K1+1</f>
        <v>8</v>
      </c>
      <c r="M1" s="109">
        <f>L1+1</f>
        <v>9</v>
      </c>
    </row>
    <row r="2" spans="1:28" ht="23.5" x14ac:dyDescent="0.35">
      <c r="B2" s="1" t="s">
        <v>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8" ht="23.5" x14ac:dyDescent="0.35">
      <c r="B3" s="1" t="s">
        <v>192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8" ht="7.5" customHeight="1" thickBot="1" x14ac:dyDescent="0.4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8" ht="23.5" x14ac:dyDescent="0.35">
      <c r="B5" s="62" t="s">
        <v>184</v>
      </c>
      <c r="C5" s="63"/>
      <c r="D5" s="63"/>
      <c r="E5" s="63"/>
      <c r="F5" s="63"/>
      <c r="G5" s="63"/>
      <c r="H5" s="64"/>
      <c r="I5" s="1"/>
      <c r="J5" s="1"/>
      <c r="K5" s="1"/>
      <c r="L5" s="1"/>
      <c r="M5" s="1"/>
    </row>
    <row r="6" spans="1:28" ht="23.5" x14ac:dyDescent="0.35">
      <c r="B6" s="65" t="s">
        <v>185</v>
      </c>
      <c r="C6" s="66"/>
      <c r="D6" s="66"/>
      <c r="E6" s="66"/>
      <c r="F6" s="66"/>
      <c r="G6" s="66"/>
      <c r="H6" s="67"/>
      <c r="I6" s="1"/>
      <c r="J6" s="1"/>
      <c r="K6" s="1"/>
      <c r="L6" s="1"/>
      <c r="M6" s="1"/>
    </row>
    <row r="7" spans="1:28" ht="23.5" x14ac:dyDescent="0.35">
      <c r="B7" s="65" t="s">
        <v>242</v>
      </c>
      <c r="C7" s="66"/>
      <c r="D7" s="66"/>
      <c r="E7" s="66"/>
      <c r="F7" s="66"/>
      <c r="G7" s="66"/>
      <c r="H7" s="67"/>
      <c r="I7" s="1"/>
      <c r="J7" s="1"/>
      <c r="K7" s="1"/>
      <c r="L7" s="1"/>
      <c r="M7" s="1"/>
    </row>
    <row r="8" spans="1:28" ht="24" thickBot="1" x14ac:dyDescent="0.4">
      <c r="B8" s="68" t="s">
        <v>186</v>
      </c>
      <c r="C8" s="69"/>
      <c r="D8" s="69"/>
      <c r="E8" s="69"/>
      <c r="F8" s="69"/>
      <c r="G8" s="69"/>
      <c r="H8" s="70"/>
      <c r="I8" s="1"/>
      <c r="J8" s="1"/>
      <c r="K8" s="1"/>
      <c r="L8" s="1"/>
      <c r="M8" s="1"/>
    </row>
    <row r="9" spans="1:28" ht="23.5" x14ac:dyDescent="0.45">
      <c r="A9" s="17" t="s">
        <v>61</v>
      </c>
      <c r="B9" s="2"/>
      <c r="C9" s="2"/>
      <c r="D9" s="2"/>
      <c r="E9" s="2"/>
      <c r="F9" s="2"/>
      <c r="G9" s="2"/>
      <c r="H9" s="109"/>
      <c r="I9" s="109"/>
      <c r="J9" s="109"/>
      <c r="K9" s="109"/>
      <c r="L9" s="109"/>
      <c r="M9" s="109"/>
      <c r="N9" s="110"/>
      <c r="Q9" s="18" t="s">
        <v>60</v>
      </c>
    </row>
    <row r="10" spans="1:28" ht="15" thickBot="1" x14ac:dyDescent="0.4">
      <c r="B10" s="279" t="s">
        <v>2</v>
      </c>
      <c r="C10" s="279" t="s">
        <v>3</v>
      </c>
      <c r="D10" s="279" t="s">
        <v>4</v>
      </c>
      <c r="E10" s="279" t="s">
        <v>5</v>
      </c>
      <c r="F10" s="279" t="s">
        <v>6</v>
      </c>
      <c r="G10" s="279" t="s">
        <v>7</v>
      </c>
      <c r="H10" s="287" t="s">
        <v>1</v>
      </c>
      <c r="I10" s="288"/>
      <c r="J10" s="288"/>
      <c r="K10" s="288"/>
      <c r="L10" s="288"/>
      <c r="M10" s="288"/>
      <c r="N10" s="288"/>
      <c r="O10" s="289"/>
      <c r="W10" s="278" t="s">
        <v>1</v>
      </c>
      <c r="X10" s="278"/>
      <c r="Y10" s="278"/>
      <c r="Z10" s="278"/>
      <c r="AA10" s="278"/>
      <c r="AB10" s="278"/>
    </row>
    <row r="11" spans="1:28" ht="16" thickBot="1" x14ac:dyDescent="0.4">
      <c r="A11" s="19" t="s">
        <v>0</v>
      </c>
      <c r="B11" s="280"/>
      <c r="C11" s="281"/>
      <c r="D11" s="281"/>
      <c r="E11" s="281"/>
      <c r="F11" s="281"/>
      <c r="G11" s="281"/>
      <c r="H11" s="105" t="s">
        <v>8</v>
      </c>
      <c r="I11" s="105" t="s">
        <v>9</v>
      </c>
      <c r="J11" s="105" t="s">
        <v>10</v>
      </c>
      <c r="K11" s="105" t="s">
        <v>11</v>
      </c>
      <c r="L11" s="105" t="s">
        <v>12</v>
      </c>
      <c r="M11" s="105" t="s">
        <v>13</v>
      </c>
      <c r="N11" s="105" t="s">
        <v>14</v>
      </c>
      <c r="O11" s="105" t="s">
        <v>15</v>
      </c>
      <c r="Q11" s="103" t="s">
        <v>4</v>
      </c>
      <c r="R11" s="103" t="s">
        <v>5</v>
      </c>
      <c r="S11" s="103" t="s">
        <v>3</v>
      </c>
      <c r="T11" s="103" t="s">
        <v>2</v>
      </c>
      <c r="U11" s="103" t="s">
        <v>6</v>
      </c>
      <c r="V11" s="103" t="s">
        <v>7</v>
      </c>
      <c r="W11" s="105" t="s">
        <v>8</v>
      </c>
      <c r="X11" s="105" t="s">
        <v>9</v>
      </c>
      <c r="Y11" s="105" t="s">
        <v>10</v>
      </c>
      <c r="Z11" s="105" t="s">
        <v>11</v>
      </c>
      <c r="AA11" s="105" t="s">
        <v>12</v>
      </c>
      <c r="AB11" s="105" t="s">
        <v>13</v>
      </c>
    </row>
    <row r="12" spans="1:28" x14ac:dyDescent="0.35">
      <c r="B12" s="3" t="s">
        <v>16</v>
      </c>
      <c r="C12" s="10" t="str">
        <f>_xlfn.XLOOKUP(B12,$T$12:$T$23,$S$12:$S$23)</f>
        <v>K-001</v>
      </c>
      <c r="D12" s="10" t="str">
        <f>_xlfn.XLOOKUP(C12,$S$12:$S$23,$Q$12:$Q$23)</f>
        <v>Kopi</v>
      </c>
      <c r="E12" s="10" t="str">
        <f>_xlfn.XLOOKUP(C12,$S$12:$S$23,$R$12:$R$23)</f>
        <v>Kopi Instant</v>
      </c>
      <c r="F12" s="10" t="str">
        <f>_xlfn.XLOOKUP(C12,$S$12:$S$23,$U$12:$U$23)</f>
        <v>Caffino</v>
      </c>
      <c r="G12" s="10" t="str">
        <f>_xlfn.XLOOKUP(C12,$S$12:$S$23,$V$12:$V$23)</f>
        <v>A</v>
      </c>
      <c r="H12" s="12">
        <f>_xlfn.XLOOKUP($C12,$S$12:$S$23,W$12:W$23)</f>
        <v>100</v>
      </c>
      <c r="I12" s="12">
        <f t="shared" ref="I12:M23" si="0">_xlfn.XLOOKUP($C12,$S$12:$S$23,X$12:X$23)</f>
        <v>90</v>
      </c>
      <c r="J12" s="12">
        <f t="shared" si="0"/>
        <v>105</v>
      </c>
      <c r="K12" s="12">
        <f t="shared" si="0"/>
        <v>120</v>
      </c>
      <c r="L12" s="12">
        <f t="shared" si="0"/>
        <v>110</v>
      </c>
      <c r="M12" s="12">
        <f t="shared" si="0"/>
        <v>100</v>
      </c>
      <c r="N12" s="12">
        <f>SUM(H12:M12)</f>
        <v>625</v>
      </c>
      <c r="O12" s="13">
        <f>AVERAGE(H12:M12)</f>
        <v>104.16666666666667</v>
      </c>
      <c r="Q12" s="3" t="s">
        <v>17</v>
      </c>
      <c r="R12" s="3" t="s">
        <v>17</v>
      </c>
      <c r="S12" s="3" t="s">
        <v>18</v>
      </c>
      <c r="T12" s="3" t="s">
        <v>19</v>
      </c>
      <c r="U12" s="3" t="s">
        <v>20</v>
      </c>
      <c r="V12" s="3" t="s">
        <v>21</v>
      </c>
      <c r="W12" s="4">
        <v>100</v>
      </c>
      <c r="X12" s="4">
        <v>90</v>
      </c>
      <c r="Y12" s="4">
        <v>100</v>
      </c>
      <c r="Z12" s="4">
        <v>120</v>
      </c>
      <c r="AA12" s="4">
        <v>80</v>
      </c>
      <c r="AB12" s="4">
        <v>100</v>
      </c>
    </row>
    <row r="13" spans="1:28" x14ac:dyDescent="0.35">
      <c r="B13" s="3" t="s">
        <v>22</v>
      </c>
      <c r="C13" s="10" t="str">
        <f t="shared" ref="C13:C23" si="1">_xlfn.XLOOKUP(B13,$T$12:$T$23,$S$12:$S$23)</f>
        <v>K-004</v>
      </c>
      <c r="D13" s="10" t="str">
        <f t="shared" ref="D13:D23" si="2">_xlfn.XLOOKUP(C13,$S$12:$S$23,$Q$12:$Q$23)</f>
        <v>Kopi</v>
      </c>
      <c r="E13" s="10" t="str">
        <f t="shared" ref="E13:E23" si="3">_xlfn.XLOOKUP(C13,$S$12:$S$23,$R$12:$R$23)</f>
        <v>Kopi Tubruk</v>
      </c>
      <c r="F13" s="10" t="str">
        <f t="shared" ref="F13:F23" si="4">_xlfn.XLOOKUP(C13,$S$12:$S$23,$U$12:$U$23)</f>
        <v>Kopi Tubruk Gadjah</v>
      </c>
      <c r="G13" s="10" t="str">
        <f t="shared" ref="G13:G23" si="5">_xlfn.XLOOKUP(C13,$S$12:$S$23,$V$12:$V$23)</f>
        <v>A</v>
      </c>
      <c r="H13" s="12">
        <f t="shared" ref="H13:H23" si="6">_xlfn.XLOOKUP($C13,$S$12:$S$23,W$12:W$23)</f>
        <v>50</v>
      </c>
      <c r="I13" s="12">
        <f t="shared" si="0"/>
        <v>40</v>
      </c>
      <c r="J13" s="12">
        <f t="shared" si="0"/>
        <v>45</v>
      </c>
      <c r="K13" s="12">
        <f t="shared" si="0"/>
        <v>60</v>
      </c>
      <c r="L13" s="12">
        <f t="shared" si="0"/>
        <v>60</v>
      </c>
      <c r="M13" s="12">
        <f t="shared" si="0"/>
        <v>50</v>
      </c>
      <c r="N13" s="12">
        <f t="shared" ref="N13:N24" si="7">SUM(H13:M13)</f>
        <v>305</v>
      </c>
      <c r="O13" s="13">
        <f t="shared" ref="O13:O26" si="8">AVERAGE(H13:M13)</f>
        <v>50.833333333333336</v>
      </c>
      <c r="Q13" s="3" t="s">
        <v>17</v>
      </c>
      <c r="R13" s="3" t="s">
        <v>17</v>
      </c>
      <c r="S13" s="3" t="s">
        <v>23</v>
      </c>
      <c r="T13" s="3" t="s">
        <v>24</v>
      </c>
      <c r="U13" s="3" t="s">
        <v>20</v>
      </c>
      <c r="V13" s="3" t="s">
        <v>21</v>
      </c>
      <c r="W13" s="4">
        <v>95</v>
      </c>
      <c r="X13" s="4">
        <v>70</v>
      </c>
      <c r="Y13" s="4">
        <v>80</v>
      </c>
      <c r="Z13" s="4">
        <v>95</v>
      </c>
      <c r="AA13" s="4">
        <v>90</v>
      </c>
      <c r="AB13" s="4">
        <v>80</v>
      </c>
    </row>
    <row r="14" spans="1:28" x14ac:dyDescent="0.35">
      <c r="B14" s="3" t="s">
        <v>25</v>
      </c>
      <c r="C14" s="10" t="str">
        <f t="shared" si="1"/>
        <v>C-003</v>
      </c>
      <c r="D14" s="10" t="str">
        <f t="shared" si="2"/>
        <v>Croissant</v>
      </c>
      <c r="E14" s="10" t="str">
        <f t="shared" si="3"/>
        <v>Croissant</v>
      </c>
      <c r="F14" s="10" t="str">
        <f t="shared" si="4"/>
        <v>5 Days</v>
      </c>
      <c r="G14" s="10" t="str">
        <f t="shared" si="5"/>
        <v>B</v>
      </c>
      <c r="H14" s="12">
        <f t="shared" si="6"/>
        <v>80</v>
      </c>
      <c r="I14" s="12">
        <f t="shared" si="0"/>
        <v>95</v>
      </c>
      <c r="J14" s="12">
        <f t="shared" si="0"/>
        <v>90</v>
      </c>
      <c r="K14" s="12">
        <f t="shared" si="0"/>
        <v>80</v>
      </c>
      <c r="L14" s="12">
        <f t="shared" si="0"/>
        <v>100</v>
      </c>
      <c r="M14" s="12">
        <f t="shared" si="0"/>
        <v>95</v>
      </c>
      <c r="N14" s="12">
        <f t="shared" si="7"/>
        <v>540</v>
      </c>
      <c r="O14" s="13">
        <f t="shared" si="8"/>
        <v>90</v>
      </c>
      <c r="Q14" s="3" t="s">
        <v>17</v>
      </c>
      <c r="R14" s="3" t="s">
        <v>17</v>
      </c>
      <c r="S14" s="3" t="s">
        <v>26</v>
      </c>
      <c r="T14" s="3" t="s">
        <v>25</v>
      </c>
      <c r="U14" s="3" t="s">
        <v>20</v>
      </c>
      <c r="V14" s="3" t="s">
        <v>21</v>
      </c>
      <c r="W14" s="4">
        <v>80</v>
      </c>
      <c r="X14" s="4">
        <v>95</v>
      </c>
      <c r="Y14" s="4">
        <v>90</v>
      </c>
      <c r="Z14" s="4">
        <v>80</v>
      </c>
      <c r="AA14" s="4">
        <v>100</v>
      </c>
      <c r="AB14" s="4">
        <v>95</v>
      </c>
    </row>
    <row r="15" spans="1:28" x14ac:dyDescent="0.35">
      <c r="B15" s="3" t="s">
        <v>27</v>
      </c>
      <c r="C15" s="10" t="str">
        <f t="shared" si="1"/>
        <v>D-002</v>
      </c>
      <c r="D15" s="10" t="str">
        <f t="shared" si="2"/>
        <v>Dairy</v>
      </c>
      <c r="E15" s="10" t="str">
        <f t="shared" si="3"/>
        <v>Fresh Milk</v>
      </c>
      <c r="F15" s="10" t="str">
        <f t="shared" si="4"/>
        <v>MilkLife</v>
      </c>
      <c r="G15" s="10" t="str">
        <f t="shared" si="5"/>
        <v>C</v>
      </c>
      <c r="H15" s="12">
        <f t="shared" si="6"/>
        <v>150</v>
      </c>
      <c r="I15" s="12">
        <f t="shared" si="0"/>
        <v>260</v>
      </c>
      <c r="J15" s="12">
        <f t="shared" si="0"/>
        <v>200</v>
      </c>
      <c r="K15" s="12">
        <f t="shared" si="0"/>
        <v>230</v>
      </c>
      <c r="L15" s="12">
        <f t="shared" si="0"/>
        <v>185</v>
      </c>
      <c r="M15" s="12">
        <f t="shared" si="0"/>
        <v>190</v>
      </c>
      <c r="N15" s="12">
        <f t="shared" si="7"/>
        <v>1215</v>
      </c>
      <c r="O15" s="13">
        <f t="shared" si="8"/>
        <v>202.5</v>
      </c>
      <c r="Q15" s="3" t="s">
        <v>28</v>
      </c>
      <c r="R15" s="3" t="s">
        <v>29</v>
      </c>
      <c r="S15" s="3" t="s">
        <v>30</v>
      </c>
      <c r="T15" s="3" t="s">
        <v>16</v>
      </c>
      <c r="U15" s="3" t="s">
        <v>31</v>
      </c>
      <c r="V15" s="3" t="s">
        <v>32</v>
      </c>
      <c r="W15" s="4">
        <v>100</v>
      </c>
      <c r="X15" s="4">
        <v>90</v>
      </c>
      <c r="Y15" s="4">
        <v>105</v>
      </c>
      <c r="Z15" s="4">
        <v>120</v>
      </c>
      <c r="AA15" s="4">
        <v>110</v>
      </c>
      <c r="AB15" s="4">
        <v>100</v>
      </c>
    </row>
    <row r="16" spans="1:28" x14ac:dyDescent="0.35">
      <c r="B16" s="3" t="s">
        <v>33</v>
      </c>
      <c r="C16" s="10" t="str">
        <f t="shared" si="1"/>
        <v>K-002</v>
      </c>
      <c r="D16" s="10" t="str">
        <f t="shared" si="2"/>
        <v>Kopi</v>
      </c>
      <c r="E16" s="10" t="str">
        <f t="shared" si="3"/>
        <v>Kopi Instant</v>
      </c>
      <c r="F16" s="10" t="str">
        <f t="shared" si="4"/>
        <v>Caffino</v>
      </c>
      <c r="G16" s="10" t="str">
        <f t="shared" si="5"/>
        <v>A</v>
      </c>
      <c r="H16" s="12">
        <f t="shared" si="6"/>
        <v>80</v>
      </c>
      <c r="I16" s="12">
        <f t="shared" si="0"/>
        <v>70</v>
      </c>
      <c r="J16" s="12">
        <f t="shared" si="0"/>
        <v>110</v>
      </c>
      <c r="K16" s="12">
        <f t="shared" si="0"/>
        <v>100</v>
      </c>
      <c r="L16" s="12">
        <f t="shared" si="0"/>
        <v>105</v>
      </c>
      <c r="M16" s="12">
        <f t="shared" si="0"/>
        <v>100</v>
      </c>
      <c r="N16" s="12">
        <f t="shared" si="7"/>
        <v>565</v>
      </c>
      <c r="O16" s="13">
        <f t="shared" si="8"/>
        <v>94.166666666666671</v>
      </c>
      <c r="Q16" s="3" t="s">
        <v>28</v>
      </c>
      <c r="R16" s="3" t="s">
        <v>29</v>
      </c>
      <c r="S16" s="3" t="s">
        <v>34</v>
      </c>
      <c r="T16" s="3" t="s">
        <v>33</v>
      </c>
      <c r="U16" s="3" t="s">
        <v>31</v>
      </c>
      <c r="V16" s="3" t="s">
        <v>32</v>
      </c>
      <c r="W16" s="4">
        <v>80</v>
      </c>
      <c r="X16" s="4">
        <v>70</v>
      </c>
      <c r="Y16" s="4">
        <v>110</v>
      </c>
      <c r="Z16" s="4">
        <v>100</v>
      </c>
      <c r="AA16" s="4">
        <v>105</v>
      </c>
      <c r="AB16" s="4">
        <v>100</v>
      </c>
    </row>
    <row r="17" spans="1:28" x14ac:dyDescent="0.35">
      <c r="B17" s="3" t="s">
        <v>35</v>
      </c>
      <c r="C17" s="10" t="str">
        <f t="shared" si="1"/>
        <v>D-001</v>
      </c>
      <c r="D17" s="10" t="str">
        <f t="shared" si="2"/>
        <v>Dairy</v>
      </c>
      <c r="E17" s="10" t="str">
        <f t="shared" si="3"/>
        <v>Fresh Milk</v>
      </c>
      <c r="F17" s="10" t="str">
        <f t="shared" si="4"/>
        <v>MilkLife</v>
      </c>
      <c r="G17" s="10" t="str">
        <f t="shared" si="5"/>
        <v>C</v>
      </c>
      <c r="H17" s="12">
        <f t="shared" si="6"/>
        <v>200</v>
      </c>
      <c r="I17" s="12">
        <f t="shared" si="0"/>
        <v>150</v>
      </c>
      <c r="J17" s="12">
        <f t="shared" si="0"/>
        <v>180</v>
      </c>
      <c r="K17" s="12">
        <f t="shared" si="0"/>
        <v>250</v>
      </c>
      <c r="L17" s="12">
        <f t="shared" si="0"/>
        <v>300</v>
      </c>
      <c r="M17" s="12">
        <f t="shared" si="0"/>
        <v>210</v>
      </c>
      <c r="N17" s="12">
        <f t="shared" si="7"/>
        <v>1290</v>
      </c>
      <c r="O17" s="13">
        <f t="shared" si="8"/>
        <v>215</v>
      </c>
      <c r="Q17" s="3" t="s">
        <v>28</v>
      </c>
      <c r="R17" s="3" t="s">
        <v>29</v>
      </c>
      <c r="S17" s="3" t="s">
        <v>36</v>
      </c>
      <c r="T17" s="3" t="s">
        <v>37</v>
      </c>
      <c r="U17" s="3" t="s">
        <v>31</v>
      </c>
      <c r="V17" s="3" t="s">
        <v>32</v>
      </c>
      <c r="W17" s="4">
        <v>90</v>
      </c>
      <c r="X17" s="4">
        <v>95</v>
      </c>
      <c r="Y17" s="4">
        <v>80</v>
      </c>
      <c r="Z17" s="4">
        <v>85</v>
      </c>
      <c r="AA17" s="4">
        <v>90</v>
      </c>
      <c r="AB17" s="4">
        <v>85</v>
      </c>
    </row>
    <row r="18" spans="1:28" x14ac:dyDescent="0.35">
      <c r="B18" s="3" t="s">
        <v>19</v>
      </c>
      <c r="C18" s="10" t="str">
        <f t="shared" si="1"/>
        <v>C-001</v>
      </c>
      <c r="D18" s="10" t="str">
        <f t="shared" si="2"/>
        <v>Croissant</v>
      </c>
      <c r="E18" s="10" t="str">
        <f t="shared" si="3"/>
        <v>Croissant</v>
      </c>
      <c r="F18" s="10" t="str">
        <f t="shared" si="4"/>
        <v>5 Days</v>
      </c>
      <c r="G18" s="10" t="str">
        <f t="shared" si="5"/>
        <v>B</v>
      </c>
      <c r="H18" s="12">
        <f t="shared" si="6"/>
        <v>100</v>
      </c>
      <c r="I18" s="12">
        <f t="shared" si="0"/>
        <v>90</v>
      </c>
      <c r="J18" s="12">
        <f t="shared" si="0"/>
        <v>100</v>
      </c>
      <c r="K18" s="12">
        <f t="shared" si="0"/>
        <v>120</v>
      </c>
      <c r="L18" s="12">
        <f t="shared" si="0"/>
        <v>80</v>
      </c>
      <c r="M18" s="12">
        <f t="shared" si="0"/>
        <v>100</v>
      </c>
      <c r="N18" s="12">
        <f t="shared" si="7"/>
        <v>590</v>
      </c>
      <c r="O18" s="13">
        <f t="shared" si="8"/>
        <v>98.333333333333329</v>
      </c>
      <c r="Q18" s="3" t="s">
        <v>28</v>
      </c>
      <c r="R18" s="3" t="s">
        <v>38</v>
      </c>
      <c r="S18" s="3" t="s">
        <v>39</v>
      </c>
      <c r="T18" s="3" t="s">
        <v>22</v>
      </c>
      <c r="U18" s="3" t="s">
        <v>40</v>
      </c>
      <c r="V18" s="3" t="s">
        <v>32</v>
      </c>
      <c r="W18" s="4">
        <v>50</v>
      </c>
      <c r="X18" s="4">
        <v>40</v>
      </c>
      <c r="Y18" s="4">
        <v>45</v>
      </c>
      <c r="Z18" s="4">
        <v>60</v>
      </c>
      <c r="AA18" s="4">
        <v>60</v>
      </c>
      <c r="AB18" s="4">
        <v>50</v>
      </c>
    </row>
    <row r="19" spans="1:28" x14ac:dyDescent="0.35">
      <c r="B19" s="3" t="s">
        <v>41</v>
      </c>
      <c r="C19" s="10" t="str">
        <f t="shared" si="1"/>
        <v>K-005</v>
      </c>
      <c r="D19" s="10" t="str">
        <f t="shared" si="2"/>
        <v>Kopi</v>
      </c>
      <c r="E19" s="10" t="str">
        <f t="shared" si="3"/>
        <v>Kopi Tubruk</v>
      </c>
      <c r="F19" s="10" t="str">
        <f t="shared" si="4"/>
        <v>Kopi Tubruk Gadjah</v>
      </c>
      <c r="G19" s="10" t="str">
        <f t="shared" si="5"/>
        <v>A</v>
      </c>
      <c r="H19" s="12">
        <f t="shared" si="6"/>
        <v>40</v>
      </c>
      <c r="I19" s="12">
        <f t="shared" si="0"/>
        <v>45</v>
      </c>
      <c r="J19" s="12">
        <f t="shared" si="0"/>
        <v>50</v>
      </c>
      <c r="K19" s="12">
        <f t="shared" si="0"/>
        <v>45</v>
      </c>
      <c r="L19" s="12">
        <f t="shared" si="0"/>
        <v>45</v>
      </c>
      <c r="M19" s="12">
        <f t="shared" si="0"/>
        <v>40</v>
      </c>
      <c r="N19" s="12">
        <f t="shared" si="7"/>
        <v>265</v>
      </c>
      <c r="O19" s="13">
        <f t="shared" si="8"/>
        <v>44.166666666666664</v>
      </c>
      <c r="Q19" s="3" t="s">
        <v>28</v>
      </c>
      <c r="R19" s="3" t="s">
        <v>38</v>
      </c>
      <c r="S19" s="3" t="s">
        <v>42</v>
      </c>
      <c r="T19" s="3" t="s">
        <v>41</v>
      </c>
      <c r="U19" s="3" t="s">
        <v>40</v>
      </c>
      <c r="V19" s="3" t="s">
        <v>32</v>
      </c>
      <c r="W19" s="4">
        <v>40</v>
      </c>
      <c r="X19" s="4">
        <v>45</v>
      </c>
      <c r="Y19" s="4">
        <v>50</v>
      </c>
      <c r="Z19" s="4">
        <v>45</v>
      </c>
      <c r="AA19" s="4">
        <v>45</v>
      </c>
      <c r="AB19" s="4">
        <v>40</v>
      </c>
    </row>
    <row r="20" spans="1:28" x14ac:dyDescent="0.35">
      <c r="B20" s="3" t="s">
        <v>43</v>
      </c>
      <c r="C20" s="10" t="str">
        <f t="shared" si="1"/>
        <v>D-003</v>
      </c>
      <c r="D20" s="10" t="str">
        <f t="shared" si="2"/>
        <v>Dairy</v>
      </c>
      <c r="E20" s="10" t="str">
        <f t="shared" si="3"/>
        <v>Fresh Milk</v>
      </c>
      <c r="F20" s="10" t="str">
        <f t="shared" si="4"/>
        <v>MilkLife</v>
      </c>
      <c r="G20" s="10" t="str">
        <f t="shared" si="5"/>
        <v>C</v>
      </c>
      <c r="H20" s="12">
        <f t="shared" si="6"/>
        <v>40</v>
      </c>
      <c r="I20" s="12">
        <f t="shared" si="0"/>
        <v>30</v>
      </c>
      <c r="J20" s="12">
        <f t="shared" si="0"/>
        <v>55</v>
      </c>
      <c r="K20" s="12">
        <f t="shared" si="0"/>
        <v>60</v>
      </c>
      <c r="L20" s="12">
        <f t="shared" si="0"/>
        <v>45</v>
      </c>
      <c r="M20" s="12">
        <f t="shared" si="0"/>
        <v>45</v>
      </c>
      <c r="N20" s="12">
        <f t="shared" si="7"/>
        <v>275</v>
      </c>
      <c r="O20" s="13">
        <f t="shared" si="8"/>
        <v>45.833333333333336</v>
      </c>
      <c r="Q20" s="3" t="s">
        <v>28</v>
      </c>
      <c r="R20" s="3" t="s">
        <v>38</v>
      </c>
      <c r="S20" s="3" t="s">
        <v>44</v>
      </c>
      <c r="T20" s="3" t="s">
        <v>45</v>
      </c>
      <c r="U20" s="3" t="s">
        <v>40</v>
      </c>
      <c r="V20" s="3" t="s">
        <v>32</v>
      </c>
      <c r="W20" s="4">
        <v>40</v>
      </c>
      <c r="X20" s="4">
        <v>40</v>
      </c>
      <c r="Y20" s="4">
        <v>50</v>
      </c>
      <c r="Z20" s="4">
        <v>50</v>
      </c>
      <c r="AA20" s="4">
        <v>30</v>
      </c>
      <c r="AB20" s="4">
        <v>40</v>
      </c>
    </row>
    <row r="21" spans="1:28" x14ac:dyDescent="0.35">
      <c r="B21" s="3" t="s">
        <v>24</v>
      </c>
      <c r="C21" s="10" t="str">
        <f t="shared" si="1"/>
        <v>C-002</v>
      </c>
      <c r="D21" s="10" t="str">
        <f t="shared" si="2"/>
        <v>Croissant</v>
      </c>
      <c r="E21" s="10" t="str">
        <f t="shared" si="3"/>
        <v>Croissant</v>
      </c>
      <c r="F21" s="10" t="str">
        <f t="shared" si="4"/>
        <v>5 Days</v>
      </c>
      <c r="G21" s="10" t="str">
        <f t="shared" si="5"/>
        <v>B</v>
      </c>
      <c r="H21" s="12">
        <f t="shared" si="6"/>
        <v>95</v>
      </c>
      <c r="I21" s="12">
        <f t="shared" si="0"/>
        <v>70</v>
      </c>
      <c r="J21" s="12">
        <f t="shared" si="0"/>
        <v>80</v>
      </c>
      <c r="K21" s="12">
        <f t="shared" si="0"/>
        <v>95</v>
      </c>
      <c r="L21" s="12">
        <f t="shared" si="0"/>
        <v>90</v>
      </c>
      <c r="M21" s="12">
        <f t="shared" si="0"/>
        <v>80</v>
      </c>
      <c r="N21" s="12">
        <f t="shared" si="7"/>
        <v>510</v>
      </c>
      <c r="O21" s="13">
        <f t="shared" si="8"/>
        <v>85</v>
      </c>
      <c r="Q21" s="3" t="s">
        <v>46</v>
      </c>
      <c r="R21" s="3" t="s">
        <v>47</v>
      </c>
      <c r="S21" s="3" t="s">
        <v>48</v>
      </c>
      <c r="T21" s="3" t="s">
        <v>35</v>
      </c>
      <c r="U21" s="3" t="s">
        <v>49</v>
      </c>
      <c r="V21" s="3" t="s">
        <v>50</v>
      </c>
      <c r="W21" s="4">
        <v>200</v>
      </c>
      <c r="X21" s="4">
        <v>150</v>
      </c>
      <c r="Y21" s="4">
        <v>180</v>
      </c>
      <c r="Z21" s="4">
        <v>250</v>
      </c>
      <c r="AA21" s="4">
        <v>300</v>
      </c>
      <c r="AB21" s="4">
        <v>210</v>
      </c>
    </row>
    <row r="22" spans="1:28" x14ac:dyDescent="0.35">
      <c r="B22" s="3" t="s">
        <v>37</v>
      </c>
      <c r="C22" s="10" t="str">
        <f t="shared" si="1"/>
        <v>K-003</v>
      </c>
      <c r="D22" s="10" t="str">
        <f t="shared" si="2"/>
        <v>Kopi</v>
      </c>
      <c r="E22" s="10" t="str">
        <f t="shared" si="3"/>
        <v>Kopi Instant</v>
      </c>
      <c r="F22" s="10" t="str">
        <f t="shared" si="4"/>
        <v>Caffino</v>
      </c>
      <c r="G22" s="10" t="str">
        <f t="shared" si="5"/>
        <v>A</v>
      </c>
      <c r="H22" s="12">
        <f t="shared" si="6"/>
        <v>90</v>
      </c>
      <c r="I22" s="12">
        <f t="shared" si="0"/>
        <v>95</v>
      </c>
      <c r="J22" s="12">
        <f t="shared" si="0"/>
        <v>80</v>
      </c>
      <c r="K22" s="12">
        <f t="shared" si="0"/>
        <v>85</v>
      </c>
      <c r="L22" s="12">
        <f t="shared" si="0"/>
        <v>90</v>
      </c>
      <c r="M22" s="12">
        <f t="shared" si="0"/>
        <v>85</v>
      </c>
      <c r="N22" s="12">
        <f t="shared" si="7"/>
        <v>525</v>
      </c>
      <c r="O22" s="13">
        <f t="shared" si="8"/>
        <v>87.5</v>
      </c>
      <c r="Q22" s="3" t="s">
        <v>46</v>
      </c>
      <c r="R22" s="3" t="s">
        <v>47</v>
      </c>
      <c r="S22" s="3" t="s">
        <v>51</v>
      </c>
      <c r="T22" s="3" t="s">
        <v>27</v>
      </c>
      <c r="U22" s="3" t="s">
        <v>49</v>
      </c>
      <c r="V22" s="3" t="s">
        <v>50</v>
      </c>
      <c r="W22" s="4">
        <v>150</v>
      </c>
      <c r="X22" s="4">
        <v>260</v>
      </c>
      <c r="Y22" s="4">
        <v>200</v>
      </c>
      <c r="Z22" s="4">
        <v>230</v>
      </c>
      <c r="AA22" s="4">
        <v>185</v>
      </c>
      <c r="AB22" s="4">
        <v>190</v>
      </c>
    </row>
    <row r="23" spans="1:28" x14ac:dyDescent="0.35">
      <c r="B23" s="3" t="s">
        <v>45</v>
      </c>
      <c r="C23" s="10" t="str">
        <f t="shared" si="1"/>
        <v>K-006</v>
      </c>
      <c r="D23" s="10" t="str">
        <f t="shared" si="2"/>
        <v>Kopi</v>
      </c>
      <c r="E23" s="10" t="str">
        <f t="shared" si="3"/>
        <v>Kopi Tubruk</v>
      </c>
      <c r="F23" s="10" t="str">
        <f t="shared" si="4"/>
        <v>Kopi Tubruk Gadjah</v>
      </c>
      <c r="G23" s="10" t="str">
        <f t="shared" si="5"/>
        <v>A</v>
      </c>
      <c r="H23" s="12">
        <f t="shared" si="6"/>
        <v>40</v>
      </c>
      <c r="I23" s="12">
        <f t="shared" si="0"/>
        <v>40</v>
      </c>
      <c r="J23" s="12">
        <f t="shared" si="0"/>
        <v>50</v>
      </c>
      <c r="K23" s="12">
        <f t="shared" si="0"/>
        <v>50</v>
      </c>
      <c r="L23" s="12">
        <f t="shared" si="0"/>
        <v>30</v>
      </c>
      <c r="M23" s="12">
        <f t="shared" si="0"/>
        <v>40</v>
      </c>
      <c r="N23" s="12">
        <f t="shared" si="7"/>
        <v>250</v>
      </c>
      <c r="O23" s="13">
        <f t="shared" si="8"/>
        <v>41.666666666666664</v>
      </c>
      <c r="Q23" s="3" t="s">
        <v>46</v>
      </c>
      <c r="R23" s="3" t="s">
        <v>47</v>
      </c>
      <c r="S23" s="3" t="s">
        <v>52</v>
      </c>
      <c r="T23" s="3" t="s">
        <v>43</v>
      </c>
      <c r="U23" s="3" t="s">
        <v>49</v>
      </c>
      <c r="V23" s="3" t="s">
        <v>50</v>
      </c>
      <c r="W23" s="4">
        <v>40</v>
      </c>
      <c r="X23" s="4">
        <v>30</v>
      </c>
      <c r="Y23" s="4">
        <v>55</v>
      </c>
      <c r="Z23" s="4">
        <v>60</v>
      </c>
      <c r="AA23" s="4">
        <v>45</v>
      </c>
      <c r="AB23" s="4">
        <v>45</v>
      </c>
    </row>
    <row r="24" spans="1:28" x14ac:dyDescent="0.35">
      <c r="B24" s="5" t="s">
        <v>14</v>
      </c>
      <c r="C24" s="6"/>
      <c r="D24" s="6"/>
      <c r="E24" s="6"/>
      <c r="F24" s="6"/>
      <c r="G24" s="6"/>
      <c r="H24" s="14">
        <f>SUM(H12:H23)</f>
        <v>1065</v>
      </c>
      <c r="I24" s="14">
        <f t="shared" ref="I24:M24" si="9">SUM(I12:I23)</f>
        <v>1075</v>
      </c>
      <c r="J24" s="14">
        <f t="shared" si="9"/>
        <v>1145</v>
      </c>
      <c r="K24" s="14">
        <f t="shared" si="9"/>
        <v>1295</v>
      </c>
      <c r="L24" s="14">
        <f t="shared" si="9"/>
        <v>1240</v>
      </c>
      <c r="M24" s="14">
        <f t="shared" si="9"/>
        <v>1135</v>
      </c>
      <c r="N24" s="12">
        <f t="shared" si="7"/>
        <v>6955</v>
      </c>
      <c r="O24" s="13">
        <f t="shared" si="8"/>
        <v>1159.1666666666667</v>
      </c>
      <c r="W24" s="245"/>
      <c r="X24" s="245"/>
      <c r="Y24" s="245"/>
      <c r="Z24" s="245"/>
      <c r="AA24" s="245"/>
      <c r="AB24" s="245"/>
    </row>
    <row r="25" spans="1:28" x14ac:dyDescent="0.35">
      <c r="B25" s="5" t="s">
        <v>62</v>
      </c>
      <c r="C25" s="20"/>
      <c r="D25" s="20"/>
      <c r="E25" s="20"/>
      <c r="F25" s="20"/>
      <c r="G25" s="20"/>
      <c r="H25" s="14">
        <f>MAX(H12:H23)</f>
        <v>200</v>
      </c>
      <c r="I25" s="14">
        <f t="shared" ref="I25:M25" si="10">MAX(I12:I23)</f>
        <v>260</v>
      </c>
      <c r="J25" s="14">
        <f t="shared" si="10"/>
        <v>200</v>
      </c>
      <c r="K25" s="14">
        <f t="shared" si="10"/>
        <v>250</v>
      </c>
      <c r="L25" s="14">
        <f t="shared" si="10"/>
        <v>300</v>
      </c>
      <c r="M25" s="14">
        <f t="shared" si="10"/>
        <v>210</v>
      </c>
      <c r="N25" s="20"/>
      <c r="O25" s="13">
        <f t="shared" si="8"/>
        <v>236.66666666666666</v>
      </c>
    </row>
    <row r="26" spans="1:28" x14ac:dyDescent="0.35">
      <c r="B26" s="5" t="s">
        <v>63</v>
      </c>
      <c r="C26" s="20"/>
      <c r="D26" s="20"/>
      <c r="E26" s="20"/>
      <c r="F26" s="20"/>
      <c r="G26" s="20"/>
      <c r="H26" s="14">
        <f>MIN(H12:H23)</f>
        <v>40</v>
      </c>
      <c r="I26" s="14">
        <f t="shared" ref="I26:M26" si="11">MIN(I12:I23)</f>
        <v>30</v>
      </c>
      <c r="J26" s="14">
        <f t="shared" si="11"/>
        <v>45</v>
      </c>
      <c r="K26" s="14">
        <f t="shared" si="11"/>
        <v>45</v>
      </c>
      <c r="L26" s="14">
        <f t="shared" si="11"/>
        <v>30</v>
      </c>
      <c r="M26" s="14">
        <f t="shared" si="11"/>
        <v>40</v>
      </c>
      <c r="N26" s="20"/>
      <c r="O26" s="13">
        <f t="shared" si="8"/>
        <v>38.333333333333336</v>
      </c>
    </row>
    <row r="27" spans="1:28" ht="6" customHeight="1" thickBot="1" x14ac:dyDescent="0.4"/>
    <row r="28" spans="1:28" ht="16" thickBot="1" x14ac:dyDescent="0.4">
      <c r="A28" s="19" t="s">
        <v>53</v>
      </c>
      <c r="B28" s="17" t="s">
        <v>54</v>
      </c>
    </row>
    <row r="29" spans="1:28" x14ac:dyDescent="0.35">
      <c r="F29" s="104" t="s">
        <v>6</v>
      </c>
      <c r="G29" s="104" t="s">
        <v>7</v>
      </c>
      <c r="H29" s="104" t="s">
        <v>8</v>
      </c>
      <c r="I29" s="104" t="s">
        <v>9</v>
      </c>
      <c r="J29" s="104" t="s">
        <v>10</v>
      </c>
      <c r="K29" s="104" t="s">
        <v>11</v>
      </c>
      <c r="L29" s="104" t="s">
        <v>12</v>
      </c>
      <c r="M29" s="104" t="s">
        <v>13</v>
      </c>
      <c r="N29" s="104" t="s">
        <v>14</v>
      </c>
      <c r="O29" s="104" t="s">
        <v>15</v>
      </c>
    </row>
    <row r="30" spans="1:28" x14ac:dyDescent="0.35">
      <c r="F30" s="3" t="s">
        <v>20</v>
      </c>
      <c r="G30" s="11" t="str">
        <f>_xlfn.XLOOKUP(F30,$F$12:$F$23,$G$12:$G$23)</f>
        <v>B</v>
      </c>
      <c r="H30" s="12">
        <f>SUMIF($F$12:$F$23,$F30,H$12:H$23)</f>
        <v>275</v>
      </c>
      <c r="I30" s="12">
        <f t="shared" ref="I30:M30" si="12">SUMIF($F$12:$F$23,$F30,I$12:I$23)</f>
        <v>255</v>
      </c>
      <c r="J30" s="12">
        <f t="shared" si="12"/>
        <v>270</v>
      </c>
      <c r="K30" s="12">
        <f t="shared" si="12"/>
        <v>295</v>
      </c>
      <c r="L30" s="12">
        <f t="shared" si="12"/>
        <v>270</v>
      </c>
      <c r="M30" s="12">
        <f t="shared" si="12"/>
        <v>275</v>
      </c>
      <c r="N30" s="12">
        <f>SUM(H30:M30)</f>
        <v>1640</v>
      </c>
      <c r="O30" s="14">
        <f>AVERAGE(H30:M30)</f>
        <v>273.33333333333331</v>
      </c>
    </row>
    <row r="31" spans="1:28" x14ac:dyDescent="0.35">
      <c r="F31" s="3" t="s">
        <v>31</v>
      </c>
      <c r="G31" s="11" t="str">
        <f t="shared" ref="G31:G33" si="13">_xlfn.XLOOKUP(F31,$F$12:$F$23,$G$12:$G$23)</f>
        <v>A</v>
      </c>
      <c r="H31" s="12">
        <f t="shared" ref="H31:M33" si="14">SUMIF($F$12:$F$23,$F31,H$12:H$23)</f>
        <v>270</v>
      </c>
      <c r="I31" s="12">
        <f t="shared" si="14"/>
        <v>255</v>
      </c>
      <c r="J31" s="12">
        <f t="shared" si="14"/>
        <v>295</v>
      </c>
      <c r="K31" s="12">
        <f t="shared" si="14"/>
        <v>305</v>
      </c>
      <c r="L31" s="12">
        <f t="shared" si="14"/>
        <v>305</v>
      </c>
      <c r="M31" s="12">
        <f t="shared" si="14"/>
        <v>285</v>
      </c>
      <c r="N31" s="12">
        <f t="shared" ref="N31:N33" si="15">SUM(H31:M31)</f>
        <v>1715</v>
      </c>
      <c r="O31" s="14">
        <f t="shared" ref="O31:O34" si="16">AVERAGE(H31:M31)</f>
        <v>285.83333333333331</v>
      </c>
    </row>
    <row r="32" spans="1:28" x14ac:dyDescent="0.35">
      <c r="F32" s="3" t="s">
        <v>40</v>
      </c>
      <c r="G32" s="11" t="str">
        <f t="shared" si="13"/>
        <v>A</v>
      </c>
      <c r="H32" s="12">
        <f t="shared" si="14"/>
        <v>130</v>
      </c>
      <c r="I32" s="12">
        <f t="shared" si="14"/>
        <v>125</v>
      </c>
      <c r="J32" s="12">
        <f t="shared" si="14"/>
        <v>145</v>
      </c>
      <c r="K32" s="12">
        <f t="shared" si="14"/>
        <v>155</v>
      </c>
      <c r="L32" s="12">
        <f t="shared" si="14"/>
        <v>135</v>
      </c>
      <c r="M32" s="12">
        <f t="shared" si="14"/>
        <v>130</v>
      </c>
      <c r="N32" s="12">
        <f t="shared" si="15"/>
        <v>820</v>
      </c>
      <c r="O32" s="14">
        <f t="shared" si="16"/>
        <v>136.66666666666666</v>
      </c>
    </row>
    <row r="33" spans="1:15" x14ac:dyDescent="0.35">
      <c r="F33" s="3" t="s">
        <v>49</v>
      </c>
      <c r="G33" s="11" t="str">
        <f t="shared" si="13"/>
        <v>C</v>
      </c>
      <c r="H33" s="12">
        <f t="shared" si="14"/>
        <v>390</v>
      </c>
      <c r="I33" s="12">
        <f t="shared" si="14"/>
        <v>440</v>
      </c>
      <c r="J33" s="12">
        <f t="shared" si="14"/>
        <v>435</v>
      </c>
      <c r="K33" s="12">
        <f t="shared" si="14"/>
        <v>540</v>
      </c>
      <c r="L33" s="12">
        <f t="shared" si="14"/>
        <v>530</v>
      </c>
      <c r="M33" s="12">
        <f t="shared" si="14"/>
        <v>445</v>
      </c>
      <c r="N33" s="12">
        <f t="shared" si="15"/>
        <v>2780</v>
      </c>
      <c r="O33" s="14">
        <f t="shared" si="16"/>
        <v>463.33333333333331</v>
      </c>
    </row>
    <row r="34" spans="1:15" x14ac:dyDescent="0.35">
      <c r="F34" s="7" t="s">
        <v>14</v>
      </c>
      <c r="G34" s="8"/>
      <c r="H34" s="15">
        <f>SUM(H30:H33)</f>
        <v>1065</v>
      </c>
      <c r="I34" s="15">
        <f t="shared" ref="I34:N34" si="17">SUM(I30:I33)</f>
        <v>1075</v>
      </c>
      <c r="J34" s="15">
        <f t="shared" si="17"/>
        <v>1145</v>
      </c>
      <c r="K34" s="15">
        <f t="shared" si="17"/>
        <v>1295</v>
      </c>
      <c r="L34" s="15">
        <f t="shared" si="17"/>
        <v>1240</v>
      </c>
      <c r="M34" s="15">
        <f t="shared" si="17"/>
        <v>1135</v>
      </c>
      <c r="N34" s="15">
        <f t="shared" si="17"/>
        <v>6955</v>
      </c>
      <c r="O34" s="14">
        <f t="shared" si="16"/>
        <v>1159.1666666666667</v>
      </c>
    </row>
    <row r="35" spans="1:15" ht="12" customHeight="1" thickBot="1" x14ac:dyDescent="0.4">
      <c r="F35" s="3" t="s">
        <v>240</v>
      </c>
      <c r="G35" s="8"/>
      <c r="H35" s="108"/>
      <c r="I35" s="108"/>
      <c r="J35" s="108"/>
      <c r="K35" s="108"/>
      <c r="L35" s="108"/>
      <c r="M35" s="108"/>
      <c r="N35" s="108"/>
      <c r="O35" s="108"/>
    </row>
    <row r="36" spans="1:15" ht="16" thickBot="1" x14ac:dyDescent="0.4">
      <c r="A36" s="19" t="s">
        <v>55</v>
      </c>
      <c r="B36" s="17" t="s">
        <v>56</v>
      </c>
    </row>
    <row r="37" spans="1:15" ht="29.15" customHeight="1" x14ac:dyDescent="0.35">
      <c r="F37" s="285" t="s">
        <v>7</v>
      </c>
      <c r="G37" s="285" t="s">
        <v>57</v>
      </c>
      <c r="H37" s="282" t="s">
        <v>58</v>
      </c>
      <c r="I37" s="283"/>
      <c r="J37" s="283"/>
      <c r="K37" s="283"/>
      <c r="L37" s="283"/>
      <c r="M37" s="284"/>
    </row>
    <row r="38" spans="1:15" x14ac:dyDescent="0.35">
      <c r="F38" s="286"/>
      <c r="G38" s="286"/>
      <c r="H38" s="105" t="s">
        <v>8</v>
      </c>
      <c r="I38" s="105" t="s">
        <v>9</v>
      </c>
      <c r="J38" s="105" t="s">
        <v>10</v>
      </c>
      <c r="K38" s="105" t="s">
        <v>11</v>
      </c>
      <c r="L38" s="105" t="s">
        <v>12</v>
      </c>
      <c r="M38" s="105" t="s">
        <v>13</v>
      </c>
    </row>
    <row r="39" spans="1:15" x14ac:dyDescent="0.35">
      <c r="F39" s="5" t="s">
        <v>32</v>
      </c>
      <c r="G39" s="4">
        <v>100</v>
      </c>
      <c r="H39" s="12">
        <f>COUNTIFS($G$12:$G$23,$F39,H$12:H$23,$N39)</f>
        <v>1</v>
      </c>
      <c r="I39" s="12">
        <f t="shared" ref="I39:M39" si="18">COUNTIFS($G$12:$G$23,$F39,I$12:I$23,$N39)</f>
        <v>0</v>
      </c>
      <c r="J39" s="12">
        <f t="shared" si="18"/>
        <v>2</v>
      </c>
      <c r="K39" s="12">
        <f t="shared" si="18"/>
        <v>2</v>
      </c>
      <c r="L39" s="12">
        <f t="shared" si="18"/>
        <v>2</v>
      </c>
      <c r="M39" s="12">
        <f t="shared" si="18"/>
        <v>2</v>
      </c>
      <c r="N39" t="s">
        <v>244</v>
      </c>
    </row>
    <row r="40" spans="1:15" x14ac:dyDescent="0.35">
      <c r="F40" s="5" t="s">
        <v>21</v>
      </c>
      <c r="G40" s="4">
        <v>50</v>
      </c>
      <c r="H40" s="12">
        <f t="shared" ref="H40:M41" si="19">COUNTIFS($G$12:$G$23,$F40,H$12:H$23,$N40)</f>
        <v>3</v>
      </c>
      <c r="I40" s="12">
        <f t="shared" si="19"/>
        <v>3</v>
      </c>
      <c r="J40" s="12">
        <f t="shared" si="19"/>
        <v>3</v>
      </c>
      <c r="K40" s="12">
        <f t="shared" si="19"/>
        <v>3</v>
      </c>
      <c r="L40" s="12">
        <f t="shared" si="19"/>
        <v>3</v>
      </c>
      <c r="M40" s="12">
        <f t="shared" si="19"/>
        <v>3</v>
      </c>
      <c r="N40" t="s">
        <v>245</v>
      </c>
    </row>
    <row r="41" spans="1:15" x14ac:dyDescent="0.35">
      <c r="F41" s="5" t="s">
        <v>50</v>
      </c>
      <c r="G41" s="4">
        <v>95</v>
      </c>
      <c r="H41" s="12">
        <f t="shared" si="19"/>
        <v>2</v>
      </c>
      <c r="I41" s="12">
        <f t="shared" si="19"/>
        <v>2</v>
      </c>
      <c r="J41" s="12">
        <f t="shared" si="19"/>
        <v>2</v>
      </c>
      <c r="K41" s="12">
        <f t="shared" si="19"/>
        <v>2</v>
      </c>
      <c r="L41" s="12">
        <f t="shared" si="19"/>
        <v>2</v>
      </c>
      <c r="M41" s="12">
        <f t="shared" si="19"/>
        <v>2</v>
      </c>
      <c r="N41" t="s">
        <v>243</v>
      </c>
    </row>
    <row r="42" spans="1:15" x14ac:dyDescent="0.35">
      <c r="F42" s="5" t="s">
        <v>14</v>
      </c>
      <c r="G42" s="9"/>
      <c r="H42" s="15">
        <f>SUM(H39:H41)</f>
        <v>6</v>
      </c>
      <c r="I42" s="15">
        <f t="shared" ref="I42:M42" si="20">SUM(I39:I41)</f>
        <v>5</v>
      </c>
      <c r="J42" s="15">
        <f t="shared" si="20"/>
        <v>7</v>
      </c>
      <c r="K42" s="15">
        <f t="shared" si="20"/>
        <v>7</v>
      </c>
      <c r="L42" s="15">
        <f t="shared" si="20"/>
        <v>7</v>
      </c>
      <c r="M42" s="15">
        <f t="shared" si="20"/>
        <v>7</v>
      </c>
    </row>
  </sheetData>
  <sheetProtection algorithmName="SHA-512" hashValue="pjh3t9/XYm9qLwgisgwLjbPqA0XlhIy8rzPavK6fDM9FecUEXuJtXxcLdTipqy/hY4DOprkQ80WKu3LDiROpzA==" saltValue="7WF1SJtJauStCY8ctYvu5Q==" spinCount="100000" sheet="1" objects="1" scenarios="1"/>
  <mergeCells count="11">
    <mergeCell ref="B10:B11"/>
    <mergeCell ref="C10:C11"/>
    <mergeCell ref="D10:D11"/>
    <mergeCell ref="E10:E11"/>
    <mergeCell ref="F10:F11"/>
    <mergeCell ref="H10:O10"/>
    <mergeCell ref="W10:AB10"/>
    <mergeCell ref="F37:F38"/>
    <mergeCell ref="G37:G38"/>
    <mergeCell ref="H37:M37"/>
    <mergeCell ref="G10:G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98CE-686A-4516-BC11-C6B1D56FA890}">
  <dimension ref="B1:I37"/>
  <sheetViews>
    <sheetView showGridLines="0" workbookViewId="0">
      <selection activeCell="G5" sqref="G5:G16"/>
    </sheetView>
  </sheetViews>
  <sheetFormatPr defaultRowHeight="14.5" x14ac:dyDescent="0.35"/>
  <cols>
    <col min="1" max="2" width="4" customWidth="1"/>
    <col min="3" max="3" width="13.7265625" bestFit="1" customWidth="1"/>
    <col min="4" max="4" width="12.26953125" bestFit="1" customWidth="1"/>
    <col min="5" max="5" width="15.7265625" bestFit="1" customWidth="1"/>
    <col min="6" max="6" width="2.7265625" customWidth="1"/>
    <col min="7" max="7" width="43.54296875" customWidth="1"/>
    <col min="8" max="8" width="1.81640625" customWidth="1"/>
    <col min="9" max="9" width="43.54296875" customWidth="1"/>
  </cols>
  <sheetData>
    <row r="1" spans="2:9" ht="23.5" x14ac:dyDescent="0.35">
      <c r="B1" s="1" t="s">
        <v>193</v>
      </c>
    </row>
    <row r="2" spans="2:9" ht="23.5" x14ac:dyDescent="0.35">
      <c r="B2" s="1" t="s">
        <v>238</v>
      </c>
    </row>
    <row r="4" spans="2:9" x14ac:dyDescent="0.35">
      <c r="B4" s="104" t="s">
        <v>65</v>
      </c>
      <c r="C4" s="104" t="s">
        <v>206</v>
      </c>
      <c r="D4" s="104" t="s">
        <v>207</v>
      </c>
      <c r="E4" s="104" t="s">
        <v>208</v>
      </c>
      <c r="G4" s="72" t="s">
        <v>209</v>
      </c>
      <c r="I4" s="72" t="s">
        <v>210</v>
      </c>
    </row>
    <row r="5" spans="2:9" s="21" customFormat="1" ht="20.25" customHeight="1" x14ac:dyDescent="0.35">
      <c r="B5" s="24">
        <v>1</v>
      </c>
      <c r="C5" s="23" t="s">
        <v>194</v>
      </c>
      <c r="D5" s="24">
        <v>550</v>
      </c>
      <c r="E5" s="24">
        <v>540</v>
      </c>
      <c r="G5" s="290"/>
      <c r="H5"/>
      <c r="I5" s="290"/>
    </row>
    <row r="6" spans="2:9" s="21" customFormat="1" ht="20.25" customHeight="1" x14ac:dyDescent="0.35">
      <c r="B6" s="24">
        <f>B5+1</f>
        <v>2</v>
      </c>
      <c r="C6" s="23" t="s">
        <v>195</v>
      </c>
      <c r="D6" s="24">
        <v>320</v>
      </c>
      <c r="E6" s="24">
        <v>430</v>
      </c>
      <c r="G6" s="290"/>
      <c r="H6"/>
      <c r="I6" s="290"/>
    </row>
    <row r="7" spans="2:9" s="21" customFormat="1" ht="20.25" customHeight="1" x14ac:dyDescent="0.35">
      <c r="B7" s="24">
        <f t="shared" ref="B7:B16" si="0">B6+1</f>
        <v>3</v>
      </c>
      <c r="C7" s="23" t="s">
        <v>196</v>
      </c>
      <c r="D7" s="24">
        <v>400</v>
      </c>
      <c r="E7" s="24">
        <v>420</v>
      </c>
      <c r="G7" s="290"/>
      <c r="H7"/>
      <c r="I7" s="290"/>
    </row>
    <row r="8" spans="2:9" s="21" customFormat="1" ht="20.25" customHeight="1" x14ac:dyDescent="0.35">
      <c r="B8" s="24">
        <f t="shared" si="0"/>
        <v>4</v>
      </c>
      <c r="C8" s="23" t="s">
        <v>197</v>
      </c>
      <c r="D8" s="24">
        <v>350</v>
      </c>
      <c r="E8" s="24">
        <v>300</v>
      </c>
      <c r="G8" s="290"/>
      <c r="H8"/>
      <c r="I8" s="290"/>
    </row>
    <row r="9" spans="2:9" s="21" customFormat="1" ht="20.25" customHeight="1" x14ac:dyDescent="0.35">
      <c r="B9" s="24">
        <f t="shared" si="0"/>
        <v>5</v>
      </c>
      <c r="C9" s="23" t="s">
        <v>198</v>
      </c>
      <c r="D9" s="24">
        <v>220</v>
      </c>
      <c r="E9" s="24">
        <v>250</v>
      </c>
      <c r="G9" s="290"/>
      <c r="H9"/>
      <c r="I9" s="290"/>
    </row>
    <row r="10" spans="2:9" s="21" customFormat="1" ht="20.25" customHeight="1" x14ac:dyDescent="0.35">
      <c r="B10" s="24">
        <f t="shared" si="0"/>
        <v>6</v>
      </c>
      <c r="C10" s="23" t="s">
        <v>199</v>
      </c>
      <c r="D10" s="24">
        <v>231</v>
      </c>
      <c r="E10" s="24">
        <v>150</v>
      </c>
      <c r="G10" s="290"/>
      <c r="H10"/>
      <c r="I10" s="290"/>
    </row>
    <row r="11" spans="2:9" s="21" customFormat="1" ht="20.25" customHeight="1" x14ac:dyDescent="0.35">
      <c r="B11" s="24">
        <f t="shared" si="0"/>
        <v>7</v>
      </c>
      <c r="C11" s="23" t="s">
        <v>200</v>
      </c>
      <c r="D11" s="24">
        <v>672</v>
      </c>
      <c r="E11" s="24">
        <v>540</v>
      </c>
      <c r="G11" s="290"/>
      <c r="H11"/>
      <c r="I11" s="290"/>
    </row>
    <row r="12" spans="2:9" s="21" customFormat="1" ht="20.25" customHeight="1" x14ac:dyDescent="0.35">
      <c r="B12" s="24">
        <f t="shared" si="0"/>
        <v>8</v>
      </c>
      <c r="C12" s="23" t="s">
        <v>201</v>
      </c>
      <c r="D12" s="24">
        <v>430</v>
      </c>
      <c r="E12" s="24">
        <v>340</v>
      </c>
      <c r="G12" s="290"/>
      <c r="H12"/>
      <c r="I12" s="290"/>
    </row>
    <row r="13" spans="2:9" s="21" customFormat="1" ht="20.25" customHeight="1" x14ac:dyDescent="0.35">
      <c r="B13" s="24">
        <f t="shared" si="0"/>
        <v>9</v>
      </c>
      <c r="C13" s="23" t="s">
        <v>202</v>
      </c>
      <c r="D13" s="24">
        <v>390</v>
      </c>
      <c r="E13" s="24">
        <v>400</v>
      </c>
      <c r="G13" s="290"/>
      <c r="H13"/>
      <c r="I13" s="290"/>
    </row>
    <row r="14" spans="2:9" s="21" customFormat="1" ht="20.25" customHeight="1" x14ac:dyDescent="0.35">
      <c r="B14" s="24">
        <f t="shared" si="0"/>
        <v>10</v>
      </c>
      <c r="C14" s="23" t="s">
        <v>203</v>
      </c>
      <c r="D14" s="24">
        <v>342</v>
      </c>
      <c r="E14" s="24">
        <v>320</v>
      </c>
      <c r="G14" s="290"/>
      <c r="H14"/>
      <c r="I14" s="290"/>
    </row>
    <row r="15" spans="2:9" s="21" customFormat="1" ht="20.25" customHeight="1" x14ac:dyDescent="0.35">
      <c r="B15" s="24">
        <f t="shared" si="0"/>
        <v>11</v>
      </c>
      <c r="C15" s="23" t="s">
        <v>204</v>
      </c>
      <c r="D15" s="24">
        <v>532</v>
      </c>
      <c r="E15" s="24">
        <v>430</v>
      </c>
      <c r="G15" s="290"/>
      <c r="H15"/>
      <c r="I15" s="290"/>
    </row>
    <row r="16" spans="2:9" s="21" customFormat="1" ht="20.25" customHeight="1" x14ac:dyDescent="0.35">
      <c r="B16" s="24">
        <f t="shared" si="0"/>
        <v>12</v>
      </c>
      <c r="C16" s="23" t="s">
        <v>205</v>
      </c>
      <c r="D16" s="24">
        <v>430</v>
      </c>
      <c r="E16" s="24">
        <v>500</v>
      </c>
      <c r="G16" s="290"/>
      <c r="H16"/>
      <c r="I16" s="290"/>
    </row>
    <row r="17" spans="2:9" s="21" customFormat="1" ht="20.25" customHeight="1" x14ac:dyDescent="0.35">
      <c r="B17" s="73"/>
      <c r="D17" s="73"/>
      <c r="E17" s="73"/>
      <c r="G17" s="73"/>
      <c r="H17" s="73"/>
      <c r="I17" s="73"/>
    </row>
    <row r="18" spans="2:9" x14ac:dyDescent="0.35">
      <c r="B18" s="292" t="s">
        <v>211</v>
      </c>
      <c r="C18" s="292"/>
      <c r="D18" s="292"/>
      <c r="E18" s="292"/>
      <c r="F18" s="292"/>
      <c r="G18" s="292"/>
      <c r="H18" s="292"/>
      <c r="I18" s="292"/>
    </row>
    <row r="19" spans="2:9" x14ac:dyDescent="0.35">
      <c r="B19" s="291"/>
      <c r="C19" s="291"/>
      <c r="D19" s="291"/>
      <c r="E19" s="291"/>
      <c r="F19" s="291"/>
      <c r="G19" s="291"/>
      <c r="H19" s="291"/>
      <c r="I19" s="291"/>
    </row>
    <row r="20" spans="2:9" x14ac:dyDescent="0.35">
      <c r="B20" s="291"/>
      <c r="C20" s="291"/>
      <c r="D20" s="291"/>
      <c r="E20" s="291"/>
      <c r="F20" s="291"/>
      <c r="G20" s="291"/>
      <c r="H20" s="291"/>
      <c r="I20" s="291"/>
    </row>
    <row r="21" spans="2:9" x14ac:dyDescent="0.35">
      <c r="B21" s="291"/>
      <c r="C21" s="291"/>
      <c r="D21" s="291"/>
      <c r="E21" s="291"/>
      <c r="F21" s="291"/>
      <c r="G21" s="291"/>
      <c r="H21" s="291"/>
      <c r="I21" s="291"/>
    </row>
    <row r="22" spans="2:9" x14ac:dyDescent="0.35">
      <c r="B22" s="291"/>
      <c r="C22" s="291"/>
      <c r="D22" s="291"/>
      <c r="E22" s="291"/>
      <c r="F22" s="291"/>
      <c r="G22" s="291"/>
      <c r="H22" s="291"/>
      <c r="I22" s="291"/>
    </row>
    <row r="23" spans="2:9" x14ac:dyDescent="0.35">
      <c r="B23" s="291"/>
      <c r="C23" s="291"/>
      <c r="D23" s="291"/>
      <c r="E23" s="291"/>
      <c r="F23" s="291"/>
      <c r="G23" s="291"/>
      <c r="H23" s="291"/>
      <c r="I23" s="291"/>
    </row>
    <row r="24" spans="2:9" x14ac:dyDescent="0.35">
      <c r="B24" s="291"/>
      <c r="C24" s="291"/>
      <c r="D24" s="291"/>
      <c r="E24" s="291"/>
      <c r="F24" s="291"/>
      <c r="G24" s="291"/>
      <c r="H24" s="291"/>
      <c r="I24" s="291"/>
    </row>
    <row r="25" spans="2:9" x14ac:dyDescent="0.35">
      <c r="B25" s="291"/>
      <c r="C25" s="291"/>
      <c r="D25" s="291"/>
      <c r="E25" s="291"/>
      <c r="F25" s="291"/>
      <c r="G25" s="291"/>
      <c r="H25" s="291"/>
      <c r="I25" s="291"/>
    </row>
    <row r="26" spans="2:9" x14ac:dyDescent="0.35">
      <c r="B26" s="291"/>
      <c r="C26" s="291"/>
      <c r="D26" s="291"/>
      <c r="E26" s="291"/>
      <c r="F26" s="291"/>
      <c r="G26" s="291"/>
      <c r="H26" s="291"/>
      <c r="I26" s="291"/>
    </row>
    <row r="27" spans="2:9" x14ac:dyDescent="0.35">
      <c r="B27" s="291"/>
      <c r="C27" s="291"/>
      <c r="D27" s="291"/>
      <c r="E27" s="291"/>
      <c r="F27" s="291"/>
      <c r="G27" s="291"/>
      <c r="H27" s="291"/>
      <c r="I27" s="291"/>
    </row>
    <row r="28" spans="2:9" x14ac:dyDescent="0.35">
      <c r="B28" s="291"/>
      <c r="C28" s="291"/>
      <c r="D28" s="291"/>
      <c r="E28" s="291"/>
      <c r="F28" s="291"/>
      <c r="G28" s="291"/>
      <c r="H28" s="291"/>
      <c r="I28" s="291"/>
    </row>
    <row r="29" spans="2:9" x14ac:dyDescent="0.35">
      <c r="B29" s="291"/>
      <c r="C29" s="291"/>
      <c r="D29" s="291"/>
      <c r="E29" s="291"/>
      <c r="F29" s="291"/>
      <c r="G29" s="291"/>
      <c r="H29" s="291"/>
      <c r="I29" s="291"/>
    </row>
    <row r="30" spans="2:9" x14ac:dyDescent="0.35">
      <c r="B30" s="291"/>
      <c r="C30" s="291"/>
      <c r="D30" s="291"/>
      <c r="E30" s="291"/>
      <c r="F30" s="291"/>
      <c r="G30" s="291"/>
      <c r="H30" s="291"/>
      <c r="I30" s="291"/>
    </row>
    <row r="31" spans="2:9" x14ac:dyDescent="0.35">
      <c r="B31" s="291"/>
      <c r="C31" s="291"/>
      <c r="D31" s="291"/>
      <c r="E31" s="291"/>
      <c r="F31" s="291"/>
      <c r="G31" s="291"/>
      <c r="H31" s="291"/>
      <c r="I31" s="291"/>
    </row>
    <row r="32" spans="2:9" x14ac:dyDescent="0.35">
      <c r="B32" s="291"/>
      <c r="C32" s="291"/>
      <c r="D32" s="291"/>
      <c r="E32" s="291"/>
      <c r="F32" s="291"/>
      <c r="G32" s="291"/>
      <c r="H32" s="291"/>
      <c r="I32" s="291"/>
    </row>
    <row r="33" spans="2:9" x14ac:dyDescent="0.35">
      <c r="B33" s="291"/>
      <c r="C33" s="291"/>
      <c r="D33" s="291"/>
      <c r="E33" s="291"/>
      <c r="F33" s="291"/>
      <c r="G33" s="291"/>
      <c r="H33" s="291"/>
      <c r="I33" s="291"/>
    </row>
    <row r="34" spans="2:9" x14ac:dyDescent="0.35">
      <c r="B34" s="291"/>
      <c r="C34" s="291"/>
      <c r="D34" s="291"/>
      <c r="E34" s="291"/>
      <c r="F34" s="291"/>
      <c r="G34" s="291"/>
      <c r="H34" s="291"/>
      <c r="I34" s="291"/>
    </row>
    <row r="35" spans="2:9" x14ac:dyDescent="0.35">
      <c r="B35" s="291"/>
      <c r="C35" s="291"/>
      <c r="D35" s="291"/>
      <c r="E35" s="291"/>
      <c r="F35" s="291"/>
      <c r="G35" s="291"/>
      <c r="H35" s="291"/>
      <c r="I35" s="291"/>
    </row>
    <row r="36" spans="2:9" x14ac:dyDescent="0.35">
      <c r="B36" s="291"/>
      <c r="C36" s="291"/>
      <c r="D36" s="291"/>
      <c r="E36" s="291"/>
      <c r="F36" s="291"/>
      <c r="G36" s="291"/>
      <c r="H36" s="291"/>
      <c r="I36" s="291"/>
    </row>
    <row r="37" spans="2:9" x14ac:dyDescent="0.35">
      <c r="B37" s="291"/>
      <c r="C37" s="291"/>
      <c r="D37" s="291"/>
      <c r="E37" s="291"/>
      <c r="F37" s="291"/>
      <c r="G37" s="291"/>
      <c r="H37" s="291"/>
      <c r="I37" s="291"/>
    </row>
  </sheetData>
  <mergeCells count="4">
    <mergeCell ref="G5:G16"/>
    <mergeCell ref="I5:I16"/>
    <mergeCell ref="B19:I37"/>
    <mergeCell ref="B18:I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9250-9287-46D9-BC28-3B5EE2549A71}">
  <dimension ref="A1:Z73"/>
  <sheetViews>
    <sheetView showGridLines="0" topLeftCell="A4" zoomScale="90" zoomScaleNormal="90" workbookViewId="0">
      <selection activeCell="G25" sqref="G25"/>
    </sheetView>
  </sheetViews>
  <sheetFormatPr defaultColWidth="8.81640625" defaultRowHeight="14.5" x14ac:dyDescent="0.35"/>
  <cols>
    <col min="1" max="1" width="6.54296875" style="21" customWidth="1"/>
    <col min="2" max="2" width="11.54296875" style="21" customWidth="1"/>
    <col min="3" max="3" width="18" style="21" customWidth="1"/>
    <col min="4" max="4" width="10.7265625" style="21" customWidth="1"/>
    <col min="5" max="5" width="11.453125" style="21" customWidth="1"/>
    <col min="6" max="6" width="8.81640625" style="21"/>
    <col min="7" max="7" width="21.54296875" style="21" customWidth="1"/>
    <col min="8" max="8" width="12" style="21" bestFit="1" customWidth="1"/>
    <col min="9" max="9" width="21.54296875" style="21" customWidth="1"/>
    <col min="10" max="10" width="18.453125" style="21" customWidth="1"/>
    <col min="11" max="11" width="16.1796875" style="21" customWidth="1"/>
    <col min="12" max="12" width="18.453125" style="21" customWidth="1"/>
    <col min="13" max="13" width="1.54296875" style="21" customWidth="1"/>
    <col min="14" max="14" width="4.453125" style="21" customWidth="1"/>
    <col min="15" max="15" width="12.453125" style="21" customWidth="1"/>
    <col min="16" max="16" width="18.453125" style="21" bestFit="1" customWidth="1"/>
    <col min="17" max="17" width="5.81640625" style="21" customWidth="1"/>
    <col min="18" max="18" width="11.453125" style="21" customWidth="1"/>
    <col min="19" max="19" width="12.7265625" style="21" bestFit="1" customWidth="1"/>
    <col min="20" max="20" width="8.81640625" style="21"/>
    <col min="21" max="21" width="10.1796875" style="21" customWidth="1"/>
    <col min="22" max="22" width="6.54296875" style="21" customWidth="1"/>
    <col min="23" max="25" width="10.81640625" style="21" bestFit="1" customWidth="1"/>
    <col min="26" max="26" width="12.7265625" style="21" bestFit="1" customWidth="1"/>
    <col min="27" max="16384" width="8.81640625" style="21"/>
  </cols>
  <sheetData>
    <row r="1" spans="1:26" ht="23.5" x14ac:dyDescent="0.35">
      <c r="A1" s="1" t="s">
        <v>163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6" ht="23.5" x14ac:dyDescent="0.35">
      <c r="A2" s="1" t="s">
        <v>183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6" ht="15" thickBot="1" x14ac:dyDescent="0.4"/>
    <row r="4" spans="1:26" x14ac:dyDescent="0.35">
      <c r="B4" s="30" t="s">
        <v>187</v>
      </c>
      <c r="C4" s="31"/>
      <c r="D4" s="31"/>
      <c r="E4" s="31"/>
      <c r="F4" s="31"/>
      <c r="G4" s="32"/>
    </row>
    <row r="5" spans="1:26" x14ac:dyDescent="0.35">
      <c r="B5" s="33" t="s">
        <v>188</v>
      </c>
      <c r="C5" s="34"/>
      <c r="D5" s="34"/>
      <c r="E5" s="34"/>
      <c r="F5" s="34"/>
      <c r="G5" s="35"/>
    </row>
    <row r="6" spans="1:26" x14ac:dyDescent="0.35">
      <c r="B6" s="33" t="s">
        <v>189</v>
      </c>
      <c r="C6" s="34"/>
      <c r="D6" s="34"/>
      <c r="E6" s="34"/>
      <c r="F6" s="34"/>
      <c r="G6" s="35"/>
    </row>
    <row r="7" spans="1:26" x14ac:dyDescent="0.35">
      <c r="B7" s="33" t="s">
        <v>191</v>
      </c>
      <c r="C7" s="34"/>
      <c r="D7" s="34"/>
      <c r="E7" s="34"/>
      <c r="F7" s="34"/>
      <c r="G7" s="35"/>
    </row>
    <row r="8" spans="1:26" ht="15" thickBot="1" x14ac:dyDescent="0.4">
      <c r="B8" s="36" t="s">
        <v>190</v>
      </c>
      <c r="C8" s="37"/>
      <c r="D8" s="37"/>
      <c r="E8" s="37"/>
      <c r="F8" s="37"/>
      <c r="G8" s="38"/>
    </row>
    <row r="10" spans="1:26" x14ac:dyDescent="0.35">
      <c r="A10" s="22" t="s">
        <v>64</v>
      </c>
      <c r="C10" s="71"/>
      <c r="N10" s="22"/>
    </row>
    <row r="11" spans="1:26" ht="29" x14ac:dyDescent="0.35">
      <c r="A11" s="98" t="s">
        <v>65</v>
      </c>
      <c r="B11" s="98" t="s">
        <v>66</v>
      </c>
      <c r="C11" s="98" t="s">
        <v>67</v>
      </c>
      <c r="D11" s="98" t="s">
        <v>68</v>
      </c>
      <c r="E11" s="98" t="s">
        <v>69</v>
      </c>
      <c r="F11" s="98" t="s">
        <v>70</v>
      </c>
      <c r="G11" s="98" t="s">
        <v>71</v>
      </c>
      <c r="H11" s="98" t="s">
        <v>72</v>
      </c>
      <c r="I11" s="98" t="s">
        <v>73</v>
      </c>
      <c r="J11" s="98" t="s">
        <v>74</v>
      </c>
      <c r="K11" s="98" t="s">
        <v>160</v>
      </c>
      <c r="L11" s="98" t="s">
        <v>75</v>
      </c>
      <c r="N11" s="22" t="s">
        <v>60</v>
      </c>
    </row>
    <row r="12" spans="1:26" x14ac:dyDescent="0.35">
      <c r="A12" s="23">
        <v>1</v>
      </c>
      <c r="B12" s="24" t="s">
        <v>76</v>
      </c>
      <c r="C12" s="23" t="s">
        <v>164</v>
      </c>
      <c r="D12" s="25">
        <v>32953</v>
      </c>
      <c r="E12" s="41"/>
      <c r="F12" s="42"/>
      <c r="G12" s="28"/>
      <c r="H12" s="42"/>
      <c r="I12" s="28"/>
      <c r="J12" s="23" t="s">
        <v>77</v>
      </c>
      <c r="K12" s="42"/>
      <c r="L12" s="23" t="s">
        <v>78</v>
      </c>
      <c r="O12" s="22" t="s">
        <v>84</v>
      </c>
      <c r="R12" s="22" t="s">
        <v>85</v>
      </c>
      <c r="U12" s="22" t="s">
        <v>156</v>
      </c>
    </row>
    <row r="13" spans="1:26" x14ac:dyDescent="0.35">
      <c r="A13" s="23">
        <f>A12+1</f>
        <v>2</v>
      </c>
      <c r="B13" s="24" t="s">
        <v>131</v>
      </c>
      <c r="C13" s="23" t="s">
        <v>79</v>
      </c>
      <c r="D13" s="25">
        <v>31809</v>
      </c>
      <c r="E13" s="41"/>
      <c r="F13" s="42"/>
      <c r="G13" s="28"/>
      <c r="H13" s="42"/>
      <c r="I13" s="28"/>
      <c r="J13" s="23" t="s">
        <v>80</v>
      </c>
      <c r="K13" s="42"/>
      <c r="L13" s="23" t="s">
        <v>78</v>
      </c>
      <c r="O13" s="99" t="s">
        <v>70</v>
      </c>
      <c r="P13" s="99" t="s">
        <v>71</v>
      </c>
      <c r="R13" s="99" t="s">
        <v>87</v>
      </c>
      <c r="S13" s="99" t="s">
        <v>73</v>
      </c>
      <c r="U13" s="29" t="s">
        <v>73</v>
      </c>
      <c r="V13" s="43" t="s">
        <v>91</v>
      </c>
      <c r="W13" s="43" t="s">
        <v>94</v>
      </c>
      <c r="X13" s="43" t="s">
        <v>97</v>
      </c>
      <c r="Y13" s="43" t="s">
        <v>101</v>
      </c>
      <c r="Z13" s="43" t="s">
        <v>129</v>
      </c>
    </row>
    <row r="14" spans="1:26" x14ac:dyDescent="0.35">
      <c r="A14" s="23">
        <f t="shared" ref="A14:A41" si="0">A13+1</f>
        <v>3</v>
      </c>
      <c r="B14" s="24" t="s">
        <v>132</v>
      </c>
      <c r="C14" s="23" t="s">
        <v>81</v>
      </c>
      <c r="D14" s="25">
        <v>32225</v>
      </c>
      <c r="E14" s="41"/>
      <c r="F14" s="42"/>
      <c r="G14" s="28"/>
      <c r="H14" s="42"/>
      <c r="I14" s="28"/>
      <c r="J14" s="23" t="s">
        <v>80</v>
      </c>
      <c r="K14" s="42"/>
      <c r="L14" s="23" t="s">
        <v>78</v>
      </c>
      <c r="O14" s="23" t="s">
        <v>32</v>
      </c>
      <c r="P14" s="23" t="s">
        <v>126</v>
      </c>
      <c r="R14" s="23" t="s">
        <v>90</v>
      </c>
      <c r="S14" s="23" t="s">
        <v>91</v>
      </c>
      <c r="U14" s="29" t="s">
        <v>157</v>
      </c>
      <c r="V14" s="24" t="s">
        <v>158</v>
      </c>
      <c r="W14" s="24" t="s">
        <v>159</v>
      </c>
      <c r="X14" s="24" t="s">
        <v>159</v>
      </c>
      <c r="Y14" s="24" t="s">
        <v>159</v>
      </c>
      <c r="Z14" s="24" t="s">
        <v>158</v>
      </c>
    </row>
    <row r="15" spans="1:26" x14ac:dyDescent="0.35">
      <c r="A15" s="23">
        <f t="shared" si="0"/>
        <v>4</v>
      </c>
      <c r="B15" s="24" t="s">
        <v>133</v>
      </c>
      <c r="C15" s="23" t="s">
        <v>82</v>
      </c>
      <c r="D15" s="25">
        <v>33210</v>
      </c>
      <c r="E15" s="41"/>
      <c r="F15" s="42"/>
      <c r="G15" s="28"/>
      <c r="H15" s="42"/>
      <c r="I15" s="28"/>
      <c r="J15" s="23" t="s">
        <v>80</v>
      </c>
      <c r="K15" s="42"/>
      <c r="L15" s="23" t="s">
        <v>130</v>
      </c>
      <c r="O15" s="23" t="s">
        <v>21</v>
      </c>
      <c r="P15" s="23" t="s">
        <v>127</v>
      </c>
      <c r="R15" s="23" t="s">
        <v>93</v>
      </c>
      <c r="S15" s="23" t="s">
        <v>94</v>
      </c>
    </row>
    <row r="16" spans="1:26" x14ac:dyDescent="0.35">
      <c r="A16" s="23">
        <f t="shared" si="0"/>
        <v>5</v>
      </c>
      <c r="B16" s="24" t="s">
        <v>134</v>
      </c>
      <c r="C16" s="23" t="s">
        <v>83</v>
      </c>
      <c r="D16" s="25">
        <v>30808</v>
      </c>
      <c r="E16" s="41"/>
      <c r="F16" s="42"/>
      <c r="G16" s="28"/>
      <c r="H16" s="42"/>
      <c r="I16" s="28"/>
      <c r="J16" s="23" t="s">
        <v>80</v>
      </c>
      <c r="K16" s="42"/>
      <c r="L16" s="23" t="s">
        <v>78</v>
      </c>
      <c r="O16" s="23" t="s">
        <v>50</v>
      </c>
      <c r="P16" s="23" t="s">
        <v>92</v>
      </c>
      <c r="R16" s="23" t="s">
        <v>96</v>
      </c>
      <c r="S16" s="23" t="s">
        <v>97</v>
      </c>
    </row>
    <row r="17" spans="1:19" x14ac:dyDescent="0.35">
      <c r="A17" s="23">
        <f t="shared" si="0"/>
        <v>6</v>
      </c>
      <c r="B17" s="24" t="s">
        <v>135</v>
      </c>
      <c r="C17" s="23" t="s">
        <v>86</v>
      </c>
      <c r="D17" s="25">
        <v>33869</v>
      </c>
      <c r="E17" s="41"/>
      <c r="F17" s="42"/>
      <c r="G17" s="28"/>
      <c r="H17" s="42"/>
      <c r="I17" s="28"/>
      <c r="J17" s="23" t="s">
        <v>77</v>
      </c>
      <c r="K17" s="42"/>
      <c r="L17" s="23" t="s">
        <v>130</v>
      </c>
      <c r="O17" s="23" t="s">
        <v>89</v>
      </c>
      <c r="P17" s="23" t="s">
        <v>128</v>
      </c>
      <c r="R17" s="23" t="s">
        <v>100</v>
      </c>
      <c r="S17" s="23" t="s">
        <v>101</v>
      </c>
    </row>
    <row r="18" spans="1:19" x14ac:dyDescent="0.35">
      <c r="A18" s="23">
        <f t="shared" si="0"/>
        <v>7</v>
      </c>
      <c r="B18" s="24" t="s">
        <v>136</v>
      </c>
      <c r="C18" s="23" t="s">
        <v>88</v>
      </c>
      <c r="D18" s="25">
        <v>34794</v>
      </c>
      <c r="E18" s="41"/>
      <c r="F18" s="42"/>
      <c r="G18" s="28"/>
      <c r="H18" s="42"/>
      <c r="I18" s="28"/>
      <c r="J18" s="23" t="s">
        <v>77</v>
      </c>
      <c r="K18" s="42"/>
      <c r="L18" s="23" t="s">
        <v>78</v>
      </c>
      <c r="O18" s="23" t="s">
        <v>125</v>
      </c>
      <c r="P18" s="23" t="s">
        <v>99</v>
      </c>
      <c r="R18" s="23" t="s">
        <v>21</v>
      </c>
      <c r="S18" s="23" t="s">
        <v>129</v>
      </c>
    </row>
    <row r="19" spans="1:19" x14ac:dyDescent="0.35">
      <c r="A19" s="23">
        <f t="shared" si="0"/>
        <v>8</v>
      </c>
      <c r="B19" s="24" t="s">
        <v>137</v>
      </c>
      <c r="C19" s="23" t="s">
        <v>167</v>
      </c>
      <c r="D19" s="25">
        <v>32482</v>
      </c>
      <c r="E19" s="41"/>
      <c r="F19" s="42"/>
      <c r="G19" s="28"/>
      <c r="H19" s="42"/>
      <c r="I19" s="28"/>
      <c r="J19" s="23" t="s">
        <v>77</v>
      </c>
      <c r="K19" s="42"/>
      <c r="L19" s="23" t="s">
        <v>78</v>
      </c>
      <c r="O19" s="23" t="s">
        <v>93</v>
      </c>
      <c r="P19" s="23" t="s">
        <v>103</v>
      </c>
    </row>
    <row r="20" spans="1:19" x14ac:dyDescent="0.35">
      <c r="A20" s="23">
        <f t="shared" si="0"/>
        <v>9</v>
      </c>
      <c r="B20" s="24" t="s">
        <v>138</v>
      </c>
      <c r="C20" s="23" t="s">
        <v>95</v>
      </c>
      <c r="D20" s="25">
        <v>34460</v>
      </c>
      <c r="E20" s="41"/>
      <c r="F20" s="42"/>
      <c r="G20" s="28"/>
      <c r="H20" s="42"/>
      <c r="I20" s="28"/>
      <c r="J20" s="23" t="s">
        <v>77</v>
      </c>
      <c r="K20" s="42"/>
      <c r="L20" s="23" t="s">
        <v>78</v>
      </c>
    </row>
    <row r="21" spans="1:19" x14ac:dyDescent="0.35">
      <c r="A21" s="23">
        <f t="shared" si="0"/>
        <v>10</v>
      </c>
      <c r="B21" s="24" t="s">
        <v>139</v>
      </c>
      <c r="C21" s="23" t="s">
        <v>98</v>
      </c>
      <c r="D21" s="25">
        <v>31312</v>
      </c>
      <c r="E21" s="41"/>
      <c r="F21" s="42"/>
      <c r="G21" s="28"/>
      <c r="H21" s="42"/>
      <c r="I21" s="28"/>
      <c r="J21" s="23" t="s">
        <v>77</v>
      </c>
      <c r="K21" s="42"/>
      <c r="L21" s="23" t="s">
        <v>78</v>
      </c>
      <c r="N21" s="22"/>
      <c r="O21" s="22"/>
      <c r="P21" s="22"/>
      <c r="Q21" s="22"/>
      <c r="R21" s="22"/>
      <c r="S21" s="22"/>
    </row>
    <row r="22" spans="1:19" x14ac:dyDescent="0.35">
      <c r="A22" s="23">
        <f t="shared" si="0"/>
        <v>11</v>
      </c>
      <c r="B22" s="24" t="s">
        <v>140</v>
      </c>
      <c r="C22" s="23" t="s">
        <v>102</v>
      </c>
      <c r="D22" s="25">
        <v>30046</v>
      </c>
      <c r="E22" s="41"/>
      <c r="F22" s="42"/>
      <c r="G22" s="28"/>
      <c r="H22" s="42"/>
      <c r="I22" s="28"/>
      <c r="J22" s="23" t="s">
        <v>77</v>
      </c>
      <c r="K22" s="42"/>
      <c r="L22" s="23" t="s">
        <v>78</v>
      </c>
    </row>
    <row r="23" spans="1:19" x14ac:dyDescent="0.35">
      <c r="A23" s="23">
        <f t="shared" si="0"/>
        <v>12</v>
      </c>
      <c r="B23" s="24" t="s">
        <v>104</v>
      </c>
      <c r="C23" s="23" t="s">
        <v>105</v>
      </c>
      <c r="D23" s="25">
        <v>32288</v>
      </c>
      <c r="E23" s="41"/>
      <c r="F23" s="42"/>
      <c r="G23" s="28"/>
      <c r="H23" s="42"/>
      <c r="I23" s="28"/>
      <c r="J23" s="23" t="s">
        <v>77</v>
      </c>
      <c r="K23" s="42"/>
      <c r="L23" s="23" t="s">
        <v>130</v>
      </c>
    </row>
    <row r="24" spans="1:19" x14ac:dyDescent="0.35">
      <c r="A24" s="23">
        <f t="shared" si="0"/>
        <v>13</v>
      </c>
      <c r="B24" s="24" t="s">
        <v>141</v>
      </c>
      <c r="C24" s="23" t="s">
        <v>106</v>
      </c>
      <c r="D24" s="25">
        <v>35613</v>
      </c>
      <c r="E24" s="41"/>
      <c r="F24" s="42"/>
      <c r="G24" s="28"/>
      <c r="H24" s="42"/>
      <c r="I24" s="28"/>
      <c r="J24" s="23" t="s">
        <v>80</v>
      </c>
      <c r="K24" s="42"/>
      <c r="L24" s="23" t="s">
        <v>78</v>
      </c>
    </row>
    <row r="25" spans="1:19" x14ac:dyDescent="0.35">
      <c r="A25" s="23">
        <f t="shared" si="0"/>
        <v>14</v>
      </c>
      <c r="B25" s="24" t="s">
        <v>142</v>
      </c>
      <c r="C25" s="23" t="s">
        <v>165</v>
      </c>
      <c r="D25" s="25">
        <v>36426</v>
      </c>
      <c r="E25" s="41"/>
      <c r="F25" s="42"/>
      <c r="G25" s="28"/>
      <c r="H25" s="42"/>
      <c r="I25" s="28"/>
      <c r="J25" s="23" t="s">
        <v>77</v>
      </c>
      <c r="K25" s="42"/>
      <c r="L25" s="23" t="s">
        <v>130</v>
      </c>
    </row>
    <row r="26" spans="1:19" x14ac:dyDescent="0.35">
      <c r="A26" s="23">
        <f t="shared" si="0"/>
        <v>15</v>
      </c>
      <c r="B26" s="24" t="s">
        <v>143</v>
      </c>
      <c r="C26" s="23" t="s">
        <v>107</v>
      </c>
      <c r="D26" s="25">
        <v>35463</v>
      </c>
      <c r="E26" s="41"/>
      <c r="F26" s="42"/>
      <c r="G26" s="28"/>
      <c r="H26" s="42"/>
      <c r="I26" s="28"/>
      <c r="J26" s="23" t="s">
        <v>80</v>
      </c>
      <c r="K26" s="42"/>
      <c r="L26" s="23" t="s">
        <v>78</v>
      </c>
    </row>
    <row r="27" spans="1:19" x14ac:dyDescent="0.35">
      <c r="A27" s="23">
        <f t="shared" si="0"/>
        <v>16</v>
      </c>
      <c r="B27" s="24" t="s">
        <v>108</v>
      </c>
      <c r="C27" s="23" t="s">
        <v>109</v>
      </c>
      <c r="D27" s="25">
        <v>26026</v>
      </c>
      <c r="E27" s="41"/>
      <c r="F27" s="42"/>
      <c r="G27" s="28"/>
      <c r="H27" s="42"/>
      <c r="I27" s="28"/>
      <c r="J27" s="23" t="s">
        <v>77</v>
      </c>
      <c r="K27" s="42"/>
      <c r="L27" s="23" t="s">
        <v>78</v>
      </c>
    </row>
    <row r="28" spans="1:19" x14ac:dyDescent="0.35">
      <c r="A28" s="23">
        <f t="shared" si="0"/>
        <v>17</v>
      </c>
      <c r="B28" s="24" t="s">
        <v>144</v>
      </c>
      <c r="C28" s="23" t="s">
        <v>166</v>
      </c>
      <c r="D28" s="25">
        <v>35779</v>
      </c>
      <c r="E28" s="41"/>
      <c r="F28" s="42"/>
      <c r="G28" s="28"/>
      <c r="H28" s="42"/>
      <c r="I28" s="28"/>
      <c r="J28" s="23" t="s">
        <v>80</v>
      </c>
      <c r="K28" s="42"/>
      <c r="L28" s="23" t="s">
        <v>78</v>
      </c>
    </row>
    <row r="29" spans="1:19" x14ac:dyDescent="0.35">
      <c r="A29" s="23">
        <f t="shared" si="0"/>
        <v>18</v>
      </c>
      <c r="B29" s="24" t="s">
        <v>145</v>
      </c>
      <c r="C29" s="23" t="s">
        <v>110</v>
      </c>
      <c r="D29" s="25">
        <v>34470</v>
      </c>
      <c r="E29" s="41"/>
      <c r="F29" s="42"/>
      <c r="G29" s="28"/>
      <c r="H29" s="42"/>
      <c r="I29" s="28"/>
      <c r="J29" s="23" t="s">
        <v>77</v>
      </c>
      <c r="K29" s="42"/>
      <c r="L29" s="23" t="s">
        <v>78</v>
      </c>
    </row>
    <row r="30" spans="1:19" x14ac:dyDescent="0.35">
      <c r="A30" s="23">
        <f t="shared" si="0"/>
        <v>19</v>
      </c>
      <c r="B30" s="24" t="s">
        <v>146</v>
      </c>
      <c r="C30" s="23" t="s">
        <v>111</v>
      </c>
      <c r="D30" s="25">
        <v>33869</v>
      </c>
      <c r="E30" s="41"/>
      <c r="F30" s="42"/>
      <c r="G30" s="28"/>
      <c r="H30" s="42"/>
      <c r="I30" s="28"/>
      <c r="J30" s="23" t="s">
        <v>80</v>
      </c>
      <c r="K30" s="42"/>
      <c r="L30" s="23" t="s">
        <v>130</v>
      </c>
    </row>
    <row r="31" spans="1:19" x14ac:dyDescent="0.35">
      <c r="A31" s="23">
        <f t="shared" si="0"/>
        <v>20</v>
      </c>
      <c r="B31" s="24" t="s">
        <v>147</v>
      </c>
      <c r="C31" s="23" t="s">
        <v>112</v>
      </c>
      <c r="D31" s="25">
        <v>34804</v>
      </c>
      <c r="E31" s="41"/>
      <c r="F31" s="42"/>
      <c r="G31" s="28"/>
      <c r="H31" s="42"/>
      <c r="I31" s="28"/>
      <c r="J31" s="23" t="s">
        <v>80</v>
      </c>
      <c r="K31" s="42"/>
      <c r="L31" s="23" t="s">
        <v>78</v>
      </c>
    </row>
    <row r="32" spans="1:19" x14ac:dyDescent="0.35">
      <c r="A32" s="23">
        <f t="shared" si="0"/>
        <v>21</v>
      </c>
      <c r="B32" s="24" t="s">
        <v>108</v>
      </c>
      <c r="C32" s="23" t="s">
        <v>113</v>
      </c>
      <c r="D32" s="25">
        <v>36114</v>
      </c>
      <c r="E32" s="41"/>
      <c r="F32" s="42"/>
      <c r="G32" s="28"/>
      <c r="H32" s="42"/>
      <c r="I32" s="28"/>
      <c r="J32" s="23" t="s">
        <v>80</v>
      </c>
      <c r="K32" s="42"/>
      <c r="L32" s="23" t="s">
        <v>78</v>
      </c>
    </row>
    <row r="33" spans="1:12" x14ac:dyDescent="0.35">
      <c r="A33" s="23">
        <f t="shared" si="0"/>
        <v>22</v>
      </c>
      <c r="B33" s="24" t="s">
        <v>148</v>
      </c>
      <c r="C33" s="23" t="s">
        <v>114</v>
      </c>
      <c r="D33" s="25">
        <v>34820</v>
      </c>
      <c r="E33" s="41"/>
      <c r="F33" s="42"/>
      <c r="G33" s="28"/>
      <c r="H33" s="42"/>
      <c r="I33" s="28"/>
      <c r="J33" s="23" t="s">
        <v>80</v>
      </c>
      <c r="K33" s="42"/>
      <c r="L33" s="23" t="s">
        <v>78</v>
      </c>
    </row>
    <row r="34" spans="1:12" x14ac:dyDescent="0.35">
      <c r="A34" s="23">
        <f t="shared" si="0"/>
        <v>23</v>
      </c>
      <c r="B34" s="24" t="s">
        <v>149</v>
      </c>
      <c r="C34" s="23" t="s">
        <v>115</v>
      </c>
      <c r="D34" s="25">
        <v>34130</v>
      </c>
      <c r="E34" s="41"/>
      <c r="F34" s="42"/>
      <c r="G34" s="28"/>
      <c r="H34" s="42"/>
      <c r="I34" s="28"/>
      <c r="J34" s="23" t="s">
        <v>80</v>
      </c>
      <c r="K34" s="42"/>
      <c r="L34" s="23" t="s">
        <v>130</v>
      </c>
    </row>
    <row r="35" spans="1:12" x14ac:dyDescent="0.35">
      <c r="A35" s="23">
        <f t="shared" si="0"/>
        <v>24</v>
      </c>
      <c r="B35" s="24" t="s">
        <v>150</v>
      </c>
      <c r="C35" s="23" t="s">
        <v>116</v>
      </c>
      <c r="D35" s="25">
        <v>33848</v>
      </c>
      <c r="E35" s="41"/>
      <c r="F35" s="42"/>
      <c r="G35" s="28"/>
      <c r="H35" s="42"/>
      <c r="I35" s="28"/>
      <c r="J35" s="23" t="s">
        <v>80</v>
      </c>
      <c r="K35" s="42"/>
      <c r="L35" s="23" t="s">
        <v>78</v>
      </c>
    </row>
    <row r="36" spans="1:12" x14ac:dyDescent="0.35">
      <c r="A36" s="23">
        <f t="shared" si="0"/>
        <v>25</v>
      </c>
      <c r="B36" s="24" t="s">
        <v>117</v>
      </c>
      <c r="C36" s="23" t="s">
        <v>118</v>
      </c>
      <c r="D36" s="25">
        <v>32030</v>
      </c>
      <c r="E36" s="41"/>
      <c r="F36" s="42"/>
      <c r="G36" s="28"/>
      <c r="H36" s="42"/>
      <c r="I36" s="28"/>
      <c r="J36" s="23" t="s">
        <v>77</v>
      </c>
      <c r="K36" s="42"/>
      <c r="L36" s="23" t="s">
        <v>130</v>
      </c>
    </row>
    <row r="37" spans="1:12" x14ac:dyDescent="0.35">
      <c r="A37" s="23">
        <f t="shared" si="0"/>
        <v>26</v>
      </c>
      <c r="B37" s="24" t="s">
        <v>151</v>
      </c>
      <c r="C37" s="23" t="s">
        <v>119</v>
      </c>
      <c r="D37" s="25">
        <v>32951</v>
      </c>
      <c r="E37" s="41"/>
      <c r="F37" s="42"/>
      <c r="G37" s="28"/>
      <c r="H37" s="42"/>
      <c r="I37" s="28"/>
      <c r="J37" s="23" t="s">
        <v>77</v>
      </c>
      <c r="K37" s="42"/>
      <c r="L37" s="23" t="s">
        <v>78</v>
      </c>
    </row>
    <row r="38" spans="1:12" x14ac:dyDescent="0.35">
      <c r="A38" s="23">
        <f t="shared" si="0"/>
        <v>27</v>
      </c>
      <c r="B38" s="24" t="s">
        <v>152</v>
      </c>
      <c r="C38" s="23" t="s">
        <v>120</v>
      </c>
      <c r="D38" s="25">
        <v>29664</v>
      </c>
      <c r="E38" s="41"/>
      <c r="F38" s="42"/>
      <c r="G38" s="28"/>
      <c r="H38" s="42"/>
      <c r="I38" s="28"/>
      <c r="J38" s="23" t="s">
        <v>77</v>
      </c>
      <c r="K38" s="42"/>
      <c r="L38" s="23" t="s">
        <v>78</v>
      </c>
    </row>
    <row r="39" spans="1:12" x14ac:dyDescent="0.35">
      <c r="A39" s="23">
        <f t="shared" si="0"/>
        <v>28</v>
      </c>
      <c r="B39" s="24" t="s">
        <v>153</v>
      </c>
      <c r="C39" s="23" t="s">
        <v>121</v>
      </c>
      <c r="D39" s="25">
        <v>32221</v>
      </c>
      <c r="E39" s="41"/>
      <c r="F39" s="42"/>
      <c r="G39" s="28"/>
      <c r="H39" s="42"/>
      <c r="I39" s="28"/>
      <c r="J39" s="23" t="s">
        <v>77</v>
      </c>
      <c r="K39" s="42"/>
      <c r="L39" s="23" t="s">
        <v>130</v>
      </c>
    </row>
    <row r="40" spans="1:12" x14ac:dyDescent="0.35">
      <c r="A40" s="23">
        <f t="shared" si="0"/>
        <v>29</v>
      </c>
      <c r="B40" s="24" t="s">
        <v>154</v>
      </c>
      <c r="C40" s="23" t="s">
        <v>122</v>
      </c>
      <c r="D40" s="25">
        <v>35143</v>
      </c>
      <c r="E40" s="41"/>
      <c r="F40" s="42"/>
      <c r="G40" s="28"/>
      <c r="H40" s="42"/>
      <c r="I40" s="28"/>
      <c r="J40" s="23" t="s">
        <v>77</v>
      </c>
      <c r="K40" s="42"/>
      <c r="L40" s="23" t="s">
        <v>78</v>
      </c>
    </row>
    <row r="41" spans="1:12" x14ac:dyDescent="0.35">
      <c r="A41" s="23">
        <f t="shared" si="0"/>
        <v>30</v>
      </c>
      <c r="B41" s="24" t="s">
        <v>155</v>
      </c>
      <c r="C41" s="23" t="s">
        <v>123</v>
      </c>
      <c r="D41" s="25">
        <v>32951</v>
      </c>
      <c r="E41" s="41"/>
      <c r="F41" s="42"/>
      <c r="G41" s="28"/>
      <c r="H41" s="42"/>
      <c r="I41" s="28"/>
      <c r="J41" s="23" t="s">
        <v>77</v>
      </c>
      <c r="K41" s="42"/>
      <c r="L41" s="23" t="s">
        <v>78</v>
      </c>
    </row>
    <row r="42" spans="1:12" ht="8.25" customHeight="1" x14ac:dyDescent="0.35"/>
    <row r="43" spans="1:12" ht="8.25" customHeight="1" x14ac:dyDescent="0.35"/>
    <row r="44" spans="1:12" ht="15.5" x14ac:dyDescent="0.35">
      <c r="C44" s="44" t="s">
        <v>124</v>
      </c>
    </row>
    <row r="45" spans="1:12" ht="27.75" customHeight="1" x14ac:dyDescent="0.35">
      <c r="C45" s="98" t="s">
        <v>71</v>
      </c>
      <c r="D45" s="98" t="s">
        <v>91</v>
      </c>
      <c r="E45" s="98" t="s">
        <v>94</v>
      </c>
      <c r="F45" s="98" t="s">
        <v>97</v>
      </c>
      <c r="G45" s="98" t="s">
        <v>101</v>
      </c>
      <c r="H45" s="98" t="s">
        <v>129</v>
      </c>
      <c r="I45" s="98" t="s">
        <v>14</v>
      </c>
    </row>
    <row r="46" spans="1:12" x14ac:dyDescent="0.35">
      <c r="C46" s="23" t="s">
        <v>126</v>
      </c>
      <c r="D46" s="39"/>
      <c r="E46" s="39"/>
      <c r="F46" s="39"/>
      <c r="G46" s="39"/>
      <c r="H46" s="39"/>
      <c r="I46" s="40"/>
    </row>
    <row r="47" spans="1:12" x14ac:dyDescent="0.35">
      <c r="C47" s="23" t="s">
        <v>127</v>
      </c>
      <c r="D47" s="39"/>
      <c r="E47" s="39"/>
      <c r="F47" s="39"/>
      <c r="G47" s="39"/>
      <c r="H47" s="39"/>
      <c r="I47" s="40"/>
    </row>
    <row r="48" spans="1:12" x14ac:dyDescent="0.35">
      <c r="C48" s="23" t="s">
        <v>92</v>
      </c>
      <c r="D48" s="39"/>
      <c r="E48" s="39"/>
      <c r="F48" s="39"/>
      <c r="G48" s="39"/>
      <c r="H48" s="39"/>
      <c r="I48" s="40"/>
    </row>
    <row r="49" spans="3:11" x14ac:dyDescent="0.35">
      <c r="C49" s="23" t="s">
        <v>128</v>
      </c>
      <c r="D49" s="39"/>
      <c r="E49" s="39"/>
      <c r="F49" s="39"/>
      <c r="G49" s="39"/>
      <c r="H49" s="39"/>
      <c r="I49" s="40"/>
    </row>
    <row r="50" spans="3:11" x14ac:dyDescent="0.35">
      <c r="C50" s="23" t="s">
        <v>99</v>
      </c>
      <c r="D50" s="39"/>
      <c r="E50" s="39"/>
      <c r="F50" s="39"/>
      <c r="G50" s="39"/>
      <c r="H50" s="39"/>
      <c r="I50" s="40"/>
    </row>
    <row r="51" spans="3:11" x14ac:dyDescent="0.35">
      <c r="C51" s="23" t="s">
        <v>103</v>
      </c>
      <c r="D51" s="39"/>
      <c r="E51" s="39"/>
      <c r="F51" s="39"/>
      <c r="G51" s="39"/>
      <c r="H51" s="39"/>
      <c r="I51" s="40"/>
    </row>
    <row r="52" spans="3:11" x14ac:dyDescent="0.35">
      <c r="C52" s="26" t="s">
        <v>14</v>
      </c>
      <c r="D52" s="40"/>
      <c r="E52" s="40"/>
      <c r="F52" s="40"/>
      <c r="G52" s="40"/>
      <c r="H52" s="40"/>
      <c r="I52" s="40"/>
      <c r="J52" s="27"/>
      <c r="K52" s="27"/>
    </row>
    <row r="53" spans="3:11" ht="7.5" customHeight="1" thickBot="1" x14ac:dyDescent="0.4"/>
    <row r="54" spans="3:11" ht="16" thickBot="1" x14ac:dyDescent="0.4">
      <c r="C54" s="44" t="s">
        <v>161</v>
      </c>
      <c r="I54" s="45" t="s">
        <v>78</v>
      </c>
    </row>
    <row r="55" spans="3:11" ht="27.75" customHeight="1" x14ac:dyDescent="0.35">
      <c r="C55" s="98" t="s">
        <v>71</v>
      </c>
      <c r="D55" s="98" t="s">
        <v>91</v>
      </c>
      <c r="E55" s="98" t="s">
        <v>94</v>
      </c>
      <c r="F55" s="98" t="s">
        <v>97</v>
      </c>
      <c r="G55" s="98" t="s">
        <v>101</v>
      </c>
      <c r="H55" s="98" t="s">
        <v>129</v>
      </c>
      <c r="I55" s="100" t="s">
        <v>14</v>
      </c>
    </row>
    <row r="56" spans="3:11" x14ac:dyDescent="0.35">
      <c r="C56" s="23" t="s">
        <v>126</v>
      </c>
      <c r="D56" s="39"/>
      <c r="E56" s="39"/>
      <c r="F56" s="39"/>
      <c r="G56" s="39"/>
      <c r="H56" s="39"/>
      <c r="I56" s="40"/>
    </row>
    <row r="57" spans="3:11" x14ac:dyDescent="0.35">
      <c r="C57" s="23" t="s">
        <v>127</v>
      </c>
      <c r="D57" s="39"/>
      <c r="E57" s="39"/>
      <c r="F57" s="39"/>
      <c r="G57" s="39"/>
      <c r="H57" s="39"/>
      <c r="I57" s="40"/>
    </row>
    <row r="58" spans="3:11" x14ac:dyDescent="0.35">
      <c r="C58" s="23" t="s">
        <v>92</v>
      </c>
      <c r="D58" s="39"/>
      <c r="E58" s="39"/>
      <c r="F58" s="39"/>
      <c r="G58" s="39"/>
      <c r="H58" s="39"/>
      <c r="I58" s="40"/>
    </row>
    <row r="59" spans="3:11" x14ac:dyDescent="0.35">
      <c r="C59" s="23" t="s">
        <v>128</v>
      </c>
      <c r="D59" s="39"/>
      <c r="E59" s="39"/>
      <c r="F59" s="39"/>
      <c r="G59" s="39"/>
      <c r="H59" s="39"/>
      <c r="I59" s="40"/>
    </row>
    <row r="60" spans="3:11" x14ac:dyDescent="0.35">
      <c r="C60" s="23" t="s">
        <v>99</v>
      </c>
      <c r="D60" s="39"/>
      <c r="E60" s="39"/>
      <c r="F60" s="39"/>
      <c r="G60" s="39"/>
      <c r="H60" s="39"/>
      <c r="I60" s="40"/>
    </row>
    <row r="61" spans="3:11" x14ac:dyDescent="0.35">
      <c r="C61" s="23" t="s">
        <v>103</v>
      </c>
      <c r="D61" s="39"/>
      <c r="E61" s="39"/>
      <c r="F61" s="39"/>
      <c r="G61" s="39"/>
      <c r="H61" s="39"/>
      <c r="I61" s="40"/>
    </row>
    <row r="62" spans="3:11" x14ac:dyDescent="0.35">
      <c r="C62" s="26" t="s">
        <v>14</v>
      </c>
      <c r="D62" s="40"/>
      <c r="E62" s="40"/>
      <c r="F62" s="40"/>
      <c r="G62" s="40"/>
      <c r="H62" s="40"/>
      <c r="I62" s="40"/>
    </row>
    <row r="63" spans="3:11" ht="7.5" customHeight="1" x14ac:dyDescent="0.35"/>
    <row r="64" spans="3:11" ht="7.5" customHeight="1" thickBot="1" x14ac:dyDescent="0.4"/>
    <row r="65" spans="3:9" ht="16" thickBot="1" x14ac:dyDescent="0.4">
      <c r="C65" s="44" t="s">
        <v>162</v>
      </c>
      <c r="I65" s="45" t="s">
        <v>130</v>
      </c>
    </row>
    <row r="66" spans="3:9" ht="27.75" customHeight="1" x14ac:dyDescent="0.35">
      <c r="C66" s="98" t="s">
        <v>71</v>
      </c>
      <c r="D66" s="98" t="s">
        <v>91</v>
      </c>
      <c r="E66" s="98" t="s">
        <v>94</v>
      </c>
      <c r="F66" s="98" t="s">
        <v>97</v>
      </c>
      <c r="G66" s="98" t="s">
        <v>101</v>
      </c>
      <c r="H66" s="98" t="s">
        <v>129</v>
      </c>
      <c r="I66" s="98" t="s">
        <v>14</v>
      </c>
    </row>
    <row r="67" spans="3:9" x14ac:dyDescent="0.35">
      <c r="C67" s="23" t="s">
        <v>126</v>
      </c>
      <c r="D67" s="39"/>
      <c r="E67" s="39"/>
      <c r="F67" s="39"/>
      <c r="G67" s="39"/>
      <c r="H67" s="39"/>
      <c r="I67" s="40"/>
    </row>
    <row r="68" spans="3:9" x14ac:dyDescent="0.35">
      <c r="C68" s="23" t="s">
        <v>127</v>
      </c>
      <c r="D68" s="39"/>
      <c r="E68" s="39"/>
      <c r="F68" s="39"/>
      <c r="G68" s="39"/>
      <c r="H68" s="39"/>
      <c r="I68" s="40"/>
    </row>
    <row r="69" spans="3:9" x14ac:dyDescent="0.35">
      <c r="C69" s="23" t="s">
        <v>92</v>
      </c>
      <c r="D69" s="39"/>
      <c r="E69" s="39"/>
      <c r="F69" s="39"/>
      <c r="G69" s="39"/>
      <c r="H69" s="39"/>
      <c r="I69" s="40"/>
    </row>
    <row r="70" spans="3:9" x14ac:dyDescent="0.35">
      <c r="C70" s="23" t="s">
        <v>128</v>
      </c>
      <c r="D70" s="39"/>
      <c r="E70" s="39"/>
      <c r="F70" s="39"/>
      <c r="G70" s="39"/>
      <c r="H70" s="39"/>
      <c r="I70" s="40"/>
    </row>
    <row r="71" spans="3:9" x14ac:dyDescent="0.35">
      <c r="C71" s="23" t="s">
        <v>99</v>
      </c>
      <c r="D71" s="39"/>
      <c r="E71" s="39"/>
      <c r="F71" s="39"/>
      <c r="G71" s="39"/>
      <c r="H71" s="39"/>
      <c r="I71" s="40"/>
    </row>
    <row r="72" spans="3:9" x14ac:dyDescent="0.35">
      <c r="C72" s="23" t="s">
        <v>103</v>
      </c>
      <c r="D72" s="39"/>
      <c r="E72" s="39"/>
      <c r="F72" s="39"/>
      <c r="G72" s="39"/>
      <c r="H72" s="39"/>
      <c r="I72" s="40"/>
    </row>
    <row r="73" spans="3:9" x14ac:dyDescent="0.35">
      <c r="C73" s="26" t="s">
        <v>14</v>
      </c>
      <c r="D73" s="40"/>
      <c r="E73" s="40"/>
      <c r="F73" s="40"/>
      <c r="G73" s="40"/>
      <c r="H73" s="40"/>
      <c r="I73" s="4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Tes 3</vt:lpstr>
      <vt:lpstr>3</vt:lpstr>
      <vt:lpstr>ans1</vt:lpstr>
      <vt:lpstr>ans2</vt:lpstr>
      <vt:lpstr>ans3</vt:lpstr>
      <vt:lpstr>Tes 5</vt:lpstr>
      <vt:lpstr>Tes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Rafif Alfarizti</cp:lastModifiedBy>
  <dcterms:created xsi:type="dcterms:W3CDTF">2021-08-10T03:19:32Z</dcterms:created>
  <dcterms:modified xsi:type="dcterms:W3CDTF">2024-07-10T15:12:54Z</dcterms:modified>
</cp:coreProperties>
</file>