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filterPrivacy="1"/>
  <xr:revisionPtr revIDLastSave="0" documentId="13_ncr:1_{C938FBF1-FCF3-4DC1-89E1-FF050AEAE4A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mport plan" sheetId="15" r:id="rId1"/>
    <sheet name="Revisi 4" sheetId="2" state="hidden" r:id="rId2"/>
    <sheet name="Sheet1" sheetId="3" state="hidden" r:id="rId3"/>
  </sheets>
  <definedNames>
    <definedName name="_xlnm._FilterDatabase" localSheetId="1" hidden="1">'Revisi 4'!$A$3:$P$71</definedName>
    <definedName name="_xlnm.Print_Titles" localSheetId="1">'Revisi 4'!$1:$3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7" i="15" l="1"/>
  <c r="O5" i="15" l="1"/>
  <c r="N5" i="15"/>
  <c r="P5" i="15" l="1"/>
  <c r="N6" i="15"/>
  <c r="O21" i="15"/>
  <c r="N21" i="15"/>
  <c r="M29" i="15" l="1"/>
  <c r="C33" i="15" l="1"/>
  <c r="C36" i="15"/>
  <c r="C9" i="15"/>
  <c r="C8" i="15"/>
  <c r="C7" i="15"/>
  <c r="L29" i="15"/>
  <c r="M32" i="15" l="1"/>
  <c r="M30" i="15"/>
  <c r="M28" i="15"/>
  <c r="M39" i="15" l="1"/>
  <c r="M21" i="15"/>
  <c r="M24" i="15" l="1"/>
  <c r="M22" i="15"/>
  <c r="L28" i="15" l="1"/>
  <c r="L30" i="15"/>
  <c r="C54" i="15"/>
  <c r="K24" i="15" l="1"/>
  <c r="K22" i="15"/>
  <c r="G28" i="15"/>
  <c r="R5" i="15" l="1"/>
  <c r="O6" i="15"/>
  <c r="L32" i="15"/>
  <c r="L5" i="15" l="1"/>
  <c r="K31" i="15" l="1"/>
  <c r="K28" i="15"/>
  <c r="K32" i="15"/>
  <c r="E6" i="15" l="1"/>
  <c r="L15" i="15" l="1"/>
  <c r="K30" i="15" l="1"/>
  <c r="K29" i="15"/>
  <c r="K39" i="15" l="1"/>
  <c r="K35" i="15"/>
  <c r="K34" i="15"/>
  <c r="K53" i="15" l="1"/>
  <c r="J29" i="15" l="1"/>
  <c r="M49" i="15" l="1"/>
  <c r="N49" i="15"/>
  <c r="O49" i="15"/>
  <c r="P49" i="15"/>
  <c r="R49" i="15"/>
  <c r="S49" i="15"/>
  <c r="M53" i="15"/>
  <c r="N53" i="15"/>
  <c r="O53" i="15"/>
  <c r="P53" i="15"/>
  <c r="R53" i="15"/>
  <c r="S53" i="15"/>
  <c r="L49" i="15"/>
  <c r="L53" i="15"/>
  <c r="K49" i="15"/>
  <c r="C52" i="15" l="1"/>
  <c r="C50" i="15"/>
  <c r="K52" i="15" l="1"/>
  <c r="N52" i="15"/>
  <c r="M52" i="15"/>
  <c r="L52" i="15"/>
  <c r="S52" i="15"/>
  <c r="R52" i="15"/>
  <c r="P52" i="15"/>
  <c r="O52" i="15"/>
  <c r="H49" i="15"/>
  <c r="I49" i="15"/>
  <c r="J49" i="15"/>
  <c r="G49" i="15"/>
  <c r="I29" i="15" l="1"/>
  <c r="G25" i="15" l="1"/>
  <c r="G29" i="15"/>
  <c r="H29" i="15"/>
  <c r="C29" i="15" l="1"/>
  <c r="N29" i="15" s="1"/>
  <c r="S29" i="15"/>
  <c r="R36" i="15"/>
  <c r="S36" i="15"/>
  <c r="R29" i="15" l="1"/>
  <c r="S50" i="15"/>
  <c r="S48" i="15"/>
  <c r="S51" i="15"/>
  <c r="R50" i="15"/>
  <c r="R48" i="15"/>
  <c r="R51" i="15"/>
  <c r="J32" i="15"/>
  <c r="L24" i="15" l="1"/>
  <c r="J28" i="15"/>
  <c r="S5" i="15" l="1"/>
  <c r="O22" i="15"/>
  <c r="L25" i="15"/>
  <c r="J5" i="15"/>
  <c r="R21" i="15" l="1"/>
  <c r="R6" i="15"/>
  <c r="J25" i="15"/>
  <c r="R22" i="15" l="1"/>
  <c r="R25" i="15" s="1"/>
  <c r="S21" i="15"/>
  <c r="S22" i="15" s="1"/>
  <c r="S6" i="15"/>
  <c r="S40" i="15" l="1"/>
  <c r="S24" i="15"/>
  <c r="S25" i="15" l="1"/>
  <c r="S23" i="15"/>
  <c r="S26" i="15" s="1"/>
  <c r="I26" i="15"/>
  <c r="G30" i="15" l="1"/>
  <c r="H30" i="15"/>
  <c r="H39" i="15" s="1"/>
  <c r="H28" i="15"/>
  <c r="I30" i="15"/>
  <c r="I28" i="15"/>
  <c r="I40" i="15"/>
  <c r="H40" i="15"/>
  <c r="I32" i="15"/>
  <c r="C32" i="15" s="1"/>
  <c r="H26" i="15"/>
  <c r="G26" i="15"/>
  <c r="I25" i="15"/>
  <c r="H25" i="15"/>
  <c r="I24" i="15"/>
  <c r="H24" i="15"/>
  <c r="I18" i="15"/>
  <c r="H18" i="15"/>
  <c r="G15" i="15"/>
  <c r="G16" i="15" s="1"/>
  <c r="G17" i="15" s="1"/>
  <c r="G18" i="15" s="1"/>
  <c r="C30" i="15" l="1"/>
  <c r="J30" i="15" s="1"/>
  <c r="C28" i="15"/>
  <c r="C31" i="15"/>
  <c r="M40" i="15"/>
  <c r="S32" i="15"/>
  <c r="R32" i="15"/>
  <c r="M51" i="15"/>
  <c r="M50" i="15"/>
  <c r="M48" i="15"/>
  <c r="G39" i="15"/>
  <c r="N24" i="15"/>
  <c r="N40" i="15"/>
  <c r="K25" i="15"/>
  <c r="J40" i="15"/>
  <c r="P36" i="15"/>
  <c r="N36" i="15"/>
  <c r="J14" i="15"/>
  <c r="J15" i="15" s="1"/>
  <c r="J16" i="15" s="1"/>
  <c r="J17" i="15" s="1"/>
  <c r="J18" i="15" s="1"/>
  <c r="M14" i="15"/>
  <c r="N14" i="15" s="1"/>
  <c r="P32" i="15"/>
  <c r="N32" i="15"/>
  <c r="O32" i="15"/>
  <c r="O36" i="15"/>
  <c r="T36" i="15" l="1"/>
  <c r="N28" i="15"/>
  <c r="N31" i="15" s="1"/>
  <c r="M15" i="15"/>
  <c r="K48" i="15"/>
  <c r="K51" i="15"/>
  <c r="L16" i="15"/>
  <c r="L17" i="15" s="1"/>
  <c r="L18" i="15" s="1"/>
  <c r="N22" i="15"/>
  <c r="O24" i="15" s="1"/>
  <c r="R28" i="15"/>
  <c r="R31" i="15" s="1"/>
  <c r="S28" i="15"/>
  <c r="S31" i="15" s="1"/>
  <c r="P48" i="15"/>
  <c r="P50" i="15"/>
  <c r="P51" i="15"/>
  <c r="K50" i="15"/>
  <c r="L48" i="15"/>
  <c r="L50" i="15"/>
  <c r="L51" i="15"/>
  <c r="O50" i="15"/>
  <c r="O51" i="15"/>
  <c r="O48" i="15"/>
  <c r="N48" i="15"/>
  <c r="N51" i="15"/>
  <c r="N50" i="15"/>
  <c r="O25" i="15"/>
  <c r="J24" i="15"/>
  <c r="O28" i="15"/>
  <c r="O31" i="15" s="1"/>
  <c r="P28" i="15"/>
  <c r="P31" i="15" s="1"/>
  <c r="M16" i="15" l="1"/>
  <c r="M17" i="15" s="1"/>
  <c r="M18" i="15" s="1"/>
  <c r="N25" i="15"/>
  <c r="P21" i="15"/>
  <c r="P22" i="15" s="1"/>
  <c r="P6" i="15"/>
  <c r="R40" i="15" s="1"/>
  <c r="O40" i="15"/>
  <c r="M25" i="15"/>
  <c r="P24" i="15" l="1"/>
  <c r="R24" i="15"/>
  <c r="P40" i="15"/>
  <c r="J26" i="15"/>
  <c r="P25" i="15" l="1"/>
  <c r="F3" i="2" l="1"/>
  <c r="G3" i="2" s="1"/>
  <c r="H3" i="2" s="1"/>
  <c r="I3" i="2" s="1"/>
  <c r="J3" i="2" s="1"/>
  <c r="K3" i="2" s="1"/>
  <c r="L3" i="2" s="1"/>
  <c r="M3" i="2" l="1"/>
  <c r="N3" i="2" s="1"/>
  <c r="O3" i="2" l="1"/>
  <c r="P3" i="2" s="1"/>
  <c r="I39" i="15" l="1"/>
  <c r="I34" i="15"/>
  <c r="G34" i="15"/>
  <c r="G35" i="15"/>
  <c r="H34" i="15"/>
  <c r="H35" i="15"/>
  <c r="I35" i="15"/>
  <c r="G41" i="15" l="1"/>
  <c r="I41" i="15"/>
  <c r="H41" i="15"/>
  <c r="P29" i="15"/>
  <c r="O29" i="15"/>
  <c r="K41" i="15" l="1"/>
  <c r="S30" i="15" l="1"/>
  <c r="P30" i="15"/>
  <c r="R30" i="15"/>
  <c r="O30" i="15"/>
  <c r="J39" i="15"/>
  <c r="N30" i="15"/>
  <c r="J34" i="15" l="1"/>
  <c r="J35" i="15"/>
  <c r="J41" i="15" l="1"/>
  <c r="S33" i="15"/>
  <c r="S39" i="15" s="1"/>
  <c r="P33" i="15"/>
  <c r="P35" i="15" s="1"/>
  <c r="N33" i="15"/>
  <c r="N39" i="15" s="1"/>
  <c r="R33" i="15"/>
  <c r="R39" i="15" s="1"/>
  <c r="O33" i="15"/>
  <c r="O39" i="15" s="1"/>
  <c r="L39" i="15"/>
  <c r="S34" i="15" l="1"/>
  <c r="R35" i="15"/>
  <c r="O35" i="15"/>
  <c r="M35" i="15"/>
  <c r="N35" i="15"/>
  <c r="N34" i="15"/>
  <c r="O34" i="15"/>
  <c r="R34" i="15"/>
  <c r="S35" i="15"/>
  <c r="L34" i="15"/>
  <c r="L35" i="15"/>
  <c r="P34" i="15"/>
  <c r="P39" i="15"/>
  <c r="M34" i="15"/>
  <c r="L41" i="15" l="1"/>
  <c r="C38" i="15"/>
  <c r="P38" i="15" s="1"/>
  <c r="P41" i="15" s="1"/>
  <c r="R38" i="15" l="1"/>
  <c r="R41" i="15" s="1"/>
  <c r="O38" i="15"/>
  <c r="O41" i="15" s="1"/>
  <c r="N38" i="15"/>
  <c r="S38" i="15"/>
  <c r="S41" i="15" s="1"/>
  <c r="N41" i="15" l="1"/>
  <c r="T38" i="15"/>
  <c r="M41" i="15"/>
  <c r="N15" i="15" l="1"/>
  <c r="N16" i="15" s="1"/>
  <c r="N17" i="15" s="1"/>
  <c r="N18" i="15" s="1"/>
  <c r="L40" i="15"/>
  <c r="K40" i="15"/>
  <c r="C6" i="15"/>
  <c r="N7" i="15" s="1"/>
  <c r="N9" i="15" s="1"/>
  <c r="N10" i="15" s="1"/>
  <c r="E7" i="15" l="1"/>
  <c r="E8" i="15" s="1"/>
  <c r="E9" i="15" s="1"/>
  <c r="E10" i="15" s="1"/>
  <c r="D10" i="15" s="1"/>
  <c r="D9" i="15" s="1"/>
  <c r="D8" i="15" s="1"/>
  <c r="D7" i="15" s="1"/>
  <c r="D6" i="15" s="1"/>
  <c r="D5" i="15" s="1"/>
  <c r="O7" i="15"/>
  <c r="P7" i="15"/>
  <c r="P8" i="15" s="1"/>
  <c r="P9" i="15" s="1"/>
  <c r="P10" i="15" s="1"/>
  <c r="P14" i="15" s="1"/>
  <c r="P15" i="15" s="1"/>
  <c r="P16" i="15" s="1"/>
  <c r="P17" i="15" s="1"/>
  <c r="P18" i="15" s="1"/>
  <c r="S7" i="15"/>
  <c r="S8" i="15" s="1"/>
  <c r="S9" i="15" s="1"/>
  <c r="S10" i="15" s="1"/>
  <c r="S14" i="15" s="1"/>
  <c r="S15" i="15" s="1"/>
  <c r="S16" i="15" s="1"/>
  <c r="S17" i="15" s="1"/>
  <c r="S18" i="15" s="1"/>
  <c r="R7" i="15"/>
  <c r="R8" i="15" s="1"/>
  <c r="R9" i="15" s="1"/>
  <c r="R10" i="15" s="1"/>
  <c r="R14" i="15" s="1"/>
  <c r="R15" i="15" s="1"/>
  <c r="R16" i="15" s="1"/>
  <c r="R17" i="15" s="1"/>
  <c r="R18" i="15" s="1"/>
  <c r="O8" i="15" l="1"/>
  <c r="O9" i="15" s="1"/>
  <c r="O10" i="15" s="1"/>
  <c r="O14" i="15" s="1"/>
  <c r="O15" i="15" s="1"/>
  <c r="O16" i="15" s="1"/>
</calcChain>
</file>

<file path=xl/sharedStrings.xml><?xml version="1.0" encoding="utf-8"?>
<sst xmlns="http://schemas.openxmlformats.org/spreadsheetml/2006/main" count="412" uniqueCount="220">
  <si>
    <t>Detail</t>
  </si>
  <si>
    <t>PIC</t>
  </si>
  <si>
    <t>Sistem TDII</t>
  </si>
  <si>
    <t>Ibu</t>
  </si>
  <si>
    <t>Rio</t>
  </si>
  <si>
    <t>Tes cetak Weida PP, PE, MB</t>
  </si>
  <si>
    <t>Tes siapkan proses perakitan di blok E</t>
  </si>
  <si>
    <t>Topik</t>
  </si>
  <si>
    <t>✓</t>
  </si>
  <si>
    <t>Training penggunaan sistem jurnal</t>
  </si>
  <si>
    <t>Catatan</t>
  </si>
  <si>
    <t>Carikan Supplier PP, PE, MB</t>
  </si>
  <si>
    <t>Step 1: Riset</t>
  </si>
  <si>
    <t>Step 2: Est Biaya</t>
  </si>
  <si>
    <t>Desain gambar depan B1-1</t>
  </si>
  <si>
    <t>Desain gambar depan B1-2</t>
  </si>
  <si>
    <t>B1: Analisa kompetisi blocks di pasar</t>
  </si>
  <si>
    <t>Step 3: Desain</t>
  </si>
  <si>
    <t>Batch 1 Perakitan Barang</t>
  </si>
  <si>
    <t>Cari tau cara pendaftaran SNI</t>
  </si>
  <si>
    <t>Order 10x pcs tas utk B1-1 sample</t>
  </si>
  <si>
    <t>Proses NPB, LS, dan IUI utk PT TDII</t>
  </si>
  <si>
    <t>PO Karton luar, 500 pcs K1</t>
  </si>
  <si>
    <t>Implementasi data ke sistem jurnal</t>
  </si>
  <si>
    <t>Milestone 4: Tes Pasar</t>
  </si>
  <si>
    <t>Step 4a: SNI</t>
  </si>
  <si>
    <t>Step 4b: Supplier Lokal</t>
  </si>
  <si>
    <t>PO kayu press, 2 pcs x 3 design = 6pcs</t>
  </si>
  <si>
    <t>Cari &amp; revisi sample supplier kardus luar</t>
  </si>
  <si>
    <t>Cari &amp; revisi sample supplier Stiker</t>
  </si>
  <si>
    <t>Cari &amp; revisi sample supplier duplex</t>
  </si>
  <si>
    <t>Cari &amp; revisi sample supplier mika</t>
  </si>
  <si>
    <t>Cari &amp; revisi supplier kayu Press</t>
  </si>
  <si>
    <t>Cari &amp; revisi sample supplier kertas</t>
  </si>
  <si>
    <t>Cari &amp; revisi sample supplier tas mika</t>
  </si>
  <si>
    <t>B1: Revisi presentasi barang blocks</t>
  </si>
  <si>
    <t>B1: Finalkan konsep USP blocks</t>
  </si>
  <si>
    <t>B1: Kumpul rapihkan sample lokal B1</t>
  </si>
  <si>
    <t>ADR</t>
  </si>
  <si>
    <t>SID</t>
  </si>
  <si>
    <t>Est. 2w R&amp;D+2w stlh PO</t>
  </si>
  <si>
    <t>Est. 2w R&amp;D+ 4w stlh PO</t>
  </si>
  <si>
    <t>Est. 2w stlh PO</t>
  </si>
  <si>
    <t>Est. 1w stlh PO</t>
  </si>
  <si>
    <t>Simulasi warna komponen B1-1, 2</t>
  </si>
  <si>
    <t>Estimasi biaya &amp; jual B1-1, 2</t>
  </si>
  <si>
    <t>Dokumen Proses perakitan B1-1, 2</t>
  </si>
  <si>
    <t>Beli sample PP, PE, MB</t>
  </si>
  <si>
    <t>PO Stiker, 260rb pcs K1 + 2500 set B1</t>
  </si>
  <si>
    <t>PO Duplex K1, 5rb x 3 design = 15rb</t>
  </si>
  <si>
    <t>PO mika, 5rb x 3 design = 15rb</t>
  </si>
  <si>
    <t>PO artpaper Blocks</t>
  </si>
  <si>
    <t>PO tas mika (Ransel dan Serut)</t>
  </si>
  <si>
    <t>Buatkan 4x sample final utk B1-1</t>
  </si>
  <si>
    <t>pengambilan sample B1-1</t>
  </si>
  <si>
    <t>Milestone 1: Cetak Produksi</t>
  </si>
  <si>
    <t>Milestone 3: SNI Terbit</t>
  </si>
  <si>
    <t>TIMELINE TDII 3 BULAN KEDEPAN</t>
  </si>
  <si>
    <t>Milestone 2: Sparepart Siap</t>
  </si>
  <si>
    <t>14 hari</t>
  </si>
  <si>
    <t>30 hari</t>
  </si>
  <si>
    <t>7 hari</t>
  </si>
  <si>
    <t>Waktu</t>
  </si>
  <si>
    <t>Catatan:</t>
  </si>
  <si>
    <t>2. Mika press memakan waktu yang lama dalam proses pembuatannya karena harus melakukan riset dulu untuk membuat moldingnya</t>
  </si>
  <si>
    <t>3. Waktu yang dicantumkan adalah hari kerja</t>
  </si>
  <si>
    <t>6 hari</t>
  </si>
  <si>
    <t>KS1: Kumpul rapihkan sample lokal KS1</t>
  </si>
  <si>
    <t>KS1: Analisa kompetisi di pasar</t>
  </si>
  <si>
    <t>Estimasi biaya &amp; jual KS1-1, 2, 3</t>
  </si>
  <si>
    <t>Desain duplex KS1-1</t>
  </si>
  <si>
    <t>Desain duplex KS1-2</t>
  </si>
  <si>
    <t>Desain duplex KS1-3</t>
  </si>
  <si>
    <t>Revisi akhir design KS1-1</t>
  </si>
  <si>
    <t>Revisi akhir design KS1-2</t>
  </si>
  <si>
    <t>Revisi akhir design KS1-3</t>
  </si>
  <si>
    <t>Simulasi warna komponen KS1-1, 2, 3</t>
  </si>
  <si>
    <t>Pemilihan warna kompenen B1 &amp; KS1</t>
  </si>
  <si>
    <t>Final pemilihan warna komp KS1 &amp; B1</t>
  </si>
  <si>
    <t>Buat 4 x sample KS1-1</t>
  </si>
  <si>
    <t>Pengiriman sample KS1-1</t>
  </si>
  <si>
    <t>Tes sample B1-1 dan KS1-1</t>
  </si>
  <si>
    <t>Pendaftaran SNI KS1-1, 2, 3 &amp; B1-1, 2</t>
  </si>
  <si>
    <t>PO Karton luar, 500 pcs KS1</t>
  </si>
  <si>
    <t>PO Stiker, 260rb pcs KS1 + 2500 set B1</t>
  </si>
  <si>
    <t>Dokumen Proses perakitan KS1-1, 2, 3</t>
  </si>
  <si>
    <t>4. Data yang disajikan masih estimasi</t>
  </si>
  <si>
    <t xml:space="preserve">1. </t>
  </si>
  <si>
    <t xml:space="preserve">3 hari </t>
  </si>
  <si>
    <t>Inject produk Kitchen</t>
  </si>
  <si>
    <t>Cetak burger dan ayam</t>
  </si>
  <si>
    <t>5 hari</t>
  </si>
  <si>
    <t>Pembelian dan Pengiriman Material biji plastik PP, PE dan MB</t>
  </si>
  <si>
    <t>12 hari</t>
  </si>
  <si>
    <t>Januari</t>
  </si>
  <si>
    <t>Februari</t>
  </si>
  <si>
    <t>Pindah Mold Blow dan Bahan HDPE</t>
  </si>
  <si>
    <t>2 Hari</t>
  </si>
  <si>
    <t>&gt;</t>
  </si>
  <si>
    <t>order duplek desain KS1-1 untuk SNI</t>
  </si>
  <si>
    <t>Label SNI Final</t>
  </si>
  <si>
    <t>finalin supplier PP, PE, MB Mass Prod</t>
  </si>
  <si>
    <t>Revisi &amp; planning jumlah cetakan ks1</t>
  </si>
  <si>
    <t>Mass prod. (Doc &amp; monitor) ks1</t>
  </si>
  <si>
    <t>Revisi &amp; planning jumlah cetakan bl1</t>
  </si>
  <si>
    <t>Mass prod. (Doc &amp; monitor) bl1</t>
  </si>
  <si>
    <t>Pembelian PP, PE utk ks1</t>
  </si>
  <si>
    <t>Pembelian warna MB utk ks1</t>
  </si>
  <si>
    <t>Pembelian PP, PE utk bl1</t>
  </si>
  <si>
    <t>Pembelian warna MB utk bl1</t>
  </si>
  <si>
    <t>Pengiriman hasil cetak ks1 ke kantor</t>
  </si>
  <si>
    <t>Pengiriman hasil cetak bl1 ke kantor</t>
  </si>
  <si>
    <t>Step 5: Batch 1 Cetak Plastik Kitchen</t>
  </si>
  <si>
    <t>Cetak Plastik Blok</t>
  </si>
  <si>
    <t>PO Duplex KS1, 10rb x 3 design = 30rb</t>
  </si>
  <si>
    <t>PO mika, 10rb x 3 design = 30rb</t>
  </si>
  <si>
    <t>Daftar NPB lokal</t>
  </si>
  <si>
    <t>Proses ganti NIB dan Akta PT</t>
  </si>
  <si>
    <t>Update alamat perusahaan di SNI</t>
  </si>
  <si>
    <t>Daftar SNI</t>
  </si>
  <si>
    <t>TDT Order 1</t>
  </si>
  <si>
    <t>TDT Order 2</t>
  </si>
  <si>
    <t>TDT Order 3</t>
  </si>
  <si>
    <t>TDT Order 4</t>
  </si>
  <si>
    <t>TDT Order 5</t>
  </si>
  <si>
    <t>TDT Order 6</t>
  </si>
  <si>
    <t>Selisih bulan per order</t>
  </si>
  <si>
    <t>PS58</t>
  </si>
  <si>
    <t>PS59</t>
  </si>
  <si>
    <t>PS60</t>
  </si>
  <si>
    <t>PS61</t>
  </si>
  <si>
    <t>PROSES SNI</t>
  </si>
  <si>
    <t>PURCHASE BARANG</t>
  </si>
  <si>
    <t>SNI Siap</t>
  </si>
  <si>
    <t xml:space="preserve"> Proses SNI PS58</t>
  </si>
  <si>
    <t xml:space="preserve"> Proses SNI PS59</t>
  </si>
  <si>
    <t xml:space="preserve"> Proses SNI PS61</t>
  </si>
  <si>
    <t xml:space="preserve"> Proses SNI PS60</t>
  </si>
  <si>
    <t>PS62</t>
  </si>
  <si>
    <t>Catatan lainnya</t>
  </si>
  <si>
    <t>ETA</t>
  </si>
  <si>
    <t>ETD</t>
  </si>
  <si>
    <t>PS63</t>
  </si>
  <si>
    <t>PS64</t>
  </si>
  <si>
    <t>EST. PURCHASE TDT</t>
  </si>
  <si>
    <t>Red line, NEW1 22-01-2024</t>
  </si>
  <si>
    <t xml:space="preserve"> Proses SNI PS63</t>
  </si>
  <si>
    <t xml:space="preserve"> Proses SNI PS64</t>
  </si>
  <si>
    <t>Real PS53 PS57</t>
  </si>
  <si>
    <t>Red line</t>
  </si>
  <si>
    <t>Est. Biaya PIB</t>
  </si>
  <si>
    <t>Est. PPJK</t>
  </si>
  <si>
    <t>Est. Biaya SNI &amp; LS</t>
  </si>
  <si>
    <t>TOTAL BIAYA IMPOR</t>
  </si>
  <si>
    <t>Est. CTN</t>
  </si>
  <si>
    <t>Est. CONTAINER</t>
  </si>
  <si>
    <t>Est. Harga Jual</t>
  </si>
  <si>
    <t>Pemilihan brg SNI</t>
  </si>
  <si>
    <t>Deadline Order</t>
  </si>
  <si>
    <t>TDT mulai Order</t>
  </si>
  <si>
    <t>Draft SNI &amp; NPB</t>
  </si>
  <si>
    <t>Family, sample, Tes, LHU</t>
  </si>
  <si>
    <t>Est. s/d gudang READY</t>
  </si>
  <si>
    <t>Deadline list SNI PS62</t>
  </si>
  <si>
    <t>JADWAL PUBLISH</t>
  </si>
  <si>
    <t>NEW1 publish</t>
  </si>
  <si>
    <t>NEW2 publish</t>
  </si>
  <si>
    <t>NEW3 publish</t>
  </si>
  <si>
    <t xml:space="preserve"> Proses SNI PS53 PS57</t>
  </si>
  <si>
    <t>Kapal delay 10 days, red line, tgl merah</t>
  </si>
  <si>
    <t>Revisi Mix dan kode</t>
  </si>
  <si>
    <t>PS65</t>
  </si>
  <si>
    <t>PS66</t>
  </si>
  <si>
    <t xml:space="preserve"> Proses SNI PS65</t>
  </si>
  <si>
    <t xml:space="preserve"> Proses SNI PS66</t>
  </si>
  <si>
    <t>%</t>
  </si>
  <si>
    <t>Est. Ocean Freight</t>
  </si>
  <si>
    <t>Est. Form E Cost</t>
  </si>
  <si>
    <t>Cost/CBM</t>
  </si>
  <si>
    <t>Freight &gt;2000 usd</t>
  </si>
  <si>
    <t>Sistem Cukai masalah</t>
  </si>
  <si>
    <t>-</t>
  </si>
  <si>
    <t>TOTAL FINAL</t>
  </si>
  <si>
    <t>TOTAL MODAL BARANG</t>
  </si>
  <si>
    <t>Target sampai gudang</t>
  </si>
  <si>
    <t>Freight naik tinggi tiba2</t>
  </si>
  <si>
    <t>List full Cina visit</t>
  </si>
  <si>
    <t>sku/release</t>
  </si>
  <si>
    <t>ctn/sku</t>
  </si>
  <si>
    <t>Target order CTN</t>
  </si>
  <si>
    <t>target order sku</t>
  </si>
  <si>
    <t>exp. sku</t>
  </si>
  <si>
    <t>target order ctn</t>
  </si>
  <si>
    <t>exp. Ctn</t>
  </si>
  <si>
    <t>TARGET ORDER DETAIL</t>
  </si>
  <si>
    <t>Container</t>
  </si>
  <si>
    <t>jarak hari release akhir NEW1</t>
  </si>
  <si>
    <t>jarak hari release akhir NEW2</t>
  </si>
  <si>
    <t>jarak hari release akhir NEW3</t>
  </si>
  <si>
    <t xml:space="preserve"> Proses SNI PS62</t>
  </si>
  <si>
    <t>Jangan kena New Year &amp; Sincya</t>
  </si>
  <si>
    <t>28 Mar - 8 Apr Libur Lebaran</t>
  </si>
  <si>
    <t>TDT Order 7</t>
  </si>
  <si>
    <t>TDT Order 8</t>
  </si>
  <si>
    <t>PS67</t>
  </si>
  <si>
    <t>PS68</t>
  </si>
  <si>
    <t>restock Lebaran</t>
  </si>
  <si>
    <t>Imlek &amp; Lebaran gabung</t>
  </si>
  <si>
    <t>Imlek Jan 29, Libur Lebaran 1 Apr. Ctn Des msh 6rb, max 4152 ctn</t>
  </si>
  <si>
    <t xml:space="preserve"> Proses SNI PS67</t>
  </si>
  <si>
    <t xml:space="preserve"> Proses SNI PS68</t>
  </si>
  <si>
    <t>Durasi Min</t>
  </si>
  <si>
    <t>Durasi Avg</t>
  </si>
  <si>
    <t>Durasi Ideal</t>
  </si>
  <si>
    <t>Durasi Realistis</t>
  </si>
  <si>
    <t>N/A</t>
  </si>
  <si>
    <t>PLANNING IMPOR</t>
  </si>
  <si>
    <t>Harga jual brg</t>
  </si>
  <si>
    <t>popit ketinggalan</t>
  </si>
  <si>
    <t>estimasi green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</si>
</sst>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_-;\-* #,##0_-;_-* &quot;-&quot;_-;_-@_-"/>
    <numFmt numFmtId="165" formatCode="_-* #,##0.00_-;\-* #,##0.00_-;_-* &quot;-&quot;??_-;_-@_-"/>
    <numFmt numFmtId="166" formatCode="dd/mm"/>
    <numFmt numFmtId="167" formatCode="_-* #,##0_-;\-* #,##0_-;_-* &quot;-&quot;??_-;_-@_-"/>
    <numFmt numFmtId="168" formatCode="_-* #,##0.000_-;\-* #,##0.000_-;_-* &quot;-&quot;??_-;_-@_-"/>
    <numFmt numFmtId="169" formatCode="0.0%"/>
    <numFmt numFmtId="170" formatCode="0.0"/>
  </numFmts>
  <fonts count="20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8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0070C0"/>
      <name val="Calibri"/>
      <family val="2"/>
      <scheme val="minor"/>
    </font>
    <font>
      <sz val="9"/>
      <color rgb="FF0070C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/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5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4" fontId="6" fillId="0" borderId="0" applyFont="0" applyFill="0" applyBorder="0" applyAlignment="0" applyProtection="0"/>
  </cellStyleXfs>
  <cellXfs count="381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/>
    <xf numFmtId="166" fontId="0" fillId="0" borderId="1" xfId="0" applyNumberFormat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/>
    <xf numFmtId="0" fontId="0" fillId="0" borderId="3" xfId="0" applyBorder="1"/>
    <xf numFmtId="16" fontId="0" fillId="0" borderId="3" xfId="0" applyNumberFormat="1" applyBorder="1"/>
    <xf numFmtId="166" fontId="0" fillId="0" borderId="1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6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7" xfId="0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4" xfId="0" applyBorder="1"/>
    <xf numFmtId="166" fontId="3" fillId="5" borderId="2" xfId="0" applyNumberFormat="1" applyFont="1" applyFill="1" applyBorder="1" applyAlignment="1">
      <alignment horizontal="center"/>
    </xf>
    <xf numFmtId="166" fontId="3" fillId="4" borderId="2" xfId="0" applyNumberFormat="1" applyFont="1" applyFill="1" applyBorder="1" applyAlignment="1">
      <alignment horizontal="center"/>
    </xf>
    <xf numFmtId="166" fontId="3" fillId="6" borderId="2" xfId="0" applyNumberFormat="1" applyFont="1" applyFill="1" applyBorder="1" applyAlignment="1">
      <alignment horizontal="center"/>
    </xf>
    <xf numFmtId="0" fontId="0" fillId="3" borderId="4" xfId="0" applyFill="1" applyBorder="1"/>
    <xf numFmtId="0" fontId="0" fillId="3" borderId="0" xfId="0" applyFill="1"/>
    <xf numFmtId="0" fontId="0" fillId="0" borderId="6" xfId="0" applyBorder="1"/>
    <xf numFmtId="0" fontId="2" fillId="2" borderId="4" xfId="0" applyFont="1" applyFill="1" applyBorder="1" applyAlignment="1">
      <alignment horizontal="center"/>
    </xf>
    <xf numFmtId="0" fontId="0" fillId="0" borderId="5" xfId="0" applyBorder="1"/>
    <xf numFmtId="16" fontId="0" fillId="0" borderId="3" xfId="0" applyNumberFormat="1" applyBorder="1" applyAlignment="1">
      <alignment horizontal="center"/>
    </xf>
    <xf numFmtId="16" fontId="0" fillId="0" borderId="0" xfId="0" applyNumberFormat="1" applyAlignment="1">
      <alignment horizontal="left"/>
    </xf>
    <xf numFmtId="0" fontId="2" fillId="2" borderId="0" xfId="0" applyFont="1" applyFill="1" applyAlignment="1">
      <alignment horizontal="center"/>
    </xf>
    <xf numFmtId="16" fontId="0" fillId="0" borderId="6" xfId="0" applyNumberFormat="1" applyBorder="1"/>
    <xf numFmtId="16" fontId="0" fillId="0" borderId="4" xfId="0" applyNumberFormat="1" applyBorder="1"/>
    <xf numFmtId="0" fontId="0" fillId="0" borderId="0" xfId="0" applyAlignment="1">
      <alignment vertical="center" wrapText="1"/>
    </xf>
    <xf numFmtId="0" fontId="0" fillId="0" borderId="8" xfId="0" applyBorder="1"/>
    <xf numFmtId="0" fontId="2" fillId="0" borderId="8" xfId="0" applyFont="1" applyBorder="1" applyAlignment="1">
      <alignment horizontal="center"/>
    </xf>
    <xf numFmtId="0" fontId="0" fillId="9" borderId="8" xfId="0" applyFill="1" applyBorder="1"/>
    <xf numFmtId="0" fontId="0" fillId="10" borderId="8" xfId="0" applyFill="1" applyBorder="1"/>
    <xf numFmtId="0" fontId="0" fillId="11" borderId="8" xfId="0" applyFill="1" applyBorder="1"/>
    <xf numFmtId="0" fontId="2" fillId="0" borderId="8" xfId="0" applyFont="1" applyBorder="1" applyAlignment="1">
      <alignment horizontal="center" vertical="center" wrapText="1"/>
    </xf>
    <xf numFmtId="0" fontId="2" fillId="0" borderId="8" xfId="0" applyFont="1" applyBorder="1"/>
    <xf numFmtId="0" fontId="2" fillId="0" borderId="9" xfId="0" applyFont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2" fillId="10" borderId="8" xfId="0" applyFont="1" applyFill="1" applyBorder="1" applyAlignment="1">
      <alignment horizontal="center"/>
    </xf>
    <xf numFmtId="0" fontId="2" fillId="10" borderId="8" xfId="0" applyFont="1" applyFill="1" applyBorder="1"/>
    <xf numFmtId="0" fontId="4" fillId="10" borderId="8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0" fillId="12" borderId="8" xfId="0" applyFill="1" applyBorder="1"/>
    <xf numFmtId="0" fontId="0" fillId="13" borderId="8" xfId="0" applyFill="1" applyBorder="1"/>
    <xf numFmtId="0" fontId="0" fillId="14" borderId="8" xfId="0" applyFill="1" applyBorder="1"/>
    <xf numFmtId="0" fontId="0" fillId="15" borderId="8" xfId="0" applyFill="1" applyBorder="1"/>
    <xf numFmtId="0" fontId="0" fillId="15" borderId="8" xfId="0" applyFill="1" applyBorder="1" applyAlignment="1">
      <alignment horizontal="center"/>
    </xf>
    <xf numFmtId="0" fontId="5" fillId="13" borderId="8" xfId="0" applyFont="1" applyFill="1" applyBorder="1"/>
    <xf numFmtId="0" fontId="2" fillId="0" borderId="8" xfId="0" applyFont="1" applyBorder="1" applyAlignment="1">
      <alignment horizontal="left" vertical="center" wrapText="1"/>
    </xf>
    <xf numFmtId="0" fontId="2" fillId="0" borderId="8" xfId="0" applyFont="1" applyBorder="1" applyAlignment="1">
      <alignment vertical="center" wrapText="1"/>
    </xf>
    <xf numFmtId="0" fontId="2" fillId="0" borderId="10" xfId="0" applyFont="1" applyBorder="1"/>
    <xf numFmtId="0" fontId="0" fillId="0" borderId="10" xfId="0" applyBorder="1"/>
    <xf numFmtId="16" fontId="0" fillId="0" borderId="10" xfId="0" applyNumberFormat="1" applyBorder="1" applyAlignment="1">
      <alignment horizontal="left" wrapText="1"/>
    </xf>
    <xf numFmtId="16" fontId="0" fillId="0" borderId="10" xfId="0" applyNumberFormat="1" applyBorder="1" applyAlignment="1">
      <alignment horizontal="left" vertical="center" wrapText="1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14" xfId="0" applyBorder="1"/>
    <xf numFmtId="0" fontId="0" fillId="12" borderId="15" xfId="0" applyFill="1" applyBorder="1"/>
    <xf numFmtId="0" fontId="0" fillId="11" borderId="15" xfId="0" applyFill="1" applyBorder="1"/>
    <xf numFmtId="0" fontId="0" fillId="9" borderId="15" xfId="0" applyFill="1" applyBorder="1"/>
    <xf numFmtId="0" fontId="0" fillId="13" borderId="15" xfId="0" applyFill="1" applyBorder="1"/>
    <xf numFmtId="0" fontId="0" fillId="14" borderId="15" xfId="0" applyFill="1" applyBorder="1"/>
    <xf numFmtId="0" fontId="0" fillId="15" borderId="15" xfId="0" applyFill="1" applyBorder="1"/>
    <xf numFmtId="0" fontId="0" fillId="0" borderId="16" xfId="0" applyBorder="1"/>
    <xf numFmtId="0" fontId="2" fillId="0" borderId="17" xfId="0" applyFont="1" applyBorder="1" applyAlignment="1">
      <alignment horizontal="center"/>
    </xf>
    <xf numFmtId="0" fontId="0" fillId="16" borderId="17" xfId="0" applyFill="1" applyBorder="1" applyAlignment="1">
      <alignment horizontal="center"/>
    </xf>
    <xf numFmtId="0" fontId="0" fillId="16" borderId="17" xfId="0" applyFill="1" applyBorder="1"/>
    <xf numFmtId="0" fontId="0" fillId="10" borderId="17" xfId="0" applyFill="1" applyBorder="1"/>
    <xf numFmtId="0" fontId="0" fillId="16" borderId="18" xfId="0" applyFill="1" applyBorder="1"/>
    <xf numFmtId="0" fontId="0" fillId="0" borderId="15" xfId="0" applyBorder="1"/>
    <xf numFmtId="0" fontId="0" fillId="12" borderId="14" xfId="0" applyFill="1" applyBorder="1"/>
    <xf numFmtId="0" fontId="0" fillId="11" borderId="14" xfId="0" applyFill="1" applyBorder="1"/>
    <xf numFmtId="0" fontId="0" fillId="9" borderId="14" xfId="0" applyFill="1" applyBorder="1"/>
    <xf numFmtId="0" fontId="0" fillId="13" borderId="14" xfId="0" applyFill="1" applyBorder="1"/>
    <xf numFmtId="0" fontId="0" fillId="14" borderId="14" xfId="0" applyFill="1" applyBorder="1"/>
    <xf numFmtId="0" fontId="0" fillId="15" borderId="14" xfId="0" applyFill="1" applyBorder="1"/>
    <xf numFmtId="0" fontId="0" fillId="16" borderId="16" xfId="0" applyFill="1" applyBorder="1"/>
    <xf numFmtId="0" fontId="0" fillId="0" borderId="17" xfId="0" applyBorder="1"/>
    <xf numFmtId="0" fontId="0" fillId="0" borderId="18" xfId="0" applyBorder="1"/>
    <xf numFmtId="0" fontId="2" fillId="3" borderId="5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6" fontId="2" fillId="7" borderId="0" xfId="0" applyNumberFormat="1" applyFont="1" applyFill="1" applyAlignment="1">
      <alignment horizontal="center"/>
    </xf>
    <xf numFmtId="16" fontId="2" fillId="7" borderId="0" xfId="0" applyNumberFormat="1" applyFont="1" applyFill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" fontId="4" fillId="7" borderId="0" xfId="0" quotePrefix="1" applyNumberFormat="1" applyFont="1" applyFill="1" applyAlignment="1">
      <alignment horizontal="center"/>
    </xf>
    <xf numFmtId="16" fontId="4" fillId="7" borderId="0" xfId="0" applyNumberFormat="1" applyFont="1" applyFill="1" applyAlignment="1">
      <alignment horizontal="center"/>
    </xf>
    <xf numFmtId="16" fontId="4" fillId="7" borderId="1" xfId="0" applyNumberFormat="1" applyFont="1" applyFill="1" applyBorder="1" applyAlignment="1">
      <alignment horizontal="center"/>
    </xf>
    <xf numFmtId="16" fontId="4" fillId="7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2" fillId="0" borderId="23" xfId="0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6" fontId="2" fillId="0" borderId="0" xfId="0" applyNumberFormat="1" applyFont="1" applyAlignment="1">
      <alignment horizontal="center"/>
    </xf>
    <xf numFmtId="0" fontId="0" fillId="0" borderId="24" xfId="0" applyBorder="1" applyAlignment="1">
      <alignment horizontal="center"/>
    </xf>
    <xf numFmtId="16" fontId="2" fillId="7" borderId="1" xfId="0" applyNumberFormat="1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3" borderId="1" xfId="0" applyFill="1" applyBorder="1"/>
    <xf numFmtId="0" fontId="2" fillId="3" borderId="0" xfId="0" applyFont="1" applyFill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16" fontId="2" fillId="7" borderId="3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22" xfId="0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7" borderId="8" xfId="0" applyNumberForma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167" fontId="0" fillId="0" borderId="0" xfId="1" applyNumberFormat="1" applyFont="1"/>
    <xf numFmtId="165" fontId="0" fillId="0" borderId="0" xfId="1" applyFont="1"/>
    <xf numFmtId="9" fontId="0" fillId="0" borderId="0" xfId="2" applyFont="1"/>
    <xf numFmtId="0" fontId="0" fillId="17" borderId="0" xfId="0" applyFill="1" applyAlignment="1">
      <alignment horizontal="center" vertical="center"/>
    </xf>
    <xf numFmtId="165" fontId="0" fillId="0" borderId="8" xfId="1" applyFon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17" borderId="0" xfId="0" applyFont="1" applyFill="1" applyAlignment="1">
      <alignment horizontal="center" vertical="center"/>
    </xf>
    <xf numFmtId="167" fontId="9" fillId="0" borderId="8" xfId="1" applyNumberFormat="1" applyFont="1" applyBorder="1" applyAlignment="1">
      <alignment horizontal="center" vertical="center"/>
    </xf>
    <xf numFmtId="165" fontId="9" fillId="0" borderId="8" xfId="1" applyFont="1" applyBorder="1" applyAlignment="1">
      <alignment horizontal="center" vertical="center"/>
    </xf>
    <xf numFmtId="0" fontId="7" fillId="0" borderId="8" xfId="1" applyNumberFormat="1" applyFont="1" applyBorder="1" applyAlignment="1">
      <alignment horizontal="center" vertical="center"/>
    </xf>
    <xf numFmtId="0" fontId="9" fillId="0" borderId="8" xfId="1" applyNumberFormat="1" applyFont="1" applyBorder="1" applyAlignment="1">
      <alignment horizontal="center" vertical="center"/>
    </xf>
    <xf numFmtId="167" fontId="2" fillId="0" borderId="0" xfId="1" applyNumberFormat="1" applyFont="1"/>
    <xf numFmtId="167" fontId="6" fillId="0" borderId="0" xfId="1" applyNumberFormat="1" applyFont="1"/>
    <xf numFmtId="0" fontId="7" fillId="18" borderId="8" xfId="0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167" fontId="10" fillId="0" borderId="8" xfId="1" applyNumberFormat="1" applyFont="1" applyBorder="1" applyAlignment="1">
      <alignment horizontal="center" vertical="center"/>
    </xf>
    <xf numFmtId="167" fontId="4" fillId="0" borderId="8" xfId="1" applyNumberFormat="1" applyFont="1" applyBorder="1" applyAlignment="1">
      <alignment horizontal="center" vertical="center"/>
    </xf>
    <xf numFmtId="1" fontId="9" fillId="19" borderId="8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0" borderId="27" xfId="0" applyFont="1" applyFill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1" fontId="9" fillId="19" borderId="27" xfId="0" applyNumberFormat="1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8" xfId="0" applyBorder="1" applyAlignment="1">
      <alignment vertical="center"/>
    </xf>
    <xf numFmtId="0" fontId="0" fillId="7" borderId="8" xfId="0" applyFill="1" applyBorder="1" applyAlignment="1">
      <alignment vertical="center"/>
    </xf>
    <xf numFmtId="0" fontId="0" fillId="17" borderId="0" xfId="0" applyFill="1" applyAlignment="1">
      <alignment vertical="center"/>
    </xf>
    <xf numFmtId="167" fontId="4" fillId="0" borderId="8" xfId="1" applyNumberFormat="1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167" fontId="2" fillId="0" borderId="0" xfId="1" applyNumberFormat="1" applyFont="1" applyAlignment="1">
      <alignment vertical="center"/>
    </xf>
    <xf numFmtId="9" fontId="0" fillId="0" borderId="8" xfId="2" applyFont="1" applyBorder="1" applyAlignment="1">
      <alignment vertical="center"/>
    </xf>
    <xf numFmtId="167" fontId="0" fillId="0" borderId="8" xfId="1" applyNumberFormat="1" applyFont="1" applyBorder="1" applyAlignment="1">
      <alignment vertical="center"/>
    </xf>
    <xf numFmtId="165" fontId="0" fillId="0" borderId="8" xfId="1" applyFont="1" applyBorder="1" applyAlignment="1">
      <alignment vertical="center"/>
    </xf>
    <xf numFmtId="167" fontId="12" fillId="0" borderId="8" xfId="1" applyNumberFormat="1" applyFont="1" applyBorder="1" applyAlignment="1">
      <alignment horizontal="center" vertical="center"/>
    </xf>
    <xf numFmtId="0" fontId="9" fillId="7" borderId="8" xfId="1" applyNumberFormat="1" applyFont="1" applyFill="1" applyBorder="1" applyAlignment="1">
      <alignment horizontal="center" vertical="center"/>
    </xf>
    <xf numFmtId="0" fontId="9" fillId="7" borderId="8" xfId="2" applyNumberFormat="1" applyFont="1" applyFill="1" applyBorder="1" applyAlignment="1">
      <alignment horizontal="center" vertical="center"/>
    </xf>
    <xf numFmtId="166" fontId="7" fillId="12" borderId="8" xfId="0" applyNumberFormat="1" applyFont="1" applyFill="1" applyBorder="1" applyAlignment="1">
      <alignment horizontal="center" vertical="center" wrapText="1"/>
    </xf>
    <xf numFmtId="166" fontId="7" fillId="0" borderId="8" xfId="0" applyNumberFormat="1" applyFont="1" applyBorder="1" applyAlignment="1">
      <alignment horizontal="center" vertical="center" wrapText="1"/>
    </xf>
    <xf numFmtId="166" fontId="9" fillId="0" borderId="8" xfId="0" applyNumberFormat="1" applyFont="1" applyBorder="1" applyAlignment="1">
      <alignment horizontal="center" vertical="center"/>
    </xf>
    <xf numFmtId="166" fontId="9" fillId="0" borderId="27" xfId="0" applyNumberFormat="1" applyFon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166" fontId="9" fillId="7" borderId="8" xfId="0" applyNumberFormat="1" applyFont="1" applyFill="1" applyBorder="1" applyAlignment="1">
      <alignment horizontal="center" vertical="center"/>
    </xf>
    <xf numFmtId="166" fontId="0" fillId="7" borderId="8" xfId="0" applyNumberFormat="1" applyFill="1" applyBorder="1" applyAlignment="1">
      <alignment horizontal="center" vertical="center"/>
    </xf>
    <xf numFmtId="166" fontId="0" fillId="7" borderId="10" xfId="0" applyNumberFormat="1" applyFill="1" applyBorder="1" applyAlignment="1">
      <alignment horizontal="center" vertical="center"/>
    </xf>
    <xf numFmtId="166" fontId="0" fillId="17" borderId="0" xfId="0" applyNumberFormat="1" applyFill="1" applyAlignment="1">
      <alignment horizontal="center" vertical="center"/>
    </xf>
    <xf numFmtId="166" fontId="0" fillId="17" borderId="26" xfId="0" applyNumberFormat="1" applyFill="1" applyBorder="1" applyAlignment="1">
      <alignment horizontal="center" vertical="center"/>
    </xf>
    <xf numFmtId="166" fontId="7" fillId="12" borderId="8" xfId="1" applyNumberFormat="1" applyFont="1" applyFill="1" applyBorder="1" applyAlignment="1">
      <alignment horizontal="center" vertical="center"/>
    </xf>
    <xf numFmtId="166" fontId="9" fillId="12" borderId="8" xfId="1" applyNumberFormat="1" applyFont="1" applyFill="1" applyBorder="1" applyAlignment="1">
      <alignment horizontal="center" vertical="center"/>
    </xf>
    <xf numFmtId="166" fontId="7" fillId="12" borderId="8" xfId="0" applyNumberFormat="1" applyFont="1" applyFill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7" fontId="4" fillId="0" borderId="27" xfId="1" applyNumberFormat="1" applyFont="1" applyBorder="1" applyAlignment="1">
      <alignment horizontal="center" vertical="center"/>
    </xf>
    <xf numFmtId="165" fontId="0" fillId="0" borderId="27" xfId="1" applyFont="1" applyBorder="1" applyAlignment="1">
      <alignment horizontal="center" vertical="center"/>
    </xf>
    <xf numFmtId="167" fontId="10" fillId="0" borderId="27" xfId="1" applyNumberFormat="1" applyFont="1" applyBorder="1" applyAlignment="1">
      <alignment horizontal="center" vertical="center"/>
    </xf>
    <xf numFmtId="167" fontId="4" fillId="21" borderId="8" xfId="1" applyNumberFormat="1" applyFont="1" applyFill="1" applyBorder="1" applyAlignment="1">
      <alignment vertical="center"/>
    </xf>
    <xf numFmtId="1" fontId="9" fillId="0" borderId="8" xfId="0" applyNumberFormat="1" applyFont="1" applyBorder="1" applyAlignment="1">
      <alignment horizontal="center" vertical="center"/>
    </xf>
    <xf numFmtId="0" fontId="0" fillId="22" borderId="8" xfId="0" applyFill="1" applyBorder="1" applyAlignment="1">
      <alignment vertical="center"/>
    </xf>
    <xf numFmtId="0" fontId="4" fillId="11" borderId="8" xfId="0" applyFont="1" applyFill="1" applyBorder="1" applyAlignment="1">
      <alignment vertical="center"/>
    </xf>
    <xf numFmtId="166" fontId="11" fillId="7" borderId="8" xfId="0" applyNumberFormat="1" applyFont="1" applyFill="1" applyBorder="1" applyAlignment="1">
      <alignment horizontal="center" vertical="center"/>
    </xf>
    <xf numFmtId="166" fontId="11" fillId="7" borderId="10" xfId="0" applyNumberFormat="1" applyFont="1" applyFill="1" applyBorder="1" applyAlignment="1">
      <alignment horizontal="center" vertical="center"/>
    </xf>
    <xf numFmtId="0" fontId="0" fillId="9" borderId="8" xfId="0" applyFill="1" applyBorder="1" applyAlignment="1">
      <alignment vertical="center"/>
    </xf>
    <xf numFmtId="0" fontId="10" fillId="0" borderId="8" xfId="0" applyFon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1" fontId="0" fillId="0" borderId="0" xfId="0" applyNumberFormat="1"/>
    <xf numFmtId="1" fontId="7" fillId="0" borderId="0" xfId="0" applyNumberFormat="1" applyFont="1" applyAlignment="1">
      <alignment wrapText="1"/>
    </xf>
    <xf numFmtId="1" fontId="10" fillId="0" borderId="8" xfId="0" applyNumberFormat="1" applyFont="1" applyBorder="1" applyAlignment="1">
      <alignment horizontal="center" vertical="center"/>
    </xf>
    <xf numFmtId="166" fontId="13" fillId="9" borderId="8" xfId="0" applyNumberFormat="1" applyFont="1" applyFill="1" applyBorder="1" applyAlignment="1">
      <alignment horizontal="center" vertical="center" wrapText="1"/>
    </xf>
    <xf numFmtId="166" fontId="13" fillId="9" borderId="27" xfId="0" applyNumberFormat="1" applyFont="1" applyFill="1" applyBorder="1" applyAlignment="1">
      <alignment horizontal="center" vertical="center" wrapText="1"/>
    </xf>
    <xf numFmtId="0" fontId="2" fillId="20" borderId="8" xfId="0" applyFont="1" applyFill="1" applyBorder="1" applyAlignment="1">
      <alignment horizontal="center" vertical="center"/>
    </xf>
    <xf numFmtId="166" fontId="7" fillId="0" borderId="8" xfId="1" applyNumberFormat="1" applyFont="1" applyBorder="1" applyAlignment="1">
      <alignment horizontal="center" vertical="center"/>
    </xf>
    <xf numFmtId="166" fontId="9" fillId="0" borderId="8" xfId="1" applyNumberFormat="1" applyFont="1" applyBorder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166" fontId="10" fillId="0" borderId="8" xfId="0" applyNumberFormat="1" applyFont="1" applyBorder="1" applyAlignment="1">
      <alignment horizontal="center" vertical="center"/>
    </xf>
    <xf numFmtId="0" fontId="0" fillId="22" borderId="8" xfId="0" applyFill="1" applyBorder="1" applyAlignment="1">
      <alignment horizontal="center" vertical="center"/>
    </xf>
    <xf numFmtId="169" fontId="0" fillId="0" borderId="8" xfId="2" applyNumberFormat="1" applyFont="1" applyBorder="1" applyAlignment="1">
      <alignment vertical="center"/>
    </xf>
    <xf numFmtId="169" fontId="9" fillId="0" borderId="8" xfId="2" applyNumberFormat="1" applyFont="1" applyBorder="1" applyAlignment="1">
      <alignment horizontal="center" vertical="center"/>
    </xf>
    <xf numFmtId="169" fontId="0" fillId="0" borderId="8" xfId="2" applyNumberFormat="1" applyFont="1" applyBorder="1" applyAlignment="1">
      <alignment horizontal="center" vertical="center"/>
    </xf>
    <xf numFmtId="169" fontId="0" fillId="0" borderId="27" xfId="2" applyNumberFormat="1" applyFont="1" applyBorder="1" applyAlignment="1">
      <alignment horizontal="center" vertical="center"/>
    </xf>
    <xf numFmtId="169" fontId="0" fillId="0" borderId="0" xfId="2" applyNumberFormat="1" applyFont="1"/>
    <xf numFmtId="168" fontId="10" fillId="0" borderId="8" xfId="1" applyNumberFormat="1" applyFont="1" applyBorder="1" applyAlignment="1">
      <alignment horizontal="center" vertical="center"/>
    </xf>
    <xf numFmtId="167" fontId="12" fillId="0" borderId="8" xfId="1" applyNumberFormat="1" applyFont="1" applyFill="1" applyBorder="1" applyAlignment="1">
      <alignment horizontal="center" vertical="center"/>
    </xf>
    <xf numFmtId="165" fontId="9" fillId="0" borderId="0" xfId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8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67" fontId="10" fillId="0" borderId="0" xfId="1" applyNumberFormat="1" applyFont="1"/>
    <xf numFmtId="166" fontId="4" fillId="12" borderId="8" xfId="0" applyNumberFormat="1" applyFont="1" applyFill="1" applyBorder="1" applyAlignment="1">
      <alignment horizontal="center" vertical="center"/>
    </xf>
    <xf numFmtId="166" fontId="4" fillId="0" borderId="8" xfId="0" applyNumberFormat="1" applyFont="1" applyBorder="1" applyAlignment="1">
      <alignment horizontal="center" vertical="center"/>
    </xf>
    <xf numFmtId="0" fontId="15" fillId="0" borderId="0" xfId="0" applyFont="1" applyAlignment="1">
      <alignment vertical="center" wrapText="1"/>
    </xf>
    <xf numFmtId="0" fontId="16" fillId="18" borderId="8" xfId="0" applyFont="1" applyFill="1" applyBorder="1" applyAlignment="1">
      <alignment horizontal="center" vertical="center" wrapText="1"/>
    </xf>
    <xf numFmtId="0" fontId="17" fillId="12" borderId="8" xfId="0" applyFont="1" applyFill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166" fontId="17" fillId="12" borderId="8" xfId="1" applyNumberFormat="1" applyFont="1" applyFill="1" applyBorder="1" applyAlignment="1">
      <alignment horizontal="center" vertical="center"/>
    </xf>
    <xf numFmtId="165" fontId="10" fillId="0" borderId="8" xfId="0" applyNumberFormat="1" applyFont="1" applyBorder="1" applyAlignment="1">
      <alignment horizontal="center" vertical="center"/>
    </xf>
    <xf numFmtId="167" fontId="18" fillId="0" borderId="8" xfId="1" applyNumberFormat="1" applyFont="1" applyFill="1" applyBorder="1" applyAlignment="1">
      <alignment horizontal="center" vertical="center"/>
    </xf>
    <xf numFmtId="167" fontId="9" fillId="0" borderId="8" xfId="1" applyNumberFormat="1" applyFont="1" applyFill="1" applyBorder="1" applyAlignment="1">
      <alignment horizontal="center" vertical="center"/>
    </xf>
    <xf numFmtId="169" fontId="0" fillId="0" borderId="0" xfId="2" applyNumberFormat="1" applyFont="1" applyBorder="1" applyAlignment="1">
      <alignment vertical="center"/>
    </xf>
    <xf numFmtId="169" fontId="9" fillId="0" borderId="0" xfId="2" applyNumberFormat="1" applyFont="1" applyBorder="1" applyAlignment="1">
      <alignment horizontal="center" vertical="center"/>
    </xf>
    <xf numFmtId="169" fontId="0" fillId="0" borderId="0" xfId="2" applyNumberFormat="1" applyFont="1" applyBorder="1" applyAlignment="1">
      <alignment horizontal="center" vertical="center"/>
    </xf>
    <xf numFmtId="170" fontId="9" fillId="0" borderId="8" xfId="0" applyNumberFormat="1" applyFont="1" applyBorder="1" applyAlignment="1">
      <alignment horizontal="center" vertical="center"/>
    </xf>
    <xf numFmtId="1" fontId="9" fillId="22" borderId="8" xfId="0" applyNumberFormat="1" applyFont="1" applyFill="1" applyBorder="1" applyAlignment="1">
      <alignment horizontal="center" vertical="center"/>
    </xf>
    <xf numFmtId="0" fontId="9" fillId="22" borderId="8" xfId="0" applyFont="1" applyFill="1" applyBorder="1" applyAlignment="1">
      <alignment horizontal="center" vertical="center"/>
    </xf>
    <xf numFmtId="0" fontId="0" fillId="20" borderId="8" xfId="0" applyFill="1" applyBorder="1" applyAlignment="1">
      <alignment horizontal="right" vertical="center"/>
    </xf>
    <xf numFmtId="1" fontId="0" fillId="20" borderId="8" xfId="0" applyNumberFormat="1" applyFill="1" applyBorder="1" applyAlignment="1">
      <alignment horizontal="right" vertical="center"/>
    </xf>
    <xf numFmtId="0" fontId="0" fillId="22" borderId="8" xfId="0" applyFill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9" fillId="0" borderId="10" xfId="0" applyFon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0" fontId="0" fillId="23" borderId="8" xfId="0" applyFill="1" applyBorder="1" applyAlignment="1">
      <alignment horizontal="right" vertical="center"/>
    </xf>
    <xf numFmtId="0" fontId="9" fillId="23" borderId="8" xfId="0" applyFont="1" applyFill="1" applyBorder="1" applyAlignment="1">
      <alignment horizontal="center" vertical="center"/>
    </xf>
    <xf numFmtId="1" fontId="0" fillId="23" borderId="10" xfId="0" applyNumberFormat="1" applyFill="1" applyBorder="1" applyAlignment="1">
      <alignment horizontal="center" vertical="center"/>
    </xf>
    <xf numFmtId="1" fontId="0" fillId="23" borderId="8" xfId="0" applyNumberFormat="1" applyFill="1" applyBorder="1" applyAlignment="1">
      <alignment horizontal="center" vertical="center"/>
    </xf>
    <xf numFmtId="1" fontId="9" fillId="20" borderId="10" xfId="0" applyNumberFormat="1" applyFont="1" applyFill="1" applyBorder="1" applyAlignment="1">
      <alignment horizontal="center" vertical="center"/>
    </xf>
    <xf numFmtId="1" fontId="9" fillId="20" borderId="8" xfId="0" applyNumberFormat="1" applyFont="1" applyFill="1" applyBorder="1" applyAlignment="1">
      <alignment horizontal="center" vertical="center"/>
    </xf>
    <xf numFmtId="1" fontId="9" fillId="22" borderId="10" xfId="0" applyNumberFormat="1" applyFont="1" applyFill="1" applyBorder="1" applyAlignment="1">
      <alignment horizontal="center" vertical="center"/>
    </xf>
    <xf numFmtId="0" fontId="9" fillId="22" borderId="10" xfId="0" applyFont="1" applyFill="1" applyBorder="1" applyAlignment="1">
      <alignment horizontal="center" vertical="center"/>
    </xf>
    <xf numFmtId="166" fontId="9" fillId="20" borderId="8" xfId="0" applyNumberFormat="1" applyFont="1" applyFill="1" applyBorder="1" applyAlignment="1">
      <alignment horizontal="center" vertical="center"/>
    </xf>
    <xf numFmtId="166" fontId="0" fillId="20" borderId="8" xfId="0" applyNumberFormat="1" applyFill="1" applyBorder="1" applyAlignment="1">
      <alignment horizontal="center" vertical="center"/>
    </xf>
    <xf numFmtId="166" fontId="7" fillId="12" borderId="29" xfId="1" applyNumberFormat="1" applyFont="1" applyFill="1" applyBorder="1" applyAlignment="1">
      <alignment horizontal="center" vertical="center"/>
    </xf>
    <xf numFmtId="166" fontId="9" fillId="12" borderId="29" xfId="1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1" fontId="0" fillId="0" borderId="29" xfId="0" applyNumberFormat="1" applyBorder="1" applyAlignment="1">
      <alignment horizontal="center" vertical="center"/>
    </xf>
    <xf numFmtId="1" fontId="0" fillId="23" borderId="29" xfId="0" applyNumberFormat="1" applyFill="1" applyBorder="1" applyAlignment="1">
      <alignment horizontal="center" vertical="center"/>
    </xf>
    <xf numFmtId="1" fontId="0" fillId="20" borderId="29" xfId="0" applyNumberFormat="1" applyFill="1" applyBorder="1" applyAlignment="1">
      <alignment horizontal="center" vertical="center"/>
    </xf>
    <xf numFmtId="1" fontId="0" fillId="22" borderId="29" xfId="0" applyNumberFormat="1" applyFill="1" applyBorder="1" applyAlignment="1">
      <alignment horizontal="center" vertical="center"/>
    </xf>
    <xf numFmtId="0" fontId="0" fillId="22" borderId="29" xfId="0" applyFill="1" applyBorder="1" applyAlignment="1">
      <alignment horizontal="center" vertical="center"/>
    </xf>
    <xf numFmtId="1" fontId="0" fillId="20" borderId="8" xfId="0" applyNumberFormat="1" applyFill="1" applyBorder="1" applyAlignment="1">
      <alignment horizontal="center" vertical="center"/>
    </xf>
    <xf numFmtId="1" fontId="0" fillId="22" borderId="8" xfId="0" applyNumberFormat="1" applyFill="1" applyBorder="1" applyAlignment="1">
      <alignment horizontal="center" vertical="center"/>
    </xf>
    <xf numFmtId="0" fontId="2" fillId="20" borderId="10" xfId="0" applyFont="1" applyFill="1" applyBorder="1" applyAlignment="1">
      <alignment horizontal="center" vertical="center"/>
    </xf>
    <xf numFmtId="0" fontId="17" fillId="0" borderId="10" xfId="0" applyFont="1" applyBorder="1" applyAlignment="1">
      <alignment horizontal="center" vertical="center" wrapText="1"/>
    </xf>
    <xf numFmtId="166" fontId="7" fillId="0" borderId="10" xfId="0" applyNumberFormat="1" applyFont="1" applyBorder="1" applyAlignment="1">
      <alignment horizontal="center" vertical="center" wrapText="1"/>
    </xf>
    <xf numFmtId="166" fontId="9" fillId="0" borderId="10" xfId="0" applyNumberFormat="1" applyFont="1" applyBorder="1" applyAlignment="1">
      <alignment horizontal="center" vertical="center"/>
    </xf>
    <xf numFmtId="166" fontId="7" fillId="0" borderId="10" xfId="1" applyNumberFormat="1" applyFont="1" applyBorder="1" applyAlignment="1">
      <alignment horizontal="center" vertical="center"/>
    </xf>
    <xf numFmtId="166" fontId="9" fillId="0" borderId="10" xfId="1" applyNumberFormat="1" applyFont="1" applyBorder="1" applyAlignment="1">
      <alignment horizontal="center" vertical="center"/>
    </xf>
    <xf numFmtId="166" fontId="4" fillId="0" borderId="10" xfId="0" applyNumberFormat="1" applyFont="1" applyBorder="1" applyAlignment="1">
      <alignment horizontal="center" vertical="center"/>
    </xf>
    <xf numFmtId="166" fontId="13" fillId="9" borderId="10" xfId="0" applyNumberFormat="1" applyFont="1" applyFill="1" applyBorder="1" applyAlignment="1">
      <alignment horizontal="center" vertical="center" wrapText="1"/>
    </xf>
    <xf numFmtId="166" fontId="0" fillId="20" borderId="10" xfId="0" applyNumberFormat="1" applyFill="1" applyBorder="1" applyAlignment="1">
      <alignment horizontal="center" vertical="center"/>
    </xf>
    <xf numFmtId="167" fontId="12" fillId="0" borderId="10" xfId="1" applyNumberFormat="1" applyFont="1" applyBorder="1" applyAlignment="1">
      <alignment horizontal="center" vertical="center"/>
    </xf>
    <xf numFmtId="167" fontId="10" fillId="0" borderId="10" xfId="1" applyNumberFormat="1" applyFont="1" applyBorder="1" applyAlignment="1">
      <alignment horizontal="center" vertical="center"/>
    </xf>
    <xf numFmtId="167" fontId="4" fillId="0" borderId="10" xfId="1" applyNumberFormat="1" applyFont="1" applyBorder="1" applyAlignment="1">
      <alignment horizontal="center" vertical="center"/>
    </xf>
    <xf numFmtId="1" fontId="9" fillId="19" borderId="10" xfId="0" applyNumberFormat="1" applyFont="1" applyFill="1" applyBorder="1" applyAlignment="1">
      <alignment horizontal="center" vertical="center"/>
    </xf>
    <xf numFmtId="165" fontId="0" fillId="0" borderId="10" xfId="1" applyFont="1" applyBorder="1" applyAlignment="1">
      <alignment horizontal="center" vertical="center"/>
    </xf>
    <xf numFmtId="169" fontId="0" fillId="0" borderId="10" xfId="2" applyNumberFormat="1" applyFont="1" applyBorder="1" applyAlignment="1">
      <alignment horizontal="center" vertical="center"/>
    </xf>
    <xf numFmtId="1" fontId="0" fillId="20" borderId="10" xfId="0" applyNumberFormat="1" applyFill="1" applyBorder="1" applyAlignment="1">
      <alignment horizontal="center" vertical="center"/>
    </xf>
    <xf numFmtId="1" fontId="0" fillId="22" borderId="10" xfId="0" applyNumberFormat="1" applyFill="1" applyBorder="1" applyAlignment="1">
      <alignment horizontal="center" vertical="center"/>
    </xf>
    <xf numFmtId="0" fontId="0" fillId="22" borderId="10" xfId="0" applyFill="1" applyBorder="1" applyAlignment="1">
      <alignment horizontal="center" vertical="center"/>
    </xf>
    <xf numFmtId="166" fontId="0" fillId="18" borderId="10" xfId="0" applyNumberFormat="1" applyFill="1" applyBorder="1" applyAlignment="1">
      <alignment horizontal="center" vertical="center"/>
    </xf>
    <xf numFmtId="166" fontId="0" fillId="18" borderId="8" xfId="0" applyNumberFormat="1" applyFill="1" applyBorder="1" applyAlignment="1">
      <alignment horizontal="center" vertical="center"/>
    </xf>
    <xf numFmtId="1" fontId="10" fillId="18" borderId="8" xfId="0" applyNumberFormat="1" applyFont="1" applyFill="1" applyBorder="1" applyAlignment="1">
      <alignment horizontal="center" vertical="center"/>
    </xf>
    <xf numFmtId="1" fontId="0" fillId="18" borderId="8" xfId="0" applyNumberFormat="1" applyFill="1" applyBorder="1" applyAlignment="1">
      <alignment horizontal="center" vertical="center"/>
    </xf>
    <xf numFmtId="1" fontId="0" fillId="18" borderId="10" xfId="0" applyNumberFormat="1" applyFill="1" applyBorder="1" applyAlignment="1">
      <alignment horizontal="center" vertical="center"/>
    </xf>
    <xf numFmtId="14" fontId="4" fillId="12" borderId="29" xfId="0" applyNumberFormat="1" applyFont="1" applyFill="1" applyBorder="1" applyAlignment="1">
      <alignment horizontal="center" vertical="center"/>
    </xf>
    <xf numFmtId="14" fontId="0" fillId="0" borderId="29" xfId="0" applyNumberFormat="1" applyBorder="1" applyAlignment="1">
      <alignment horizontal="center" vertical="center"/>
    </xf>
    <xf numFmtId="14" fontId="0" fillId="7" borderId="29" xfId="0" applyNumberFormat="1" applyFill="1" applyBorder="1" applyAlignment="1">
      <alignment horizontal="center" vertical="center"/>
    </xf>
    <xf numFmtId="0" fontId="2" fillId="20" borderId="30" xfId="0" applyFont="1" applyFill="1" applyBorder="1" applyAlignment="1">
      <alignment horizontal="center" vertical="center"/>
    </xf>
    <xf numFmtId="0" fontId="17" fillId="0" borderId="30" xfId="0" applyFont="1" applyBorder="1" applyAlignment="1">
      <alignment horizontal="center" vertical="center" wrapText="1"/>
    </xf>
    <xf numFmtId="166" fontId="11" fillId="7" borderId="31" xfId="0" applyNumberFormat="1" applyFont="1" applyFill="1" applyBorder="1" applyAlignment="1">
      <alignment horizontal="center" vertical="center"/>
    </xf>
    <xf numFmtId="166" fontId="0" fillId="0" borderId="31" xfId="0" applyNumberFormat="1" applyBorder="1" applyAlignment="1">
      <alignment horizontal="center" vertical="center"/>
    </xf>
    <xf numFmtId="166" fontId="0" fillId="7" borderId="31" xfId="0" applyNumberFormat="1" applyFill="1" applyBorder="1" applyAlignment="1">
      <alignment horizontal="center" vertical="center"/>
    </xf>
    <xf numFmtId="167" fontId="12" fillId="0" borderId="30" xfId="1" applyNumberFormat="1" applyFont="1" applyBorder="1" applyAlignment="1">
      <alignment horizontal="center" vertical="center"/>
    </xf>
    <xf numFmtId="167" fontId="10" fillId="0" borderId="30" xfId="1" applyNumberFormat="1" applyFont="1" applyBorder="1" applyAlignment="1">
      <alignment horizontal="center" vertical="center"/>
    </xf>
    <xf numFmtId="167" fontId="4" fillId="0" borderId="30" xfId="1" applyNumberFormat="1" applyFont="1" applyBorder="1" applyAlignment="1">
      <alignment horizontal="center" vertical="center"/>
    </xf>
    <xf numFmtId="1" fontId="9" fillId="19" borderId="30" xfId="0" applyNumberFormat="1" applyFont="1" applyFill="1" applyBorder="1" applyAlignment="1">
      <alignment horizontal="center" vertical="center"/>
    </xf>
    <xf numFmtId="165" fontId="0" fillId="0" borderId="30" xfId="1" applyFont="1" applyBorder="1" applyAlignment="1">
      <alignment horizontal="center" vertical="center"/>
    </xf>
    <xf numFmtId="169" fontId="0" fillId="0" borderId="30" xfId="2" applyNumberFormat="1" applyFont="1" applyBorder="1" applyAlignment="1">
      <alignment horizontal="center" vertical="center"/>
    </xf>
    <xf numFmtId="166" fontId="0" fillId="17" borderId="8" xfId="0" applyNumberFormat="1" applyFill="1" applyBorder="1" applyAlignment="1">
      <alignment horizontal="center" vertical="center"/>
    </xf>
    <xf numFmtId="0" fontId="0" fillId="17" borderId="8" xfId="0" applyFill="1" applyBorder="1" applyAlignment="1">
      <alignment horizontal="center" vertical="center"/>
    </xf>
    <xf numFmtId="166" fontId="9" fillId="7" borderId="29" xfId="0" applyNumberFormat="1" applyFont="1" applyFill="1" applyBorder="1" applyAlignment="1">
      <alignment horizontal="center" vertical="center"/>
    </xf>
    <xf numFmtId="166" fontId="7" fillId="0" borderId="31" xfId="0" applyNumberFormat="1" applyFont="1" applyBorder="1" applyAlignment="1">
      <alignment horizontal="center" vertical="center" wrapText="1"/>
    </xf>
    <xf numFmtId="166" fontId="9" fillId="0" borderId="31" xfId="0" applyNumberFormat="1" applyFont="1" applyBorder="1" applyAlignment="1">
      <alignment horizontal="center" vertical="center"/>
    </xf>
    <xf numFmtId="166" fontId="0" fillId="17" borderId="10" xfId="0" applyNumberFormat="1" applyFill="1" applyBorder="1" applyAlignment="1">
      <alignment horizontal="center" vertical="center"/>
    </xf>
    <xf numFmtId="166" fontId="4" fillId="0" borderId="31" xfId="0" applyNumberFormat="1" applyFont="1" applyBorder="1" applyAlignment="1">
      <alignment horizontal="center" vertical="center"/>
    </xf>
    <xf numFmtId="166" fontId="13" fillId="9" borderId="31" xfId="0" applyNumberFormat="1" applyFont="1" applyFill="1" applyBorder="1" applyAlignment="1">
      <alignment horizontal="center" vertical="center" wrapText="1"/>
    </xf>
    <xf numFmtId="166" fontId="0" fillId="20" borderId="31" xfId="0" applyNumberFormat="1" applyFill="1" applyBorder="1" applyAlignment="1">
      <alignment horizontal="center" vertical="center"/>
    </xf>
    <xf numFmtId="1" fontId="0" fillId="0" borderId="31" xfId="0" applyNumberFormat="1" applyBorder="1" applyAlignment="1">
      <alignment horizontal="center" vertical="center"/>
    </xf>
    <xf numFmtId="167" fontId="12" fillId="0" borderId="31" xfId="1" applyNumberFormat="1" applyFont="1" applyBorder="1" applyAlignment="1">
      <alignment horizontal="center" vertical="center"/>
    </xf>
    <xf numFmtId="167" fontId="9" fillId="0" borderId="27" xfId="1" applyNumberFormat="1" applyFont="1" applyBorder="1" applyAlignment="1">
      <alignment horizontal="center" vertical="center"/>
    </xf>
    <xf numFmtId="165" fontId="10" fillId="0" borderId="8" xfId="1" applyFont="1" applyBorder="1" applyAlignment="1">
      <alignment horizontal="center" vertical="center"/>
    </xf>
    <xf numFmtId="164" fontId="0" fillId="0" borderId="0" xfId="3" applyFont="1" applyBorder="1" applyAlignment="1">
      <alignment horizontal="center" vertical="center"/>
    </xf>
    <xf numFmtId="0" fontId="9" fillId="23" borderId="10" xfId="0" applyFont="1" applyFill="1" applyBorder="1" applyAlignment="1">
      <alignment horizontal="center" vertical="center"/>
    </xf>
    <xf numFmtId="170" fontId="9" fillId="0" borderId="10" xfId="0" applyNumberFormat="1" applyFont="1" applyBorder="1" applyAlignment="1">
      <alignment horizontal="center" vertical="center"/>
    </xf>
    <xf numFmtId="0" fontId="4" fillId="17" borderId="0" xfId="0" applyFont="1" applyFill="1" applyAlignment="1">
      <alignment horizontal="center" wrapText="1"/>
    </xf>
    <xf numFmtId="0" fontId="4" fillId="17" borderId="8" xfId="0" applyFont="1" applyFill="1" applyBorder="1" applyAlignment="1">
      <alignment horizontal="center" vertical="center" wrapText="1"/>
    </xf>
    <xf numFmtId="0" fontId="17" fillId="17" borderId="8" xfId="0" applyFont="1" applyFill="1" applyBorder="1" applyAlignment="1">
      <alignment horizontal="center" vertical="center" wrapText="1"/>
    </xf>
    <xf numFmtId="166" fontId="7" fillId="17" borderId="8" xfId="0" applyNumberFormat="1" applyFont="1" applyFill="1" applyBorder="1" applyAlignment="1">
      <alignment horizontal="center" vertical="center"/>
    </xf>
    <xf numFmtId="166" fontId="9" fillId="17" borderId="8" xfId="0" applyNumberFormat="1" applyFont="1" applyFill="1" applyBorder="1" applyAlignment="1">
      <alignment horizontal="center" vertical="center"/>
    </xf>
    <xf numFmtId="166" fontId="10" fillId="17" borderId="8" xfId="0" applyNumberFormat="1" applyFont="1" applyFill="1" applyBorder="1" applyAlignment="1">
      <alignment horizontal="center" vertical="center"/>
    </xf>
    <xf numFmtId="0" fontId="9" fillId="17" borderId="8" xfId="0" applyFont="1" applyFill="1" applyBorder="1" applyAlignment="1">
      <alignment horizontal="center" vertical="center"/>
    </xf>
    <xf numFmtId="167" fontId="10" fillId="17" borderId="8" xfId="1" applyNumberFormat="1" applyFont="1" applyFill="1" applyBorder="1" applyAlignment="1">
      <alignment horizontal="center" vertical="center"/>
    </xf>
    <xf numFmtId="165" fontId="10" fillId="17" borderId="8" xfId="1" applyFont="1" applyFill="1" applyBorder="1" applyAlignment="1">
      <alignment horizontal="center" vertical="center"/>
    </xf>
    <xf numFmtId="167" fontId="4" fillId="17" borderId="8" xfId="1" applyNumberFormat="1" applyFont="1" applyFill="1" applyBorder="1" applyAlignment="1">
      <alignment horizontal="center" vertical="center"/>
    </xf>
    <xf numFmtId="165" fontId="10" fillId="17" borderId="8" xfId="0" applyNumberFormat="1" applyFont="1" applyFill="1" applyBorder="1" applyAlignment="1">
      <alignment horizontal="center" vertical="center"/>
    </xf>
    <xf numFmtId="165" fontId="9" fillId="17" borderId="0" xfId="1" applyFont="1" applyFill="1" applyAlignment="1">
      <alignment horizontal="center" vertical="center"/>
    </xf>
    <xf numFmtId="168" fontId="10" fillId="17" borderId="8" xfId="1" applyNumberFormat="1" applyFont="1" applyFill="1" applyBorder="1" applyAlignment="1">
      <alignment horizontal="center" vertical="center"/>
    </xf>
    <xf numFmtId="167" fontId="9" fillId="17" borderId="8" xfId="1" applyNumberFormat="1" applyFont="1" applyFill="1" applyBorder="1" applyAlignment="1">
      <alignment horizontal="center" vertical="center"/>
    </xf>
    <xf numFmtId="165" fontId="9" fillId="17" borderId="8" xfId="1" applyFont="1" applyFill="1" applyBorder="1" applyAlignment="1">
      <alignment horizontal="center" vertical="center"/>
    </xf>
    <xf numFmtId="169" fontId="9" fillId="17" borderId="8" xfId="2" applyNumberFormat="1" applyFont="1" applyFill="1" applyBorder="1" applyAlignment="1">
      <alignment horizontal="center" vertical="center"/>
    </xf>
    <xf numFmtId="169" fontId="9" fillId="17" borderId="0" xfId="2" applyNumberFormat="1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 wrapText="1"/>
    </xf>
    <xf numFmtId="166" fontId="10" fillId="7" borderId="8" xfId="0" applyNumberFormat="1" applyFont="1" applyFill="1" applyBorder="1" applyAlignment="1">
      <alignment horizontal="center" vertical="center"/>
    </xf>
    <xf numFmtId="170" fontId="10" fillId="0" borderId="8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6" fontId="0" fillId="18" borderId="29" xfId="0" applyNumberFormat="1" applyFill="1" applyBorder="1" applyAlignment="1">
      <alignment horizontal="center" vertical="center"/>
    </xf>
    <xf numFmtId="1" fontId="0" fillId="18" borderId="29" xfId="0" applyNumberFormat="1" applyFill="1" applyBorder="1" applyAlignment="1">
      <alignment horizontal="center" vertical="center"/>
    </xf>
    <xf numFmtId="166" fontId="9" fillId="20" borderId="27" xfId="0" applyNumberFormat="1" applyFont="1" applyFill="1" applyBorder="1" applyAlignment="1">
      <alignment horizontal="center" vertical="center"/>
    </xf>
    <xf numFmtId="166" fontId="19" fillId="7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/>
    </xf>
    <xf numFmtId="167" fontId="7" fillId="0" borderId="27" xfId="1" applyNumberFormat="1" applyFont="1" applyBorder="1" applyAlignment="1">
      <alignment horizontal="center" vertical="center"/>
    </xf>
    <xf numFmtId="167" fontId="0" fillId="0" borderId="0" xfId="0" applyNumberFormat="1"/>
    <xf numFmtId="9" fontId="0" fillId="0" borderId="0" xfId="2" applyFont="1" applyBorder="1" applyAlignment="1">
      <alignment horizontal="center" vertical="center"/>
    </xf>
    <xf numFmtId="0" fontId="2" fillId="17" borderId="10" xfId="0" applyFont="1" applyFill="1" applyBorder="1" applyAlignment="1">
      <alignment horizontal="center" vertical="center"/>
    </xf>
    <xf numFmtId="0" fontId="17" fillId="17" borderId="10" xfId="0" applyFont="1" applyFill="1" applyBorder="1" applyAlignment="1">
      <alignment horizontal="center" vertical="center" wrapText="1"/>
    </xf>
    <xf numFmtId="166" fontId="7" fillId="17" borderId="10" xfId="0" applyNumberFormat="1" applyFont="1" applyFill="1" applyBorder="1" applyAlignment="1">
      <alignment horizontal="center" vertical="center" wrapText="1"/>
    </xf>
    <xf numFmtId="166" fontId="9" fillId="17" borderId="10" xfId="0" applyNumberFormat="1" applyFont="1" applyFill="1" applyBorder="1" applyAlignment="1">
      <alignment horizontal="center" vertical="center"/>
    </xf>
    <xf numFmtId="166" fontId="11" fillId="17" borderId="10" xfId="0" applyNumberFormat="1" applyFont="1" applyFill="1" applyBorder="1" applyAlignment="1">
      <alignment horizontal="center" vertical="center"/>
    </xf>
    <xf numFmtId="166" fontId="7" fillId="17" borderId="8" xfId="1" applyNumberFormat="1" applyFont="1" applyFill="1" applyBorder="1" applyAlignment="1">
      <alignment horizontal="center" vertical="center"/>
    </xf>
    <xf numFmtId="166" fontId="9" fillId="17" borderId="8" xfId="1" applyNumberFormat="1" applyFont="1" applyFill="1" applyBorder="1" applyAlignment="1">
      <alignment horizontal="center" vertical="center"/>
    </xf>
    <xf numFmtId="166" fontId="4" fillId="17" borderId="10" xfId="0" applyNumberFormat="1" applyFont="1" applyFill="1" applyBorder="1" applyAlignment="1">
      <alignment horizontal="center" vertical="center"/>
    </xf>
    <xf numFmtId="166" fontId="13" fillId="17" borderId="10" xfId="0" applyNumberFormat="1" applyFont="1" applyFill="1" applyBorder="1" applyAlignment="1">
      <alignment horizontal="center" vertical="center" wrapText="1"/>
    </xf>
    <xf numFmtId="1" fontId="0" fillId="17" borderId="10" xfId="0" applyNumberFormat="1" applyFill="1" applyBorder="1" applyAlignment="1">
      <alignment horizontal="center" vertical="center"/>
    </xf>
    <xf numFmtId="167" fontId="12" fillId="17" borderId="10" xfId="1" applyNumberFormat="1" applyFont="1" applyFill="1" applyBorder="1" applyAlignment="1">
      <alignment horizontal="center" vertical="center"/>
    </xf>
    <xf numFmtId="167" fontId="10" fillId="17" borderId="10" xfId="1" applyNumberFormat="1" applyFont="1" applyFill="1" applyBorder="1" applyAlignment="1">
      <alignment horizontal="center" vertical="center"/>
    </xf>
    <xf numFmtId="167" fontId="4" fillId="17" borderId="10" xfId="1" applyNumberFormat="1" applyFont="1" applyFill="1" applyBorder="1" applyAlignment="1">
      <alignment horizontal="center" vertical="center"/>
    </xf>
    <xf numFmtId="1" fontId="9" fillId="17" borderId="10" xfId="0" applyNumberFormat="1" applyFont="1" applyFill="1" applyBorder="1" applyAlignment="1">
      <alignment horizontal="center" vertical="center"/>
    </xf>
    <xf numFmtId="165" fontId="0" fillId="17" borderId="10" xfId="1" applyFont="1" applyFill="1" applyBorder="1" applyAlignment="1">
      <alignment horizontal="center" vertical="center"/>
    </xf>
    <xf numFmtId="169" fontId="0" fillId="17" borderId="10" xfId="2" applyNumberFormat="1" applyFont="1" applyFill="1" applyBorder="1" applyAlignment="1">
      <alignment horizontal="center" vertical="center"/>
    </xf>
    <xf numFmtId="169" fontId="0" fillId="17" borderId="0" xfId="2" applyNumberFormat="1" applyFont="1" applyFill="1" applyBorder="1" applyAlignment="1">
      <alignment horizontal="center" vertical="center"/>
    </xf>
    <xf numFmtId="0" fontId="9" fillId="17" borderId="10" xfId="0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17" fillId="12" borderId="27" xfId="0" applyFont="1" applyFill="1" applyBorder="1" applyAlignment="1">
      <alignment horizontal="center" vertical="center" wrapText="1"/>
    </xf>
    <xf numFmtId="166" fontId="7" fillId="12" borderId="27" xfId="0" applyNumberFormat="1" applyFont="1" applyFill="1" applyBorder="1" applyAlignment="1">
      <alignment horizontal="center" vertical="center" wrapText="1"/>
    </xf>
    <xf numFmtId="166" fontId="9" fillId="12" borderId="8" xfId="1" applyNumberFormat="1" applyFont="1" applyFill="1" applyBorder="1" applyAlignment="1">
      <alignment horizontal="center" vertical="center" wrapText="1"/>
    </xf>
    <xf numFmtId="14" fontId="7" fillId="12" borderId="8" xfId="0" applyNumberFormat="1" applyFont="1" applyFill="1" applyBorder="1" applyAlignment="1">
      <alignment horizontal="center" vertical="center"/>
    </xf>
    <xf numFmtId="167" fontId="12" fillId="7" borderId="8" xfId="1" applyNumberFormat="1" applyFont="1" applyFill="1" applyBorder="1" applyAlignment="1">
      <alignment horizontal="center" vertical="center"/>
    </xf>
    <xf numFmtId="166" fontId="7" fillId="7" borderId="10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0" borderId="28" xfId="0" applyFont="1" applyFill="1" applyBorder="1" applyAlignment="1">
      <alignment horizontal="center" vertical="center" wrapText="1"/>
    </xf>
    <xf numFmtId="0" fontId="2" fillId="20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</cellXfs>
  <cellStyles count="4">
    <cellStyle name="Comma" xfId="1" builtinId="3"/>
    <cellStyle name="Comma [0]" xfId="3" builtinId="6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161925</xdr:colOff>
      <xdr:row>7</xdr:row>
      <xdr:rowOff>114300</xdr:rowOff>
    </xdr:from>
    <xdr:to>
      <xdr:col>25</xdr:col>
      <xdr:colOff>257175</xdr:colOff>
      <xdr:row>7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816E86E0-1E08-DAE7-C891-63C157D043F8}"/>
            </a:ext>
          </a:extLst>
        </xdr:cNvPr>
        <xdr:cNvCxnSpPr/>
      </xdr:nvCxnSpPr>
      <xdr:spPr>
        <a:xfrm flipV="1">
          <a:off x="8991600" y="2047875"/>
          <a:ext cx="1314450" cy="952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8"/>
  <sheetViews>
    <sheetView tabSelected="1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15" sqref="E15"/>
    </sheetView>
  </sheetViews>
  <sheetFormatPr defaultRowHeight="14.4" x14ac:dyDescent="0.3"/>
  <cols>
    <col min="1" max="1" width="27.21875" style="5" bestFit="1" customWidth="1"/>
    <col min="2" max="2" width="11.21875" style="5" customWidth="1"/>
    <col min="3" max="3" width="14.44140625" style="132" customWidth="1"/>
    <col min="4" max="5" width="11.21875" style="132" customWidth="1"/>
    <col min="6" max="6" width="0.44140625" style="133" customWidth="1"/>
    <col min="7" max="9" width="17.44140625" style="122" customWidth="1"/>
    <col min="10" max="10" width="19" style="122" customWidth="1"/>
    <col min="11" max="11" width="17.44140625" style="149" customWidth="1"/>
    <col min="12" max="16" width="17.44140625" style="122" customWidth="1"/>
    <col min="17" max="17" width="0.77734375" style="129" customWidth="1"/>
    <col min="18" max="19" width="17.44140625" style="122" customWidth="1"/>
    <col min="20" max="20" width="14.77734375" bestFit="1" customWidth="1"/>
  </cols>
  <sheetData>
    <row r="1" spans="1:19" x14ac:dyDescent="0.3">
      <c r="B1" s="367" t="s">
        <v>216</v>
      </c>
      <c r="C1" s="367"/>
      <c r="D1" s="367"/>
      <c r="E1" s="367"/>
      <c r="F1" s="312"/>
      <c r="G1" s="368">
        <v>2024</v>
      </c>
      <c r="H1" s="368"/>
      <c r="I1" s="368"/>
      <c r="J1" s="368"/>
      <c r="K1" s="369">
        <v>2025</v>
      </c>
      <c r="L1" s="370"/>
      <c r="M1" s="370"/>
      <c r="N1" s="370"/>
      <c r="O1" s="370"/>
      <c r="P1" s="370"/>
      <c r="Q1" s="370"/>
      <c r="R1" s="370"/>
      <c r="S1" s="370"/>
    </row>
    <row r="2" spans="1:19" ht="28.8" x14ac:dyDescent="0.3">
      <c r="A2" s="150" t="s">
        <v>144</v>
      </c>
      <c r="B2" s="329" t="s">
        <v>211</v>
      </c>
      <c r="C2" s="329" t="s">
        <v>212</v>
      </c>
      <c r="D2" s="330" t="s">
        <v>213</v>
      </c>
      <c r="E2" s="330" t="s">
        <v>214</v>
      </c>
      <c r="F2" s="313"/>
      <c r="G2" s="145" t="s">
        <v>120</v>
      </c>
      <c r="H2" s="145" t="s">
        <v>121</v>
      </c>
      <c r="I2" s="145" t="s">
        <v>122</v>
      </c>
      <c r="J2" s="145" t="s">
        <v>123</v>
      </c>
      <c r="K2" s="146" t="s">
        <v>120</v>
      </c>
      <c r="L2" s="195" t="s">
        <v>121</v>
      </c>
      <c r="M2" s="195" t="s">
        <v>122</v>
      </c>
      <c r="N2" s="195" t="s">
        <v>123</v>
      </c>
      <c r="O2" s="195" t="s">
        <v>124</v>
      </c>
      <c r="P2" s="259" t="s">
        <v>125</v>
      </c>
      <c r="Q2" s="342"/>
      <c r="R2" s="195" t="s">
        <v>202</v>
      </c>
      <c r="S2" s="285" t="s">
        <v>203</v>
      </c>
    </row>
    <row r="3" spans="1:19" s="220" customFormat="1" ht="34.049999999999997" customHeight="1" x14ac:dyDescent="0.25">
      <c r="A3" s="216" t="s">
        <v>139</v>
      </c>
      <c r="B3" s="217"/>
      <c r="C3" s="217"/>
      <c r="D3" s="217"/>
      <c r="E3" s="217"/>
      <c r="F3" s="314"/>
      <c r="G3" s="218" t="s">
        <v>145</v>
      </c>
      <c r="H3" s="218" t="s">
        <v>149</v>
      </c>
      <c r="I3" s="218" t="s">
        <v>169</v>
      </c>
      <c r="J3" s="221" t="s">
        <v>185</v>
      </c>
      <c r="K3" s="361" t="s">
        <v>208</v>
      </c>
      <c r="L3" s="218" t="s">
        <v>201</v>
      </c>
      <c r="M3" s="218" t="s">
        <v>218</v>
      </c>
      <c r="N3" s="219" t="s">
        <v>219</v>
      </c>
      <c r="O3" s="219"/>
      <c r="P3" s="260"/>
      <c r="Q3" s="343"/>
      <c r="R3" s="219"/>
      <c r="S3" s="286"/>
    </row>
    <row r="4" spans="1:19" s="141" customFormat="1" x14ac:dyDescent="0.3">
      <c r="A4" s="60" t="s">
        <v>132</v>
      </c>
      <c r="B4" s="140"/>
      <c r="C4" s="140"/>
      <c r="D4" s="140"/>
      <c r="E4" s="140"/>
      <c r="F4" s="315"/>
      <c r="G4" s="163" t="s">
        <v>148</v>
      </c>
      <c r="H4" s="163" t="s">
        <v>127</v>
      </c>
      <c r="I4" s="163" t="s">
        <v>128</v>
      </c>
      <c r="J4" s="163" t="s">
        <v>129</v>
      </c>
      <c r="K4" s="362" t="s">
        <v>130</v>
      </c>
      <c r="L4" s="163" t="s">
        <v>138</v>
      </c>
      <c r="M4" s="163" t="s">
        <v>142</v>
      </c>
      <c r="N4" s="164" t="s">
        <v>143</v>
      </c>
      <c r="O4" s="164" t="s">
        <v>171</v>
      </c>
      <c r="P4" s="261" t="s">
        <v>172</v>
      </c>
      <c r="Q4" s="344"/>
      <c r="R4" s="164" t="s">
        <v>204</v>
      </c>
      <c r="S4" s="299" t="s">
        <v>205</v>
      </c>
    </row>
    <row r="5" spans="1:19" x14ac:dyDescent="0.3">
      <c r="A5" s="155" t="s">
        <v>184</v>
      </c>
      <c r="B5" s="182">
        <v>0</v>
      </c>
      <c r="C5" s="125">
        <v>4</v>
      </c>
      <c r="D5" s="199">
        <f>D6+B5</f>
        <v>45728.428571428572</v>
      </c>
      <c r="E5" s="165">
        <v>45768</v>
      </c>
      <c r="F5" s="316"/>
      <c r="G5" s="165">
        <v>45318</v>
      </c>
      <c r="H5" s="165">
        <v>45377</v>
      </c>
      <c r="I5" s="165">
        <v>45434</v>
      </c>
      <c r="J5" s="165">
        <f>J7+10</f>
        <v>45508</v>
      </c>
      <c r="K5" s="166">
        <v>45698</v>
      </c>
      <c r="L5" s="165">
        <f>L6</f>
        <v>45736</v>
      </c>
      <c r="M5" s="165">
        <v>45805</v>
      </c>
      <c r="N5" s="165">
        <f>M5+51</f>
        <v>45856</v>
      </c>
      <c r="O5" s="165">
        <f>N5+51</f>
        <v>45907</v>
      </c>
      <c r="P5" s="262">
        <f>O5+55</f>
        <v>45962</v>
      </c>
      <c r="Q5" s="345"/>
      <c r="R5" s="165">
        <f>P5+90</f>
        <v>46052</v>
      </c>
      <c r="S5" s="300">
        <f>R5+23</f>
        <v>46075</v>
      </c>
    </row>
    <row r="6" spans="1:19" x14ac:dyDescent="0.3">
      <c r="A6" s="184" t="s">
        <v>162</v>
      </c>
      <c r="B6" s="333">
        <v>5</v>
      </c>
      <c r="C6" s="188">
        <f>AVERAGE(G6:M6)-AVERAGE(G7:M7)</f>
        <v>9.857142857144936</v>
      </c>
      <c r="D6" s="199">
        <f>D7+B6</f>
        <v>45728.428571428572</v>
      </c>
      <c r="E6" s="199">
        <f>E5-C5</f>
        <v>45764</v>
      </c>
      <c r="F6" s="317"/>
      <c r="G6" s="185">
        <v>45318</v>
      </c>
      <c r="H6" s="185">
        <v>45377</v>
      </c>
      <c r="I6" s="185">
        <v>45449</v>
      </c>
      <c r="J6" s="185">
        <v>45506</v>
      </c>
      <c r="K6" s="337">
        <v>45694</v>
      </c>
      <c r="L6" s="186">
        <v>45736</v>
      </c>
      <c r="M6" s="366">
        <v>45790</v>
      </c>
      <c r="N6" s="186">
        <f>N5</f>
        <v>45856</v>
      </c>
      <c r="O6" s="186">
        <f>O5-$C5</f>
        <v>45903</v>
      </c>
      <c r="P6" s="186">
        <f t="shared" ref="P6:S6" si="0">P5-$C5</f>
        <v>45958</v>
      </c>
      <c r="Q6" s="346"/>
      <c r="R6" s="185">
        <f t="shared" si="0"/>
        <v>46048</v>
      </c>
      <c r="S6" s="287">
        <f t="shared" si="0"/>
        <v>46071</v>
      </c>
    </row>
    <row r="7" spans="1:19" x14ac:dyDescent="0.3">
      <c r="A7" s="183" t="s">
        <v>140</v>
      </c>
      <c r="B7" s="192">
        <v>8</v>
      </c>
      <c r="C7" s="188">
        <f>AVERAGE(G7:M7)-AVERAGE(G8:M8)</f>
        <v>8.285714285717404</v>
      </c>
      <c r="D7" s="331">
        <f>D8+B7</f>
        <v>45723.428571428572</v>
      </c>
      <c r="E7" s="331">
        <f t="shared" ref="E7:E9" si="1">E6-C6</f>
        <v>45754.142857142855</v>
      </c>
      <c r="F7" s="317"/>
      <c r="G7" s="165">
        <v>45304</v>
      </c>
      <c r="H7" s="165">
        <v>45367</v>
      </c>
      <c r="I7" s="165">
        <v>45431</v>
      </c>
      <c r="J7" s="165">
        <v>45498</v>
      </c>
      <c r="K7" s="338">
        <v>45681.5</v>
      </c>
      <c r="L7" s="262">
        <v>45732</v>
      </c>
      <c r="M7" s="262">
        <v>45787.5</v>
      </c>
      <c r="N7" s="168">
        <f t="shared" ref="N7:S10" si="2">N6-$C6</f>
        <v>45846.142857142855</v>
      </c>
      <c r="O7" s="168">
        <f>O6-$C6</f>
        <v>45893.142857142855</v>
      </c>
      <c r="P7" s="168">
        <f t="shared" si="2"/>
        <v>45948.142857142855</v>
      </c>
      <c r="Q7" s="301"/>
      <c r="R7" s="167">
        <f t="shared" si="2"/>
        <v>46038.142857142855</v>
      </c>
      <c r="S7" s="288">
        <f t="shared" si="2"/>
        <v>46061.142857142855</v>
      </c>
    </row>
    <row r="8" spans="1:19" x14ac:dyDescent="0.3">
      <c r="A8" s="183" t="s">
        <v>141</v>
      </c>
      <c r="B8" s="192">
        <v>7</v>
      </c>
      <c r="C8" s="332">
        <f>AVERAGE(G8:M8)-AVERAGE(G9:M9)</f>
        <v>16.535714285710128</v>
      </c>
      <c r="D8" s="331">
        <f>D9+B8</f>
        <v>45715.428571428572</v>
      </c>
      <c r="E8" s="331">
        <f t="shared" si="1"/>
        <v>45745.857142857138</v>
      </c>
      <c r="F8" s="317"/>
      <c r="G8" s="165">
        <v>45292</v>
      </c>
      <c r="H8" s="165">
        <v>45359</v>
      </c>
      <c r="I8" s="165">
        <v>45424</v>
      </c>
      <c r="J8" s="165">
        <v>45491</v>
      </c>
      <c r="K8" s="166">
        <v>45673</v>
      </c>
      <c r="L8" s="262">
        <v>45724</v>
      </c>
      <c r="M8" s="262">
        <v>45780</v>
      </c>
      <c r="N8" s="262">
        <v>45835.857142857138</v>
      </c>
      <c r="O8" s="168">
        <f t="shared" si="2"/>
        <v>45884.857142857138</v>
      </c>
      <c r="P8" s="168">
        <f t="shared" si="2"/>
        <v>45939.857142857138</v>
      </c>
      <c r="Q8" s="301"/>
      <c r="R8" s="167">
        <f t="shared" si="2"/>
        <v>46029.857142857138</v>
      </c>
      <c r="S8" s="288">
        <f t="shared" si="2"/>
        <v>46052.857142857138</v>
      </c>
    </row>
    <row r="9" spans="1:19" x14ac:dyDescent="0.3">
      <c r="A9" s="152" t="s">
        <v>158</v>
      </c>
      <c r="B9" s="192">
        <v>7</v>
      </c>
      <c r="C9" s="332">
        <f>AVERAGE(G9:M9)-AVERAGE(G10:M11)</f>
        <v>27.892857142855064</v>
      </c>
      <c r="D9" s="199">
        <f>D10+B9</f>
        <v>45708.428571428572</v>
      </c>
      <c r="E9" s="199">
        <f t="shared" si="1"/>
        <v>45729.321428571428</v>
      </c>
      <c r="F9" s="317"/>
      <c r="G9" s="169">
        <v>45282</v>
      </c>
      <c r="H9" s="169">
        <v>45346</v>
      </c>
      <c r="I9" s="169">
        <v>45408</v>
      </c>
      <c r="J9" s="169">
        <v>45475</v>
      </c>
      <c r="K9" s="298">
        <v>45645.25</v>
      </c>
      <c r="L9" s="169">
        <v>45708</v>
      </c>
      <c r="M9" s="169">
        <v>45763</v>
      </c>
      <c r="N9" s="170">
        <f t="shared" si="2"/>
        <v>45819.321428571428</v>
      </c>
      <c r="O9" s="170">
        <f t="shared" si="2"/>
        <v>45868.321428571428</v>
      </c>
      <c r="P9" s="170">
        <f t="shared" si="2"/>
        <v>45923.321428571428</v>
      </c>
      <c r="Q9" s="296"/>
      <c r="R9" s="170">
        <f t="shared" si="2"/>
        <v>46013.321428571428</v>
      </c>
      <c r="S9" s="171">
        <f t="shared" si="2"/>
        <v>46036.321428571428</v>
      </c>
    </row>
    <row r="10" spans="1:19" x14ac:dyDescent="0.3">
      <c r="A10" s="152" t="s">
        <v>159</v>
      </c>
      <c r="B10" s="332" t="s">
        <v>215</v>
      </c>
      <c r="C10" s="332" t="s">
        <v>215</v>
      </c>
      <c r="D10" s="199">
        <f>E10</f>
        <v>45701.428571428572</v>
      </c>
      <c r="E10" s="199">
        <f>E9-C9</f>
        <v>45701.428571428572</v>
      </c>
      <c r="F10" s="317"/>
      <c r="G10" s="169">
        <v>45265</v>
      </c>
      <c r="H10" s="169">
        <v>45314</v>
      </c>
      <c r="I10" s="169">
        <v>45378</v>
      </c>
      <c r="J10" s="169">
        <v>45445</v>
      </c>
      <c r="K10" s="298">
        <v>45607</v>
      </c>
      <c r="L10" s="169">
        <v>45691</v>
      </c>
      <c r="M10" s="169">
        <v>45732</v>
      </c>
      <c r="N10" s="170">
        <f t="shared" si="2"/>
        <v>45791.428571428572</v>
      </c>
      <c r="O10" s="170">
        <f t="shared" si="2"/>
        <v>45840.428571428572</v>
      </c>
      <c r="P10" s="170">
        <f t="shared" si="2"/>
        <v>45895.428571428572</v>
      </c>
      <c r="Q10" s="296"/>
      <c r="R10" s="170">
        <f t="shared" si="2"/>
        <v>45985.428571428572</v>
      </c>
      <c r="S10" s="171">
        <f t="shared" si="2"/>
        <v>46008.428571428572</v>
      </c>
    </row>
    <row r="11" spans="1:19" ht="3" customHeight="1" x14ac:dyDescent="0.3">
      <c r="A11" s="153"/>
      <c r="B11" s="133"/>
      <c r="C11" s="133"/>
      <c r="D11" s="133"/>
      <c r="E11" s="133"/>
      <c r="G11" s="172"/>
      <c r="H11" s="172"/>
      <c r="I11" s="172"/>
      <c r="J11" s="172"/>
      <c r="K11" s="173"/>
      <c r="L11" s="296"/>
      <c r="M11" s="296"/>
      <c r="N11" s="296"/>
      <c r="O11" s="296"/>
      <c r="P11" s="296"/>
      <c r="Q11" s="296"/>
      <c r="R11" s="296"/>
      <c r="S11" s="301"/>
    </row>
    <row r="12" spans="1:19" s="126" customFormat="1" x14ac:dyDescent="0.3">
      <c r="A12" s="181" t="s">
        <v>131</v>
      </c>
      <c r="B12" s="136"/>
      <c r="C12" s="136"/>
      <c r="D12" s="136"/>
      <c r="E12" s="136"/>
      <c r="F12" s="318"/>
      <c r="G12" s="174" t="s">
        <v>168</v>
      </c>
      <c r="H12" s="174" t="s">
        <v>134</v>
      </c>
      <c r="I12" s="174" t="s">
        <v>135</v>
      </c>
      <c r="J12" s="174" t="s">
        <v>137</v>
      </c>
      <c r="K12" s="248" t="s">
        <v>136</v>
      </c>
      <c r="L12" s="174" t="s">
        <v>199</v>
      </c>
      <c r="M12" s="174" t="s">
        <v>146</v>
      </c>
      <c r="N12" s="174" t="s">
        <v>147</v>
      </c>
      <c r="O12" s="196" t="s">
        <v>173</v>
      </c>
      <c r="P12" s="196" t="s">
        <v>174</v>
      </c>
      <c r="Q12" s="347"/>
      <c r="R12" s="196" t="s">
        <v>209</v>
      </c>
      <c r="S12" s="263" t="s">
        <v>210</v>
      </c>
    </row>
    <row r="13" spans="1:19" s="139" customFormat="1" ht="28.8" x14ac:dyDescent="0.3">
      <c r="A13" s="155" t="s">
        <v>10</v>
      </c>
      <c r="B13" s="137"/>
      <c r="C13" s="137"/>
      <c r="D13" s="137"/>
      <c r="E13" s="137"/>
      <c r="F13" s="318"/>
      <c r="G13" s="175"/>
      <c r="H13" s="175"/>
      <c r="I13" s="175"/>
      <c r="J13" s="175" t="s">
        <v>170</v>
      </c>
      <c r="K13" s="249" t="s">
        <v>186</v>
      </c>
      <c r="L13" s="363" t="s">
        <v>200</v>
      </c>
      <c r="M13" s="175"/>
      <c r="N13" s="175"/>
      <c r="O13" s="197"/>
      <c r="P13" s="197"/>
      <c r="Q13" s="348"/>
      <c r="R13" s="197"/>
      <c r="S13" s="264"/>
    </row>
    <row r="14" spans="1:19" s="138" customFormat="1" x14ac:dyDescent="0.3">
      <c r="A14" s="156" t="s">
        <v>133</v>
      </c>
      <c r="B14" s="137"/>
      <c r="C14" s="137">
        <v>7</v>
      </c>
      <c r="D14" s="137"/>
      <c r="E14" s="137"/>
      <c r="F14" s="319"/>
      <c r="G14" s="176">
        <v>45275</v>
      </c>
      <c r="H14" s="176">
        <v>45317</v>
      </c>
      <c r="I14" s="176">
        <v>45377</v>
      </c>
      <c r="J14" s="214">
        <f>J10-$C$14</f>
        <v>45438</v>
      </c>
      <c r="K14" s="282">
        <v>45469</v>
      </c>
      <c r="L14" s="364">
        <v>45698</v>
      </c>
      <c r="M14" s="176">
        <f>M10+26</f>
        <v>45758</v>
      </c>
      <c r="N14" s="176">
        <f>M14</f>
        <v>45758</v>
      </c>
      <c r="O14" s="215">
        <f>O10-$C$14</f>
        <v>45833.428571428572</v>
      </c>
      <c r="P14" s="265">
        <f t="shared" ref="P14" si="3">P10-$C$14</f>
        <v>45888.428571428572</v>
      </c>
      <c r="Q14" s="349"/>
      <c r="R14" s="215">
        <f t="shared" ref="R14:S14" si="4">R10-$C$14</f>
        <v>45978.428571428572</v>
      </c>
      <c r="S14" s="302">
        <f t="shared" si="4"/>
        <v>46001.428571428572</v>
      </c>
    </row>
    <row r="15" spans="1:19" x14ac:dyDescent="0.3">
      <c r="A15" s="157" t="s">
        <v>160</v>
      </c>
      <c r="B15" s="137"/>
      <c r="C15" s="137">
        <v>5</v>
      </c>
      <c r="D15" s="137"/>
      <c r="E15" s="137"/>
      <c r="F15" s="319"/>
      <c r="G15" s="167">
        <f>G14-$C15</f>
        <v>45270</v>
      </c>
      <c r="H15" s="167">
        <v>45320</v>
      </c>
      <c r="I15" s="167">
        <v>45384</v>
      </c>
      <c r="J15" s="167">
        <f t="shared" ref="J15:J18" si="5">J14-$C15</f>
        <v>45433</v>
      </c>
      <c r="K15" s="283">
        <v>45464</v>
      </c>
      <c r="L15" s="123">
        <f>L14-$C15</f>
        <v>45693</v>
      </c>
      <c r="M15" s="165">
        <f>M14-$C15</f>
        <v>45753</v>
      </c>
      <c r="N15" s="165">
        <f>N14-$C15</f>
        <v>45753</v>
      </c>
      <c r="O15" s="167">
        <f t="shared" ref="L15:P18" si="6">O14-$C15</f>
        <v>45828.428571428572</v>
      </c>
      <c r="P15" s="168">
        <f t="shared" si="6"/>
        <v>45883.428571428572</v>
      </c>
      <c r="Q15" s="301"/>
      <c r="R15" s="167">
        <f t="shared" ref="R15:S15" si="7">R14-$C15</f>
        <v>45973.428571428572</v>
      </c>
      <c r="S15" s="288">
        <f t="shared" si="7"/>
        <v>45996.428571428572</v>
      </c>
    </row>
    <row r="16" spans="1:19" x14ac:dyDescent="0.3">
      <c r="A16" s="151" t="s">
        <v>161</v>
      </c>
      <c r="B16" s="125"/>
      <c r="C16" s="125">
        <v>17</v>
      </c>
      <c r="D16" s="125"/>
      <c r="E16" s="125"/>
      <c r="F16" s="319"/>
      <c r="G16" s="167">
        <f>G15-$C16</f>
        <v>45253</v>
      </c>
      <c r="H16" s="123">
        <v>45273</v>
      </c>
      <c r="I16" s="167">
        <v>45364</v>
      </c>
      <c r="J16" s="167">
        <f t="shared" si="5"/>
        <v>45416</v>
      </c>
      <c r="K16" s="283">
        <v>45447</v>
      </c>
      <c r="L16" s="123">
        <f t="shared" si="6"/>
        <v>45676</v>
      </c>
      <c r="M16" s="165">
        <f>M15-10</f>
        <v>45743</v>
      </c>
      <c r="N16" s="165">
        <f>N15-10</f>
        <v>45743</v>
      </c>
      <c r="O16" s="167">
        <f t="shared" si="6"/>
        <v>45811.428571428572</v>
      </c>
      <c r="P16" s="168">
        <f t="shared" si="6"/>
        <v>45866.428571428572</v>
      </c>
      <c r="Q16" s="301"/>
      <c r="R16" s="167">
        <f t="shared" ref="R16:S16" si="8">R15-$C16</f>
        <v>45956.428571428572</v>
      </c>
      <c r="S16" s="288">
        <f t="shared" si="8"/>
        <v>45979.428571428572</v>
      </c>
    </row>
    <row r="17" spans="1:26" s="126" customFormat="1" x14ac:dyDescent="0.3">
      <c r="A17" s="152" t="s">
        <v>163</v>
      </c>
      <c r="B17" s="161"/>
      <c r="C17" s="161">
        <v>7</v>
      </c>
      <c r="D17" s="161"/>
      <c r="E17" s="161"/>
      <c r="F17" s="320"/>
      <c r="G17" s="170">
        <f>G16-$C17</f>
        <v>45246</v>
      </c>
      <c r="H17" s="124">
        <v>45240</v>
      </c>
      <c r="I17" s="170">
        <v>45341</v>
      </c>
      <c r="J17" s="170">
        <f t="shared" si="5"/>
        <v>45409</v>
      </c>
      <c r="K17" s="284">
        <v>45440</v>
      </c>
      <c r="L17" s="124">
        <f t="shared" si="6"/>
        <v>45669</v>
      </c>
      <c r="M17" s="170">
        <f t="shared" si="6"/>
        <v>45736</v>
      </c>
      <c r="N17" s="170">
        <f t="shared" si="6"/>
        <v>45736</v>
      </c>
      <c r="O17" s="169">
        <v>45792</v>
      </c>
      <c r="P17" s="171">
        <f t="shared" si="6"/>
        <v>45859.428571428572</v>
      </c>
      <c r="Q17" s="301"/>
      <c r="R17" s="170">
        <f t="shared" ref="R17:S17" si="9">R16-$C17</f>
        <v>45949.428571428572</v>
      </c>
      <c r="S17" s="289">
        <f t="shared" si="9"/>
        <v>45972.428571428572</v>
      </c>
    </row>
    <row r="18" spans="1:26" s="128" customFormat="1" x14ac:dyDescent="0.3">
      <c r="A18" s="152" t="s">
        <v>157</v>
      </c>
      <c r="B18" s="162"/>
      <c r="C18" s="162">
        <v>14</v>
      </c>
      <c r="D18" s="162"/>
      <c r="E18" s="162"/>
      <c r="F18" s="319"/>
      <c r="G18" s="170">
        <f>G17-$C18</f>
        <v>45232</v>
      </c>
      <c r="H18" s="170">
        <f>H17-$C18</f>
        <v>45226</v>
      </c>
      <c r="I18" s="170">
        <f>I17-$C18</f>
        <v>45327</v>
      </c>
      <c r="J18" s="170">
        <f t="shared" si="5"/>
        <v>45395</v>
      </c>
      <c r="K18" s="284">
        <v>45426</v>
      </c>
      <c r="L18" s="124">
        <f t="shared" si="6"/>
        <v>45655</v>
      </c>
      <c r="M18" s="170">
        <f t="shared" si="6"/>
        <v>45722</v>
      </c>
      <c r="N18" s="170">
        <f t="shared" si="6"/>
        <v>45722</v>
      </c>
      <c r="O18" s="169">
        <v>45782</v>
      </c>
      <c r="P18" s="171">
        <f t="shared" si="6"/>
        <v>45845.428571428572</v>
      </c>
      <c r="Q18" s="301"/>
      <c r="R18" s="170">
        <f t="shared" ref="R18:S18" si="10">R17-$C18</f>
        <v>45935.428571428572</v>
      </c>
      <c r="S18" s="289">
        <f t="shared" si="10"/>
        <v>45958.428571428572</v>
      </c>
    </row>
    <row r="19" spans="1:26" ht="3" customHeight="1" x14ac:dyDescent="0.3">
      <c r="A19" s="153"/>
      <c r="B19" s="133"/>
      <c r="C19" s="133"/>
      <c r="D19" s="133"/>
      <c r="E19" s="133"/>
      <c r="F19" s="319"/>
      <c r="G19" s="129"/>
      <c r="H19" s="129"/>
      <c r="I19" s="129"/>
      <c r="J19" s="129"/>
      <c r="K19" s="147"/>
      <c r="L19" s="129"/>
      <c r="M19" s="129"/>
      <c r="N19" s="129"/>
      <c r="O19" s="129"/>
      <c r="P19" s="129"/>
      <c r="R19" s="297"/>
      <c r="S19" s="129"/>
    </row>
    <row r="20" spans="1:26" s="141" customFormat="1" x14ac:dyDescent="0.3">
      <c r="A20" s="60" t="s">
        <v>164</v>
      </c>
      <c r="B20" s="140"/>
      <c r="C20" s="140"/>
      <c r="D20" s="140"/>
      <c r="E20" s="140"/>
      <c r="F20" s="321"/>
      <c r="G20" s="193" t="s">
        <v>148</v>
      </c>
      <c r="H20" s="193" t="s">
        <v>127</v>
      </c>
      <c r="I20" s="193" t="s">
        <v>128</v>
      </c>
      <c r="J20" s="193" t="s">
        <v>129</v>
      </c>
      <c r="K20" s="194" t="s">
        <v>130</v>
      </c>
      <c r="L20" s="193" t="s">
        <v>138</v>
      </c>
      <c r="M20" s="193" t="s">
        <v>142</v>
      </c>
      <c r="N20" s="193" t="s">
        <v>143</v>
      </c>
      <c r="O20" s="193" t="s">
        <v>171</v>
      </c>
      <c r="P20" s="266" t="s">
        <v>172</v>
      </c>
      <c r="Q20" s="350"/>
      <c r="R20" s="193" t="s">
        <v>171</v>
      </c>
      <c r="S20" s="303" t="s">
        <v>172</v>
      </c>
    </row>
    <row r="21" spans="1:26" x14ac:dyDescent="0.3">
      <c r="A21" s="187" t="s">
        <v>165</v>
      </c>
      <c r="B21" s="188"/>
      <c r="C21" s="188"/>
      <c r="D21" s="188"/>
      <c r="E21" s="188"/>
      <c r="F21" s="322"/>
      <c r="G21" s="246">
        <v>45313</v>
      </c>
      <c r="H21" s="246">
        <v>45369</v>
      </c>
      <c r="I21" s="246">
        <v>45450</v>
      </c>
      <c r="J21" s="246">
        <v>45511</v>
      </c>
      <c r="K21" s="336">
        <v>45691</v>
      </c>
      <c r="L21" s="246">
        <v>45755</v>
      </c>
      <c r="M21" s="247">
        <f>M6+6</f>
        <v>45796</v>
      </c>
      <c r="N21" s="247">
        <f>N5-4</f>
        <v>45852</v>
      </c>
      <c r="O21" s="247">
        <f>O5+2</f>
        <v>45909</v>
      </c>
      <c r="P21" s="267">
        <f t="shared" ref="P21" si="11">P5-2</f>
        <v>45960</v>
      </c>
      <c r="Q21" s="301"/>
      <c r="R21" s="247">
        <f t="shared" ref="R21" si="12">R5-2</f>
        <v>46050</v>
      </c>
      <c r="S21" s="304">
        <f>S5+9</f>
        <v>46084</v>
      </c>
      <c r="U21" s="141"/>
      <c r="V21" s="141"/>
      <c r="W21" s="141"/>
      <c r="X21" s="141"/>
      <c r="Y21" s="141"/>
      <c r="Z21" s="141"/>
    </row>
    <row r="22" spans="1:26" x14ac:dyDescent="0.3">
      <c r="A22" s="187" t="s">
        <v>166</v>
      </c>
      <c r="B22" s="188"/>
      <c r="C22" s="188"/>
      <c r="D22" s="188"/>
      <c r="E22" s="188"/>
      <c r="F22" s="323"/>
      <c r="G22" s="246">
        <v>45338</v>
      </c>
      <c r="H22" s="246">
        <v>45404</v>
      </c>
      <c r="I22" s="246">
        <v>45477</v>
      </c>
      <c r="J22" s="246">
        <v>45537</v>
      </c>
      <c r="K22" s="336">
        <f>K21+28</f>
        <v>45719</v>
      </c>
      <c r="L22" s="246">
        <v>45777</v>
      </c>
      <c r="M22" s="247">
        <f>M21+25</f>
        <v>45821</v>
      </c>
      <c r="N22" s="247">
        <f t="shared" ref="N22" si="13">N21+20</f>
        <v>45872</v>
      </c>
      <c r="O22" s="247">
        <f>O21+23</f>
        <v>45932</v>
      </c>
      <c r="P22" s="267">
        <f>P21+25</f>
        <v>45985</v>
      </c>
      <c r="Q22" s="301"/>
      <c r="R22" s="247">
        <f t="shared" ref="R22" si="14">R21+20</f>
        <v>46070</v>
      </c>
      <c r="S22" s="304">
        <f>S21+15</f>
        <v>46099</v>
      </c>
      <c r="U22" s="141"/>
      <c r="V22" s="141"/>
      <c r="W22" s="141"/>
      <c r="X22" s="141"/>
      <c r="Y22" s="141"/>
      <c r="Z22" s="141"/>
    </row>
    <row r="23" spans="1:26" x14ac:dyDescent="0.3">
      <c r="A23" s="187" t="s">
        <v>167</v>
      </c>
      <c r="B23" s="188"/>
      <c r="C23" s="188"/>
      <c r="D23" s="188"/>
      <c r="E23" s="188"/>
      <c r="F23" s="324"/>
      <c r="G23" s="246">
        <v>45349</v>
      </c>
      <c r="H23" s="246">
        <v>45425</v>
      </c>
      <c r="I23" s="246">
        <v>45495</v>
      </c>
      <c r="J23" s="246">
        <v>45561</v>
      </c>
      <c r="K23" s="334"/>
      <c r="L23" s="278"/>
      <c r="M23" s="278"/>
      <c r="N23" s="278"/>
      <c r="O23" s="278"/>
      <c r="P23" s="277"/>
      <c r="Q23" s="301"/>
      <c r="R23" s="278"/>
      <c r="S23" s="304">
        <f t="shared" ref="S23" si="15">S22+15</f>
        <v>46114</v>
      </c>
      <c r="U23" s="141"/>
      <c r="V23" s="141"/>
      <c r="W23" s="141"/>
      <c r="X23" s="141"/>
      <c r="Y23" s="141"/>
      <c r="Z23" s="141"/>
    </row>
    <row r="24" spans="1:26" s="190" customFormat="1" x14ac:dyDescent="0.3">
      <c r="A24" s="189" t="s">
        <v>196</v>
      </c>
      <c r="B24" s="192"/>
      <c r="C24" s="192" t="s">
        <v>181</v>
      </c>
      <c r="D24" s="192"/>
      <c r="E24" s="192"/>
      <c r="F24" s="325"/>
      <c r="G24" s="192"/>
      <c r="H24" s="192">
        <f>H21-G23</f>
        <v>20</v>
      </c>
      <c r="I24" s="131">
        <f>I21-H23</f>
        <v>25</v>
      </c>
      <c r="J24" s="131">
        <f>J21-I23</f>
        <v>16</v>
      </c>
      <c r="K24" s="252">
        <f>K21-DATE(2025,1,3)</f>
        <v>31</v>
      </c>
      <c r="L24" s="192">
        <f>L21-K22</f>
        <v>36</v>
      </c>
      <c r="M24" s="192">
        <f>M21-L22</f>
        <v>19</v>
      </c>
      <c r="N24" s="131">
        <f>N21-M22</f>
        <v>31</v>
      </c>
      <c r="O24" s="131">
        <f>O21-N22</f>
        <v>37</v>
      </c>
      <c r="P24" s="237">
        <f>P21-O22</f>
        <v>28</v>
      </c>
      <c r="Q24" s="351"/>
      <c r="R24" s="131">
        <f>R21-P22</f>
        <v>65</v>
      </c>
      <c r="S24" s="305">
        <f>S21-R22</f>
        <v>14</v>
      </c>
      <c r="U24" s="191"/>
      <c r="V24" s="191"/>
      <c r="W24" s="191"/>
      <c r="X24" s="191"/>
      <c r="Y24" s="191"/>
      <c r="Z24" s="191"/>
    </row>
    <row r="25" spans="1:26" s="190" customFormat="1" x14ac:dyDescent="0.3">
      <c r="A25" s="189" t="s">
        <v>197</v>
      </c>
      <c r="B25" s="192"/>
      <c r="C25" s="192" t="s">
        <v>181</v>
      </c>
      <c r="D25" s="192"/>
      <c r="E25" s="192"/>
      <c r="F25" s="326"/>
      <c r="G25" s="192">
        <f t="shared" ref="G25:S25" si="16">G22-G21</f>
        <v>25</v>
      </c>
      <c r="H25" s="192">
        <f t="shared" si="16"/>
        <v>35</v>
      </c>
      <c r="I25" s="131">
        <f t="shared" si="16"/>
        <v>27</v>
      </c>
      <c r="J25" s="131">
        <f t="shared" si="16"/>
        <v>26</v>
      </c>
      <c r="K25" s="252">
        <f t="shared" si="16"/>
        <v>28</v>
      </c>
      <c r="L25" s="192">
        <f t="shared" si="16"/>
        <v>22</v>
      </c>
      <c r="M25" s="192">
        <f t="shared" si="16"/>
        <v>25</v>
      </c>
      <c r="N25" s="131">
        <f t="shared" si="16"/>
        <v>20</v>
      </c>
      <c r="O25" s="131">
        <f t="shared" si="16"/>
        <v>23</v>
      </c>
      <c r="P25" s="237">
        <f t="shared" si="16"/>
        <v>25</v>
      </c>
      <c r="Q25" s="351"/>
      <c r="R25" s="131">
        <f t="shared" si="16"/>
        <v>20</v>
      </c>
      <c r="S25" s="305">
        <f t="shared" si="16"/>
        <v>15</v>
      </c>
      <c r="U25" s="191"/>
      <c r="V25" s="191"/>
      <c r="W25" s="191"/>
      <c r="X25" s="191"/>
      <c r="Y25" s="191"/>
      <c r="Z25" s="191"/>
    </row>
    <row r="26" spans="1:26" s="190" customFormat="1" x14ac:dyDescent="0.3">
      <c r="A26" s="189" t="s">
        <v>198</v>
      </c>
      <c r="B26" s="192"/>
      <c r="C26" s="192" t="s">
        <v>181</v>
      </c>
      <c r="D26" s="192"/>
      <c r="E26" s="192"/>
      <c r="F26" s="327"/>
      <c r="G26" s="192">
        <f>G23-G22</f>
        <v>11</v>
      </c>
      <c r="H26" s="192">
        <f>H23-H22</f>
        <v>21</v>
      </c>
      <c r="I26" s="131">
        <f>I23-I22</f>
        <v>18</v>
      </c>
      <c r="J26" s="131">
        <f>J23-J22</f>
        <v>24</v>
      </c>
      <c r="K26" s="335"/>
      <c r="L26" s="280"/>
      <c r="M26" s="279"/>
      <c r="N26" s="279"/>
      <c r="O26" s="280"/>
      <c r="P26" s="281"/>
      <c r="Q26" s="351"/>
      <c r="R26" s="280"/>
      <c r="S26" s="305">
        <f>S23-S22</f>
        <v>15</v>
      </c>
      <c r="U26" s="191"/>
      <c r="V26" s="191"/>
      <c r="W26" s="191"/>
      <c r="X26" s="191"/>
      <c r="Y26" s="191"/>
      <c r="Z26" s="191"/>
    </row>
    <row r="27" spans="1:26" ht="3" customHeight="1" x14ac:dyDescent="0.3">
      <c r="A27" s="153"/>
      <c r="B27" s="133"/>
      <c r="C27" s="133"/>
      <c r="D27" s="133"/>
      <c r="E27" s="133"/>
      <c r="F27" s="328"/>
      <c r="G27" s="172"/>
      <c r="H27" s="172"/>
      <c r="I27" s="172"/>
      <c r="J27" s="172"/>
      <c r="K27" s="173"/>
      <c r="L27" s="172"/>
      <c r="M27" s="172"/>
      <c r="N27" s="172"/>
      <c r="O27" s="172"/>
      <c r="P27" s="172"/>
      <c r="Q27" s="172"/>
      <c r="R27" s="296"/>
      <c r="S27" s="172"/>
      <c r="U27" s="141"/>
      <c r="V27" s="141"/>
      <c r="W27" s="141"/>
      <c r="X27" s="141"/>
      <c r="Y27" s="141"/>
      <c r="Z27" s="141"/>
    </row>
    <row r="28" spans="1:26" s="126" customFormat="1" x14ac:dyDescent="0.3">
      <c r="A28" s="211" t="s">
        <v>183</v>
      </c>
      <c r="B28" s="142"/>
      <c r="C28" s="142">
        <f>SUM(G28:M28)/SUM(G36:M36)</f>
        <v>1675571.3019389957</v>
      </c>
      <c r="D28" s="142"/>
      <c r="E28" s="142"/>
      <c r="F28" s="133"/>
      <c r="G28" s="134">
        <f>(1426062.44-60030)*2169+(990872.0152-4968)*2182</f>
        <v>5114166923.5263996</v>
      </c>
      <c r="H28" s="134">
        <f>(1400000-84825)*2183+(1995189.02-5083)*2240</f>
        <v>7328864509.8000002</v>
      </c>
      <c r="I28" s="134">
        <f>(2171220.75-86275)*2210+(1977411.02-5083)*2218</f>
        <v>8982353655.8600006</v>
      </c>
      <c r="J28" s="223">
        <f>(6304027.634)*2227</f>
        <v>14039069540.917999</v>
      </c>
      <c r="K28" s="307">
        <f>(1155118.42+73.44)*2205+(1466230+73.09)*2244+80000+80000</f>
        <v>5837742185.2600002</v>
      </c>
      <c r="L28" s="134">
        <f>(1258955.72-4166+72.71)*2278+80000</f>
        <v>2858656615.54</v>
      </c>
      <c r="M28" s="365">
        <f>2082936.461564*2300.1</f>
        <v>4790962155.2433558</v>
      </c>
      <c r="N28" s="160">
        <f>N$36*$C28</f>
        <v>2478572941.0707726</v>
      </c>
      <c r="O28" s="160">
        <f t="shared" ref="O28:S28" si="17">O$36*$C28</f>
        <v>3098216176.3384657</v>
      </c>
      <c r="P28" s="268">
        <f t="shared" si="17"/>
        <v>3098216176.3384657</v>
      </c>
      <c r="Q28" s="352"/>
      <c r="R28" s="160">
        <f t="shared" si="17"/>
        <v>0</v>
      </c>
      <c r="S28" s="306">
        <f t="shared" si="17"/>
        <v>0</v>
      </c>
      <c r="U28" s="141"/>
      <c r="V28" s="141"/>
      <c r="W28" s="141"/>
      <c r="X28" s="141"/>
      <c r="Y28" s="141"/>
      <c r="Z28" s="141"/>
    </row>
    <row r="29" spans="1:26" s="126" customFormat="1" x14ac:dyDescent="0.3">
      <c r="A29" s="151" t="s">
        <v>176</v>
      </c>
      <c r="B29" s="142"/>
      <c r="C29" s="308">
        <f>SUM(G29:M29)/SUM(G37:M37)</f>
        <v>25825799.421518985</v>
      </c>
      <c r="D29" s="142"/>
      <c r="E29" s="142"/>
      <c r="F29" s="133"/>
      <c r="G29" s="134">
        <f>60030*2169</f>
        <v>130205070</v>
      </c>
      <c r="H29" s="134">
        <f>84825*2183</f>
        <v>185172975</v>
      </c>
      <c r="I29" s="134">
        <f>86275*2210</f>
        <v>190667750</v>
      </c>
      <c r="J29" s="224">
        <f>J37*(20328*2227)</f>
        <v>995950032</v>
      </c>
      <c r="K29" s="339">
        <f>(K37*1830*7.25)*2245</f>
        <v>268069837.5</v>
      </c>
      <c r="L29" s="134">
        <f>(L37*1290*7.25)*2278</f>
        <v>106524975</v>
      </c>
      <c r="M29" s="160">
        <f>71148*2300.1</f>
        <v>163647514.79999998</v>
      </c>
      <c r="N29" s="160">
        <f>N37*$C$29</f>
        <v>103303197.68607594</v>
      </c>
      <c r="O29" s="160">
        <f t="shared" ref="O29:P29" si="18">O37*$C$29</f>
        <v>129128997.10759492</v>
      </c>
      <c r="P29" s="268">
        <f t="shared" si="18"/>
        <v>129128997.10759492</v>
      </c>
      <c r="Q29" s="352"/>
      <c r="R29" s="160">
        <f t="shared" ref="R29:S29" si="19">R37*$C$29</f>
        <v>0</v>
      </c>
      <c r="S29" s="306">
        <f t="shared" si="19"/>
        <v>0</v>
      </c>
      <c r="U29" s="141"/>
      <c r="V29" s="141"/>
      <c r="W29" s="141"/>
      <c r="X29" s="141"/>
      <c r="Y29" s="141"/>
      <c r="Z29" s="141"/>
    </row>
    <row r="30" spans="1:26" s="126" customFormat="1" x14ac:dyDescent="0.3">
      <c r="A30" s="151" t="s">
        <v>177</v>
      </c>
      <c r="B30" s="142"/>
      <c r="C30" s="142">
        <f>AVERAGE(G30:I30,K30:M30)</f>
        <v>10057003.5</v>
      </c>
      <c r="D30" s="142"/>
      <c r="E30" s="142"/>
      <c r="F30" s="133"/>
      <c r="G30" s="134">
        <f>4968*2182</f>
        <v>10840176</v>
      </c>
      <c r="H30" s="134">
        <f>5083*2240</f>
        <v>11385920</v>
      </c>
      <c r="I30" s="134">
        <f>5083*2218</f>
        <v>11274094</v>
      </c>
      <c r="J30" s="207">
        <f>$C$30</f>
        <v>10057003.5</v>
      </c>
      <c r="K30" s="307">
        <f>4798*2245</f>
        <v>10771510</v>
      </c>
      <c r="L30" s="134">
        <f>3248*2278</f>
        <v>7398944</v>
      </c>
      <c r="M30" s="160">
        <f>3770*2300.1</f>
        <v>8671377</v>
      </c>
      <c r="N30" s="160">
        <f t="shared" ref="N30:S30" si="20">$C$30</f>
        <v>10057003.5</v>
      </c>
      <c r="O30" s="160">
        <f t="shared" si="20"/>
        <v>10057003.5</v>
      </c>
      <c r="P30" s="268">
        <f t="shared" si="20"/>
        <v>10057003.5</v>
      </c>
      <c r="Q30" s="352"/>
      <c r="R30" s="160">
        <f t="shared" si="20"/>
        <v>10057003.5</v>
      </c>
      <c r="S30" s="290">
        <f t="shared" si="20"/>
        <v>10057003.5</v>
      </c>
      <c r="U30" s="141"/>
      <c r="V30" s="141"/>
      <c r="W30" s="141"/>
      <c r="X30" s="141"/>
      <c r="Y30" s="141"/>
      <c r="Z30" s="141"/>
    </row>
    <row r="31" spans="1:26" s="126" customFormat="1" x14ac:dyDescent="0.3">
      <c r="A31" s="151" t="s">
        <v>150</v>
      </c>
      <c r="B31" s="308"/>
      <c r="C31" s="308">
        <f>SUM(G31:M31)/SUM(G28:M28)</f>
        <v>0.24997398471289184</v>
      </c>
      <c r="D31" s="308"/>
      <c r="E31" s="308"/>
      <c r="F31" s="133"/>
      <c r="G31" s="134">
        <v>1262255128</v>
      </c>
      <c r="H31" s="134">
        <v>1786650361</v>
      </c>
      <c r="I31" s="134">
        <v>2234213420</v>
      </c>
      <c r="J31" s="134">
        <v>3617941268</v>
      </c>
      <c r="K31" s="307">
        <f>1417833643+10469375</f>
        <v>1428303018</v>
      </c>
      <c r="L31" s="134">
        <v>710006779</v>
      </c>
      <c r="M31" s="134">
        <v>1197310427</v>
      </c>
      <c r="N31" s="160">
        <f>N$28*$C31</f>
        <v>619578754.4810127</v>
      </c>
      <c r="O31" s="160">
        <f t="shared" ref="O31:S31" si="21">O$28*$C31</f>
        <v>774473443.10126579</v>
      </c>
      <c r="P31" s="268">
        <f t="shared" si="21"/>
        <v>774473443.10126579</v>
      </c>
      <c r="Q31" s="352"/>
      <c r="R31" s="160">
        <f t="shared" si="21"/>
        <v>0</v>
      </c>
      <c r="S31" s="290">
        <f t="shared" si="21"/>
        <v>0</v>
      </c>
    </row>
    <row r="32" spans="1:26" s="126" customFormat="1" x14ac:dyDescent="0.3">
      <c r="A32" s="151" t="s">
        <v>152</v>
      </c>
      <c r="B32" s="142"/>
      <c r="C32" s="142">
        <f>AVERAGE(G32:M32)</f>
        <v>64939783.714285716</v>
      </c>
      <c r="D32" s="142"/>
      <c r="E32" s="142"/>
      <c r="F32" s="133"/>
      <c r="G32" s="134">
        <v>92352212</v>
      </c>
      <c r="H32" s="134">
        <v>65769826</v>
      </c>
      <c r="I32" s="134">
        <f>30879700+27998176</f>
        <v>58877876</v>
      </c>
      <c r="J32" s="134">
        <f>44619150+28205712</f>
        <v>72824862</v>
      </c>
      <c r="K32" s="307">
        <f>39714150+703676+28251056</f>
        <v>68668882</v>
      </c>
      <c r="L32" s="134">
        <f>28536200+17826781</f>
        <v>46362981</v>
      </c>
      <c r="M32" s="134">
        <f>28536200+21185647</f>
        <v>49721847</v>
      </c>
      <c r="N32" s="160">
        <f t="shared" ref="N32:S32" si="22">$C$32</f>
        <v>64939783.714285716</v>
      </c>
      <c r="O32" s="160">
        <f t="shared" si="22"/>
        <v>64939783.714285716</v>
      </c>
      <c r="P32" s="268">
        <f t="shared" si="22"/>
        <v>64939783.714285716</v>
      </c>
      <c r="Q32" s="352"/>
      <c r="R32" s="160">
        <f t="shared" si="22"/>
        <v>64939783.714285716</v>
      </c>
      <c r="S32" s="290">
        <f t="shared" si="22"/>
        <v>64939783.714285716</v>
      </c>
    </row>
    <row r="33" spans="1:26" s="126" customFormat="1" x14ac:dyDescent="0.3">
      <c r="A33" s="151" t="s">
        <v>151</v>
      </c>
      <c r="B33" s="142"/>
      <c r="C33" s="308">
        <f>SUM(G33:M33)/SUM(G37:M37)</f>
        <v>15316067.369240507</v>
      </c>
      <c r="D33" s="142"/>
      <c r="E33" s="142"/>
      <c r="F33" s="133"/>
      <c r="G33" s="134">
        <v>150632492.81</v>
      </c>
      <c r="H33" s="134">
        <v>191512072.37</v>
      </c>
      <c r="I33" s="134">
        <v>303716509.86000001</v>
      </c>
      <c r="J33" s="134">
        <v>339815079.77999997</v>
      </c>
      <c r="K33" s="307">
        <v>76895756.349999994</v>
      </c>
      <c r="L33" s="134">
        <v>80910942.5</v>
      </c>
      <c r="M33" s="134">
        <v>66486468.5</v>
      </c>
      <c r="N33" s="160">
        <f t="shared" ref="N33:S33" si="23">N$37*$C33</f>
        <v>61264269.47696203</v>
      </c>
      <c r="O33" s="160">
        <f t="shared" si="23"/>
        <v>76580336.846202537</v>
      </c>
      <c r="P33" s="268">
        <f t="shared" si="23"/>
        <v>76580336.846202537</v>
      </c>
      <c r="Q33" s="352"/>
      <c r="R33" s="160">
        <f t="shared" si="23"/>
        <v>0</v>
      </c>
      <c r="S33" s="290">
        <f t="shared" si="23"/>
        <v>0</v>
      </c>
    </row>
    <row r="34" spans="1:26" s="213" customFormat="1" x14ac:dyDescent="0.3">
      <c r="A34" s="212" t="s">
        <v>153</v>
      </c>
      <c r="B34" s="142"/>
      <c r="C34" s="142">
        <v>0</v>
      </c>
      <c r="D34" s="142"/>
      <c r="E34" s="142"/>
      <c r="F34" s="133"/>
      <c r="G34" s="142">
        <f>SUM(G29:G33)</f>
        <v>1646285078.8099999</v>
      </c>
      <c r="H34" s="142">
        <f t="shared" ref="H34:P34" si="24">SUM(H29:H33)</f>
        <v>2240491154.3699999</v>
      </c>
      <c r="I34" s="142">
        <f t="shared" si="24"/>
        <v>2798749649.8600001</v>
      </c>
      <c r="J34" s="142">
        <f t="shared" si="24"/>
        <v>5036588245.2799997</v>
      </c>
      <c r="K34" s="180">
        <f t="shared" si="24"/>
        <v>1852709003.8499999</v>
      </c>
      <c r="L34" s="142">
        <f t="shared" si="24"/>
        <v>951204621.5</v>
      </c>
      <c r="M34" s="142">
        <f t="shared" si="24"/>
        <v>1485837634.3</v>
      </c>
      <c r="N34" s="142">
        <f t="shared" si="24"/>
        <v>859143008.85833645</v>
      </c>
      <c r="O34" s="142">
        <f t="shared" si="24"/>
        <v>1055179564.2693489</v>
      </c>
      <c r="P34" s="269">
        <f t="shared" si="24"/>
        <v>1055179564.2693489</v>
      </c>
      <c r="Q34" s="353"/>
      <c r="R34" s="142">
        <f t="shared" ref="R34:S34" si="25">SUM(R29:R33)</f>
        <v>74996787.214285716</v>
      </c>
      <c r="S34" s="291">
        <f t="shared" si="25"/>
        <v>74996787.214285716</v>
      </c>
    </row>
    <row r="35" spans="1:26" s="126" customFormat="1" x14ac:dyDescent="0.3">
      <c r="A35" s="154" t="s">
        <v>182</v>
      </c>
      <c r="B35" s="143"/>
      <c r="C35" s="143">
        <v>0</v>
      </c>
      <c r="D35" s="143"/>
      <c r="E35" s="143"/>
      <c r="F35" s="133"/>
      <c r="G35" s="143">
        <f>SUM(G28:G33)</f>
        <v>6760452002.3364</v>
      </c>
      <c r="H35" s="143">
        <f t="shared" ref="H35:P35" si="26">SUM(H28:H33)</f>
        <v>9569355664.1700001</v>
      </c>
      <c r="I35" s="143">
        <f t="shared" si="26"/>
        <v>11781103305.720001</v>
      </c>
      <c r="J35" s="143">
        <f>SUM(J28:J33)</f>
        <v>19075657786.197998</v>
      </c>
      <c r="K35" s="178">
        <f t="shared" si="26"/>
        <v>7690451189.1100006</v>
      </c>
      <c r="L35" s="143">
        <f t="shared" si="26"/>
        <v>3809861237.04</v>
      </c>
      <c r="M35" s="143">
        <f t="shared" si="26"/>
        <v>6276799789.5433559</v>
      </c>
      <c r="N35" s="143">
        <f t="shared" si="26"/>
        <v>3337715949.9291096</v>
      </c>
      <c r="O35" s="143">
        <f t="shared" si="26"/>
        <v>4153395740.6078148</v>
      </c>
      <c r="P35" s="270">
        <f t="shared" si="26"/>
        <v>4153395740.6078148</v>
      </c>
      <c r="Q35" s="354"/>
      <c r="R35" s="143">
        <f t="shared" ref="R35:S35" si="27">SUM(R28:R33)</f>
        <v>74996787.214285716</v>
      </c>
      <c r="S35" s="292">
        <f t="shared" si="27"/>
        <v>74996787.214285716</v>
      </c>
    </row>
    <row r="36" spans="1:26" x14ac:dyDescent="0.3">
      <c r="A36" s="152" t="s">
        <v>154</v>
      </c>
      <c r="B36" s="222"/>
      <c r="C36" s="222">
        <f>SUM(G36:M36)/SUM(G37:M37)</f>
        <v>369.81012658227849</v>
      </c>
      <c r="D36" s="222"/>
      <c r="E36" s="222"/>
      <c r="G36" s="134">
        <v>3371</v>
      </c>
      <c r="H36" s="134">
        <v>4329</v>
      </c>
      <c r="I36" s="134">
        <v>5494</v>
      </c>
      <c r="J36" s="224">
        <v>8959</v>
      </c>
      <c r="K36" s="307">
        <v>2997</v>
      </c>
      <c r="L36" s="134">
        <v>1659</v>
      </c>
      <c r="M36" s="134">
        <v>2406</v>
      </c>
      <c r="N36" s="160">
        <f t="shared" ref="N36:S36" si="28">N37*$C$36</f>
        <v>1479.2405063291139</v>
      </c>
      <c r="O36" s="160">
        <f t="shared" si="28"/>
        <v>1849.0506329113923</v>
      </c>
      <c r="P36" s="268">
        <f t="shared" si="28"/>
        <v>1849.0506329113923</v>
      </c>
      <c r="Q36" s="352"/>
      <c r="R36" s="160">
        <f t="shared" si="28"/>
        <v>0</v>
      </c>
      <c r="S36" s="290">
        <f t="shared" si="28"/>
        <v>0</v>
      </c>
      <c r="T36" s="340">
        <f>SUM(K36:S36)</f>
        <v>12239.341772151898</v>
      </c>
    </row>
    <row r="37" spans="1:26" x14ac:dyDescent="0.3">
      <c r="A37" s="152" t="s">
        <v>155</v>
      </c>
      <c r="B37" s="208"/>
      <c r="C37" s="208">
        <v>0</v>
      </c>
      <c r="D37" s="208"/>
      <c r="E37" s="208"/>
      <c r="G37" s="182">
        <v>9</v>
      </c>
      <c r="H37" s="182">
        <v>13</v>
      </c>
      <c r="I37" s="182">
        <v>14</v>
      </c>
      <c r="J37" s="182">
        <v>22</v>
      </c>
      <c r="K37" s="148">
        <v>9</v>
      </c>
      <c r="L37" s="144">
        <v>5</v>
      </c>
      <c r="M37" s="144">
        <v>7</v>
      </c>
      <c r="N37" s="144">
        <v>4</v>
      </c>
      <c r="O37" s="144">
        <v>5</v>
      </c>
      <c r="P37" s="271">
        <v>5</v>
      </c>
      <c r="Q37" s="355"/>
      <c r="R37" s="144">
        <v>0</v>
      </c>
      <c r="S37" s="293">
        <v>0</v>
      </c>
      <c r="T37" s="190">
        <f>SUM(K37:P37)</f>
        <v>35</v>
      </c>
    </row>
    <row r="38" spans="1:26" s="126" customFormat="1" x14ac:dyDescent="0.3">
      <c r="A38" s="158" t="s">
        <v>156</v>
      </c>
      <c r="B38" s="206"/>
      <c r="C38" s="206">
        <f>SUM(G38:L38)/SUM(G35:L35)</f>
        <v>1.2323200422347418</v>
      </c>
      <c r="D38" s="206"/>
      <c r="E38" s="206"/>
      <c r="F38" s="133"/>
      <c r="G38" s="134">
        <v>8538114000</v>
      </c>
      <c r="H38" s="134">
        <v>11785210000</v>
      </c>
      <c r="I38" s="134">
        <v>14228214000</v>
      </c>
      <c r="J38" s="134">
        <v>23615040800</v>
      </c>
      <c r="K38" s="307">
        <v>9164564100</v>
      </c>
      <c r="L38" s="134">
        <v>4989877000</v>
      </c>
      <c r="M38" s="134">
        <v>7688674800</v>
      </c>
      <c r="N38" s="160">
        <f t="shared" ref="N38:S38" si="29">N35*$C$38</f>
        <v>4113134260.3842115</v>
      </c>
      <c r="O38" s="160">
        <f t="shared" si="29"/>
        <v>5118312814.4834194</v>
      </c>
      <c r="P38" s="268">
        <f t="shared" si="29"/>
        <v>5118312814.4834194</v>
      </c>
      <c r="Q38" s="352"/>
      <c r="R38" s="160">
        <f t="shared" si="29"/>
        <v>92420043.987378523</v>
      </c>
      <c r="S38" s="290">
        <f t="shared" si="29"/>
        <v>92420043.987378523</v>
      </c>
      <c r="T38" s="340">
        <f>SUM(K38:P38)</f>
        <v>36192875789.351051</v>
      </c>
    </row>
    <row r="39" spans="1:26" s="126" customFormat="1" x14ac:dyDescent="0.3">
      <c r="A39" s="158" t="s">
        <v>178</v>
      </c>
      <c r="B39" s="134"/>
      <c r="C39" s="134">
        <v>67</v>
      </c>
      <c r="D39" s="134"/>
      <c r="E39" s="134"/>
      <c r="F39" s="133"/>
      <c r="G39" s="142">
        <f t="shared" ref="G39:P39" si="30">SUM(G29:G33)/G37/$C$39</f>
        <v>2730157.6763018239</v>
      </c>
      <c r="H39" s="142">
        <f t="shared" si="30"/>
        <v>2572320.4987026402</v>
      </c>
      <c r="I39" s="142">
        <f t="shared" si="30"/>
        <v>2983741.6309808106</v>
      </c>
      <c r="J39" s="142">
        <f t="shared" si="30"/>
        <v>3416952.6765807322</v>
      </c>
      <c r="K39" s="180">
        <f>SUM(K29:K33)/K37/$C$39</f>
        <v>3072485.9101990047</v>
      </c>
      <c r="L39" s="142">
        <f>SUM(L29:L33)/L37/$C$39</f>
        <v>2839416.7805970153</v>
      </c>
      <c r="M39" s="142">
        <f>SUM(M29:M33)/M37/$C$39</f>
        <v>3168097.3012793176</v>
      </c>
      <c r="N39" s="142">
        <f t="shared" si="30"/>
        <v>3205757.4957400612</v>
      </c>
      <c r="O39" s="142">
        <f t="shared" si="30"/>
        <v>3149789.7440876085</v>
      </c>
      <c r="P39" s="269">
        <f t="shared" si="30"/>
        <v>3149789.7440876085</v>
      </c>
      <c r="Q39" s="353"/>
      <c r="R39" s="142" t="e">
        <f t="shared" ref="R39:S39" si="31">SUM(R29:R33)/R37/$C$39</f>
        <v>#DIV/0!</v>
      </c>
      <c r="S39" s="291" t="e">
        <f t="shared" si="31"/>
        <v>#DIV/0!</v>
      </c>
    </row>
    <row r="40" spans="1:26" s="127" customFormat="1" x14ac:dyDescent="0.3">
      <c r="A40" s="159" t="s">
        <v>126</v>
      </c>
      <c r="B40" s="135"/>
      <c r="C40" s="135">
        <v>0</v>
      </c>
      <c r="D40" s="135"/>
      <c r="E40" s="135"/>
      <c r="F40" s="133"/>
      <c r="G40" s="130">
        <v>0</v>
      </c>
      <c r="H40" s="130">
        <f>(H6-G6)/30.4</f>
        <v>1.9407894736842106</v>
      </c>
      <c r="I40" s="130">
        <f>(I6-H6)/30.4</f>
        <v>2.3684210526315792</v>
      </c>
      <c r="J40" s="130">
        <f>(J6-I6)/30.4</f>
        <v>1.875</v>
      </c>
      <c r="K40" s="179">
        <f>(K6-J6)/30.4</f>
        <v>6.1842105263157894</v>
      </c>
      <c r="L40" s="130">
        <f t="shared" ref="L40:S40" si="32">(L6-K6)/30.4</f>
        <v>1.381578947368421</v>
      </c>
      <c r="M40" s="130">
        <f t="shared" si="32"/>
        <v>1.7763157894736843</v>
      </c>
      <c r="N40" s="130">
        <f t="shared" si="32"/>
        <v>2.1710526315789473</v>
      </c>
      <c r="O40" s="130">
        <f t="shared" si="32"/>
        <v>1.5460526315789473</v>
      </c>
      <c r="P40" s="272">
        <f t="shared" si="32"/>
        <v>1.8092105263157896</v>
      </c>
      <c r="Q40" s="356"/>
      <c r="R40" s="130">
        <f>(R6-P6)/30.4</f>
        <v>2.9605263157894739</v>
      </c>
      <c r="S40" s="294">
        <f t="shared" si="32"/>
        <v>0.75657894736842113</v>
      </c>
    </row>
    <row r="41" spans="1:26" s="205" customFormat="1" x14ac:dyDescent="0.3">
      <c r="A41" s="201" t="s">
        <v>175</v>
      </c>
      <c r="B41" s="202"/>
      <c r="C41" s="202"/>
      <c r="D41" s="202"/>
      <c r="E41" s="202"/>
      <c r="F41" s="133"/>
      <c r="G41" s="203">
        <f>(G38-G35)/G38</f>
        <v>0.2082031228048255</v>
      </c>
      <c r="H41" s="203">
        <f t="shared" ref="H41:P41" si="33">(H38-H35)/H38</f>
        <v>0.18801992801401077</v>
      </c>
      <c r="I41" s="203">
        <f t="shared" si="33"/>
        <v>0.17199001183704427</v>
      </c>
      <c r="J41" s="203">
        <f>(J38-J35)/J38</f>
        <v>0.1922242291362885</v>
      </c>
      <c r="K41" s="204">
        <f>(K38-K35)/K38</f>
        <v>0.16084921168154626</v>
      </c>
      <c r="L41" s="203">
        <f>(L38-L35)/L38</f>
        <v>0.23648193391540515</v>
      </c>
      <c r="M41" s="203">
        <f t="shared" si="33"/>
        <v>0.1836304756258704</v>
      </c>
      <c r="N41" s="203">
        <f t="shared" si="33"/>
        <v>0.18852248950965911</v>
      </c>
      <c r="O41" s="203">
        <f t="shared" si="33"/>
        <v>0.18852248950965919</v>
      </c>
      <c r="P41" s="273">
        <f t="shared" si="33"/>
        <v>0.18852248950965919</v>
      </c>
      <c r="Q41" s="357"/>
      <c r="R41" s="203">
        <f t="shared" ref="R41:S41" si="34">(R38-R35)/R38</f>
        <v>0.18852248950965916</v>
      </c>
      <c r="S41" s="295">
        <f t="shared" si="34"/>
        <v>0.18852248950965916</v>
      </c>
    </row>
    <row r="42" spans="1:26" s="205" customFormat="1" x14ac:dyDescent="0.3">
      <c r="A42" s="225" t="s">
        <v>189</v>
      </c>
      <c r="B42" s="226"/>
      <c r="C42" s="226"/>
      <c r="D42" s="226"/>
      <c r="E42" s="226"/>
      <c r="F42" s="133"/>
      <c r="G42" s="227"/>
      <c r="H42" s="227"/>
      <c r="I42" s="227"/>
      <c r="J42" s="341"/>
      <c r="K42" s="309">
        <v>3017421.1440049801</v>
      </c>
      <c r="L42" s="227"/>
      <c r="M42" s="227"/>
      <c r="N42" s="227"/>
      <c r="O42" s="227"/>
      <c r="P42" s="227"/>
      <c r="Q42" s="358"/>
      <c r="R42" s="227"/>
      <c r="S42" s="227"/>
    </row>
    <row r="43" spans="1:26" ht="3" customHeight="1" x14ac:dyDescent="0.3">
      <c r="A43" s="153"/>
      <c r="B43" s="133"/>
      <c r="C43" s="133"/>
      <c r="D43" s="133"/>
      <c r="E43" s="133"/>
      <c r="G43" s="172"/>
      <c r="H43" s="172"/>
      <c r="I43" s="172"/>
      <c r="J43" s="172"/>
      <c r="K43" s="173"/>
      <c r="L43" s="172"/>
      <c r="M43" s="172"/>
      <c r="N43" s="172"/>
      <c r="O43" s="172"/>
      <c r="P43" s="172"/>
      <c r="Q43" s="172"/>
      <c r="R43" s="172"/>
      <c r="S43" s="172"/>
      <c r="U43" s="141"/>
      <c r="V43" s="141"/>
      <c r="W43" s="141"/>
      <c r="X43" s="141"/>
      <c r="Y43" s="141"/>
      <c r="Z43" s="141"/>
    </row>
    <row r="44" spans="1:26" x14ac:dyDescent="0.3">
      <c r="B44" s="132"/>
      <c r="H44" s="177"/>
      <c r="I44" s="209" t="s">
        <v>180</v>
      </c>
      <c r="J44" s="209" t="s">
        <v>179</v>
      </c>
      <c r="K44" s="209" t="s">
        <v>207</v>
      </c>
      <c r="L44" s="209" t="s">
        <v>206</v>
      </c>
      <c r="M44" s="177"/>
    </row>
    <row r="45" spans="1:26" x14ac:dyDescent="0.3">
      <c r="B45" s="132"/>
      <c r="H45" s="177"/>
      <c r="I45" s="209"/>
      <c r="J45" s="209"/>
      <c r="K45" s="209"/>
    </row>
    <row r="46" spans="1:26" x14ac:dyDescent="0.3">
      <c r="A46" s="234" t="s">
        <v>194</v>
      </c>
      <c r="B46" s="132"/>
      <c r="J46" s="198"/>
    </row>
    <row r="47" spans="1:26" x14ac:dyDescent="0.3">
      <c r="A47" s="235" t="s">
        <v>187</v>
      </c>
      <c r="B47" s="125"/>
      <c r="C47" s="125"/>
      <c r="D47" s="236"/>
      <c r="E47" s="236"/>
      <c r="G47" s="236"/>
      <c r="H47" s="125"/>
      <c r="I47" s="125"/>
      <c r="J47" s="125"/>
      <c r="K47" s="251">
        <v>115</v>
      </c>
      <c r="L47" s="125">
        <v>115</v>
      </c>
      <c r="M47" s="125">
        <v>115</v>
      </c>
      <c r="N47" s="125">
        <v>115</v>
      </c>
      <c r="O47" s="125">
        <v>115</v>
      </c>
      <c r="P47" s="236">
        <v>115</v>
      </c>
      <c r="Q47" s="359"/>
      <c r="R47" s="125">
        <v>115</v>
      </c>
      <c r="S47" s="125">
        <v>115</v>
      </c>
    </row>
    <row r="48" spans="1:26" x14ac:dyDescent="0.3">
      <c r="A48" s="235" t="s">
        <v>188</v>
      </c>
      <c r="B48" s="125"/>
      <c r="C48" s="125"/>
      <c r="D48" s="236"/>
      <c r="E48" s="236"/>
      <c r="G48" s="237"/>
      <c r="H48" s="131"/>
      <c r="I48" s="131"/>
      <c r="J48" s="131"/>
      <c r="K48" s="252">
        <f t="shared" ref="K48:S48" si="35">K36/K47</f>
        <v>26.060869565217391</v>
      </c>
      <c r="L48" s="131">
        <f t="shared" si="35"/>
        <v>14.42608695652174</v>
      </c>
      <c r="M48" s="131">
        <f t="shared" si="35"/>
        <v>20.921739130434784</v>
      </c>
      <c r="N48" s="131">
        <f t="shared" si="35"/>
        <v>12.862960924600991</v>
      </c>
      <c r="O48" s="131">
        <f t="shared" si="35"/>
        <v>16.078701155751236</v>
      </c>
      <c r="P48" s="237">
        <f t="shared" si="35"/>
        <v>16.078701155751236</v>
      </c>
      <c r="Q48" s="351"/>
      <c r="R48" s="131">
        <f t="shared" si="35"/>
        <v>0</v>
      </c>
      <c r="S48" s="131">
        <f t="shared" si="35"/>
        <v>0</v>
      </c>
    </row>
    <row r="49" spans="1:19" x14ac:dyDescent="0.3">
      <c r="A49" s="238" t="s">
        <v>195</v>
      </c>
      <c r="B49" s="239"/>
      <c r="C49" s="239"/>
      <c r="D49" s="310"/>
      <c r="E49" s="310"/>
      <c r="G49" s="240">
        <f>G37</f>
        <v>9</v>
      </c>
      <c r="H49" s="240">
        <f>H37</f>
        <v>13</v>
      </c>
      <c r="I49" s="240">
        <f>I37</f>
        <v>14</v>
      </c>
      <c r="J49" s="241">
        <f>J37</f>
        <v>22</v>
      </c>
      <c r="K49" s="253" t="str">
        <f t="shared" ref="K49:S49" si="36">_xlfn.CONCAT(K37-1," - ",K37+1)</f>
        <v>8 - 10</v>
      </c>
      <c r="L49" s="241" t="str">
        <f t="shared" si="36"/>
        <v>4 - 6</v>
      </c>
      <c r="M49" s="241" t="str">
        <f t="shared" si="36"/>
        <v>6 - 8</v>
      </c>
      <c r="N49" s="241" t="str">
        <f t="shared" si="36"/>
        <v>3 - 5</v>
      </c>
      <c r="O49" s="241" t="str">
        <f t="shared" si="36"/>
        <v>4 - 6</v>
      </c>
      <c r="P49" s="240" t="str">
        <f t="shared" si="36"/>
        <v>4 - 6</v>
      </c>
      <c r="Q49" s="351"/>
      <c r="R49" s="241" t="str">
        <f t="shared" si="36"/>
        <v>-1 - 1</v>
      </c>
      <c r="S49" s="241" t="str">
        <f t="shared" si="36"/>
        <v>-1 - 1</v>
      </c>
    </row>
    <row r="50" spans="1:19" x14ac:dyDescent="0.3">
      <c r="A50" s="231" t="s">
        <v>192</v>
      </c>
      <c r="B50" s="228"/>
      <c r="C50" s="228">
        <f>SUM(G50:J50)/SUM(G51:J51)</f>
        <v>1.2319324696429377</v>
      </c>
      <c r="D50" s="311"/>
      <c r="E50" s="311"/>
      <c r="G50" s="242">
        <v>4176</v>
      </c>
      <c r="H50" s="243">
        <v>5914</v>
      </c>
      <c r="I50" s="243">
        <v>6103</v>
      </c>
      <c r="J50" s="243">
        <v>11098</v>
      </c>
      <c r="K50" s="254">
        <f t="shared" ref="K50:S50" si="37">K36*$C$50</f>
        <v>3692.101611519884</v>
      </c>
      <c r="L50" s="257">
        <f t="shared" si="37"/>
        <v>2043.7759671376336</v>
      </c>
      <c r="M50" s="257">
        <f t="shared" si="37"/>
        <v>2964.0295219609079</v>
      </c>
      <c r="N50" s="257">
        <f t="shared" si="37"/>
        <v>1822.3244101578948</v>
      </c>
      <c r="O50" s="257">
        <f t="shared" si="37"/>
        <v>2277.9055126973685</v>
      </c>
      <c r="P50" s="274">
        <f t="shared" si="37"/>
        <v>2277.9055126973685</v>
      </c>
      <c r="Q50" s="351"/>
      <c r="R50" s="257">
        <f t="shared" si="37"/>
        <v>0</v>
      </c>
      <c r="S50" s="257">
        <f t="shared" si="37"/>
        <v>0</v>
      </c>
    </row>
    <row r="51" spans="1:19" x14ac:dyDescent="0.3">
      <c r="A51" s="232" t="s">
        <v>193</v>
      </c>
      <c r="B51" s="228"/>
      <c r="C51" s="228"/>
      <c r="D51" s="311"/>
      <c r="E51" s="311"/>
      <c r="G51" s="242">
        <v>3371</v>
      </c>
      <c r="H51" s="243">
        <v>4329</v>
      </c>
      <c r="I51" s="243">
        <v>5494</v>
      </c>
      <c r="J51" s="243">
        <v>8959</v>
      </c>
      <c r="K51" s="254">
        <f t="shared" ref="K51:S51" si="38">K36</f>
        <v>2997</v>
      </c>
      <c r="L51" s="257">
        <f t="shared" si="38"/>
        <v>1659</v>
      </c>
      <c r="M51" s="257">
        <f t="shared" si="38"/>
        <v>2406</v>
      </c>
      <c r="N51" s="257">
        <f t="shared" si="38"/>
        <v>1479.2405063291139</v>
      </c>
      <c r="O51" s="257">
        <f t="shared" si="38"/>
        <v>1849.0506329113923</v>
      </c>
      <c r="P51" s="274">
        <f t="shared" si="38"/>
        <v>1849.0506329113923</v>
      </c>
      <c r="Q51" s="351"/>
      <c r="R51" s="257">
        <f t="shared" si="38"/>
        <v>0</v>
      </c>
      <c r="S51" s="257">
        <f t="shared" si="38"/>
        <v>0</v>
      </c>
    </row>
    <row r="52" spans="1:19" x14ac:dyDescent="0.3">
      <c r="A52" s="233" t="s">
        <v>190</v>
      </c>
      <c r="B52" s="228"/>
      <c r="C52" s="228">
        <f>SUM(G52:J52)/SUM(G53:J53)</f>
        <v>1.2951672862453532</v>
      </c>
      <c r="D52" s="311"/>
      <c r="E52" s="311"/>
      <c r="G52" s="244">
        <v>339</v>
      </c>
      <c r="H52" s="229">
        <v>447</v>
      </c>
      <c r="I52" s="229">
        <v>406</v>
      </c>
      <c r="J52" s="229">
        <v>550</v>
      </c>
      <c r="K52" s="255">
        <f>K53*$C$52</f>
        <v>446.83271375464682</v>
      </c>
      <c r="L52" s="258">
        <f>L53*$C$52</f>
        <v>446.83271375464682</v>
      </c>
      <c r="M52" s="258">
        <f t="shared" ref="M52:S52" si="39">M53*$C$52</f>
        <v>446.83271375464682</v>
      </c>
      <c r="N52" s="258">
        <f t="shared" si="39"/>
        <v>446.83271375464682</v>
      </c>
      <c r="O52" s="258">
        <f t="shared" si="39"/>
        <v>446.83271375464682</v>
      </c>
      <c r="P52" s="275">
        <f t="shared" si="39"/>
        <v>446.83271375464682</v>
      </c>
      <c r="Q52" s="351"/>
      <c r="R52" s="258">
        <f t="shared" si="39"/>
        <v>446.83271375464682</v>
      </c>
      <c r="S52" s="258">
        <f t="shared" si="39"/>
        <v>446.83271375464682</v>
      </c>
    </row>
    <row r="53" spans="1:19" x14ac:dyDescent="0.3">
      <c r="A53" s="233" t="s">
        <v>191</v>
      </c>
      <c r="B53" s="125"/>
      <c r="C53" s="125">
        <v>3</v>
      </c>
      <c r="D53" s="236"/>
      <c r="E53" s="236"/>
      <c r="G53" s="245">
        <v>284</v>
      </c>
      <c r="H53" s="230">
        <v>334</v>
      </c>
      <c r="I53" s="230">
        <v>346</v>
      </c>
      <c r="J53" s="230">
        <v>381</v>
      </c>
      <c r="K53" s="256">
        <f>K47*$C$53</f>
        <v>345</v>
      </c>
      <c r="L53" s="200">
        <f>L47*$C$53</f>
        <v>345</v>
      </c>
      <c r="M53" s="200">
        <f t="shared" ref="M53:S53" si="40">M47*$C$53</f>
        <v>345</v>
      </c>
      <c r="N53" s="200">
        <f t="shared" si="40"/>
        <v>345</v>
      </c>
      <c r="O53" s="200">
        <f t="shared" si="40"/>
        <v>345</v>
      </c>
      <c r="P53" s="276">
        <f t="shared" si="40"/>
        <v>345</v>
      </c>
      <c r="Q53" s="360"/>
      <c r="R53" s="200">
        <f t="shared" si="40"/>
        <v>345</v>
      </c>
      <c r="S53" s="200">
        <f t="shared" si="40"/>
        <v>345</v>
      </c>
    </row>
    <row r="54" spans="1:19" x14ac:dyDescent="0.3">
      <c r="B54" s="210" t="s">
        <v>217</v>
      </c>
      <c r="C54" s="132">
        <f>SUM(G38:L38)/SUM(G36:L36)</f>
        <v>2697639.5949121565</v>
      </c>
    </row>
    <row r="58" spans="1:19" x14ac:dyDescent="0.3">
      <c r="J58" s="250"/>
    </row>
  </sheetData>
  <mergeCells count="3">
    <mergeCell ref="G1:J1"/>
    <mergeCell ref="K1:S1"/>
    <mergeCell ref="B1:E1"/>
  </mergeCells>
  <phoneticPr fontId="8" type="noConversion"/>
  <conditionalFormatting sqref="F3">
    <cfRule type="cellIs" dxfId="8" priority="5" operator="equal">
      <formula>"GABISA"</formula>
    </cfRule>
  </conditionalFormatting>
  <conditionalFormatting sqref="G26:J26">
    <cfRule type="cellIs" dxfId="7" priority="12" operator="lessThan">
      <formula>15</formula>
    </cfRule>
    <cfRule type="cellIs" dxfId="6" priority="13" operator="greaterThan">
      <formula>25</formula>
    </cfRule>
  </conditionalFormatting>
  <conditionalFormatting sqref="G24:S25 A24:E26 T24:XFD26">
    <cfRule type="cellIs" dxfId="5" priority="1" operator="lessThan">
      <formula>15</formula>
    </cfRule>
    <cfRule type="cellIs" dxfId="4" priority="2" operator="greaterThan">
      <formula>25</formula>
    </cfRule>
  </conditionalFormatting>
  <conditionalFormatting sqref="S26">
    <cfRule type="cellIs" dxfId="3" priority="10" operator="lessThan">
      <formula>15</formula>
    </cfRule>
    <cfRule type="cellIs" dxfId="2" priority="11" operator="greaterThan">
      <formula>25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81"/>
  <sheetViews>
    <sheetView zoomScale="112" zoomScaleNormal="112" zoomScaleSheetLayoutView="115" workbookViewId="0">
      <pane xSplit="1" ySplit="3" topLeftCell="B28" activePane="bottomRight" state="frozen"/>
      <selection pane="topRight" activeCell="B1" sqref="B1"/>
      <selection pane="bottomLeft" activeCell="A6" sqref="A6"/>
      <selection pane="bottomRight" activeCell="N34" sqref="N34"/>
    </sheetView>
  </sheetViews>
  <sheetFormatPr defaultRowHeight="14.4" x14ac:dyDescent="0.3"/>
  <cols>
    <col min="1" max="1" width="9.44140625" style="5" customWidth="1"/>
    <col min="2" max="2" width="33.21875" customWidth="1"/>
    <col min="3" max="3" width="4.5546875" bestFit="1" customWidth="1"/>
    <col min="4" max="4" width="10.5546875" style="11" customWidth="1"/>
    <col min="5" max="5" width="5.44140625" style="1" customWidth="1"/>
    <col min="6" max="13" width="5" style="1" customWidth="1"/>
    <col min="14" max="16" width="5.5546875" style="1" customWidth="1"/>
    <col min="17" max="22" width="5.5546875" customWidth="1"/>
  </cols>
  <sheetData>
    <row r="1" spans="1:16" ht="21" x14ac:dyDescent="0.3">
      <c r="A1" s="374" t="s">
        <v>57</v>
      </c>
      <c r="B1" s="374"/>
      <c r="C1" s="374"/>
      <c r="D1" s="374"/>
      <c r="E1" s="374"/>
      <c r="F1" s="374"/>
      <c r="G1" s="374"/>
      <c r="H1" s="374"/>
      <c r="I1" s="374"/>
      <c r="J1" s="374"/>
      <c r="K1" s="374"/>
      <c r="L1" s="374"/>
      <c r="M1" s="374"/>
      <c r="N1" s="374"/>
      <c r="O1" s="374"/>
      <c r="P1" s="374"/>
    </row>
    <row r="2" spans="1:16" x14ac:dyDescent="0.3">
      <c r="B2" s="1"/>
      <c r="C2" s="1"/>
      <c r="E2" s="22">
        <v>1</v>
      </c>
      <c r="F2" s="22">
        <v>2</v>
      </c>
      <c r="G2" s="22">
        <v>3</v>
      </c>
      <c r="H2" s="22">
        <v>4</v>
      </c>
      <c r="I2" s="21">
        <v>5</v>
      </c>
      <c r="J2" s="21">
        <v>6</v>
      </c>
      <c r="K2" s="21">
        <v>7</v>
      </c>
      <c r="L2" s="21">
        <v>8</v>
      </c>
      <c r="M2" s="23">
        <v>9</v>
      </c>
      <c r="N2" s="23">
        <v>10</v>
      </c>
      <c r="O2" s="23">
        <v>11</v>
      </c>
      <c r="P2" s="23">
        <v>12</v>
      </c>
    </row>
    <row r="3" spans="1:16" s="10" customFormat="1" ht="15" thickBot="1" x14ac:dyDescent="0.35">
      <c r="A3" s="9" t="s">
        <v>7</v>
      </c>
      <c r="B3" s="3" t="s">
        <v>0</v>
      </c>
      <c r="C3" s="3" t="s">
        <v>1</v>
      </c>
      <c r="D3" s="4" t="s">
        <v>10</v>
      </c>
      <c r="E3" s="25">
        <v>44942</v>
      </c>
      <c r="F3" s="25">
        <f>E3+7</f>
        <v>44949</v>
      </c>
      <c r="G3" s="25">
        <f t="shared" ref="G3:P3" si="0">F3+7</f>
        <v>44956</v>
      </c>
      <c r="H3" s="25">
        <f t="shared" si="0"/>
        <v>44963</v>
      </c>
      <c r="I3" s="26">
        <f t="shared" si="0"/>
        <v>44970</v>
      </c>
      <c r="J3" s="26">
        <f t="shared" si="0"/>
        <v>44977</v>
      </c>
      <c r="K3" s="26">
        <f t="shared" si="0"/>
        <v>44984</v>
      </c>
      <c r="L3" s="26">
        <f t="shared" si="0"/>
        <v>44991</v>
      </c>
      <c r="M3" s="27">
        <f t="shared" si="0"/>
        <v>44998</v>
      </c>
      <c r="N3" s="27">
        <f t="shared" si="0"/>
        <v>45005</v>
      </c>
      <c r="O3" s="27">
        <f t="shared" si="0"/>
        <v>45012</v>
      </c>
      <c r="P3" s="27">
        <f t="shared" si="0"/>
        <v>45019</v>
      </c>
    </row>
    <row r="4" spans="1:16" x14ac:dyDescent="0.3">
      <c r="A4" s="372" t="s">
        <v>12</v>
      </c>
      <c r="B4" t="s">
        <v>67</v>
      </c>
      <c r="C4" t="s">
        <v>39</v>
      </c>
      <c r="D4" s="99" t="s">
        <v>8</v>
      </c>
      <c r="F4" s="20"/>
      <c r="J4" s="20"/>
      <c r="K4" s="20"/>
      <c r="N4" s="20"/>
    </row>
    <row r="5" spans="1:16" x14ac:dyDescent="0.3">
      <c r="A5" s="372"/>
      <c r="B5" t="s">
        <v>68</v>
      </c>
      <c r="C5" t="s">
        <v>38</v>
      </c>
      <c r="D5" s="100" t="s">
        <v>8</v>
      </c>
      <c r="F5" s="12"/>
      <c r="J5" s="12"/>
      <c r="K5" s="12"/>
      <c r="N5" s="12"/>
    </row>
    <row r="6" spans="1:16" x14ac:dyDescent="0.3">
      <c r="A6" s="372"/>
      <c r="B6" t="s">
        <v>37</v>
      </c>
      <c r="C6" t="s">
        <v>39</v>
      </c>
      <c r="D6" s="100" t="s">
        <v>8</v>
      </c>
      <c r="F6" s="12"/>
      <c r="J6" s="12"/>
      <c r="K6" s="12"/>
      <c r="N6" s="12"/>
    </row>
    <row r="7" spans="1:16" x14ac:dyDescent="0.3">
      <c r="A7" s="372"/>
      <c r="B7" t="s">
        <v>16</v>
      </c>
      <c r="C7" t="s">
        <v>39</v>
      </c>
      <c r="D7" s="100" t="s">
        <v>8</v>
      </c>
      <c r="F7" s="12"/>
      <c r="J7" s="12"/>
      <c r="K7" s="12"/>
      <c r="N7" s="12"/>
    </row>
    <row r="8" spans="1:16" x14ac:dyDescent="0.3">
      <c r="A8" s="372"/>
      <c r="B8" t="s">
        <v>36</v>
      </c>
      <c r="C8" t="s">
        <v>39</v>
      </c>
      <c r="D8" s="100" t="s">
        <v>8</v>
      </c>
      <c r="F8" s="12"/>
      <c r="J8" s="12"/>
      <c r="K8" s="12"/>
      <c r="N8" s="12"/>
    </row>
    <row r="9" spans="1:16" x14ac:dyDescent="0.3">
      <c r="A9" s="373"/>
      <c r="B9" s="6" t="s">
        <v>35</v>
      </c>
      <c r="C9" s="6" t="s">
        <v>3</v>
      </c>
      <c r="D9" s="101" t="s">
        <v>8</v>
      </c>
      <c r="F9" s="12"/>
      <c r="J9" s="12"/>
      <c r="K9" s="12"/>
      <c r="N9" s="12"/>
    </row>
    <row r="10" spans="1:16" x14ac:dyDescent="0.3">
      <c r="A10" s="371" t="s">
        <v>13</v>
      </c>
      <c r="B10" s="7" t="s">
        <v>69</v>
      </c>
      <c r="C10" s="7" t="s">
        <v>38</v>
      </c>
      <c r="D10" s="102" t="s">
        <v>8</v>
      </c>
      <c r="E10" s="15"/>
      <c r="F10" s="17"/>
      <c r="G10" s="15"/>
      <c r="H10" s="15"/>
      <c r="I10" s="15"/>
      <c r="J10" s="17"/>
      <c r="K10" s="17"/>
      <c r="L10" s="15"/>
      <c r="M10" s="15"/>
      <c r="N10" s="17"/>
      <c r="O10" s="15"/>
      <c r="P10" s="15"/>
    </row>
    <row r="11" spans="1:16" x14ac:dyDescent="0.3">
      <c r="A11" s="373"/>
      <c r="B11" s="6" t="s">
        <v>45</v>
      </c>
      <c r="C11" s="6" t="s">
        <v>38</v>
      </c>
      <c r="D11" s="101" t="s">
        <v>8</v>
      </c>
      <c r="E11" s="13"/>
      <c r="F11" s="14"/>
      <c r="G11" s="13"/>
      <c r="H11" s="13"/>
      <c r="I11" s="13"/>
      <c r="J11" s="14"/>
      <c r="K11" s="14"/>
      <c r="L11" s="13"/>
      <c r="M11" s="13"/>
      <c r="N11" s="14"/>
      <c r="O11" s="13"/>
      <c r="P11" s="13"/>
    </row>
    <row r="12" spans="1:16" x14ac:dyDescent="0.3">
      <c r="A12" s="371" t="s">
        <v>17</v>
      </c>
      <c r="B12" t="s">
        <v>70</v>
      </c>
      <c r="C12" t="s">
        <v>38</v>
      </c>
      <c r="D12" s="100" t="s">
        <v>8</v>
      </c>
      <c r="F12" s="12"/>
      <c r="J12" s="12"/>
      <c r="K12" s="12"/>
      <c r="N12" s="12"/>
    </row>
    <row r="13" spans="1:16" x14ac:dyDescent="0.3">
      <c r="A13" s="372"/>
      <c r="B13" t="s">
        <v>71</v>
      </c>
      <c r="C13" t="s">
        <v>38</v>
      </c>
      <c r="D13" s="100" t="s">
        <v>8</v>
      </c>
      <c r="F13" s="12"/>
      <c r="J13" s="12"/>
      <c r="K13" s="12"/>
      <c r="N13" s="12"/>
    </row>
    <row r="14" spans="1:16" x14ac:dyDescent="0.3">
      <c r="A14" s="372"/>
      <c r="B14" t="s">
        <v>72</v>
      </c>
      <c r="C14" t="s">
        <v>38</v>
      </c>
      <c r="D14" s="100" t="s">
        <v>8</v>
      </c>
      <c r="F14" s="12"/>
      <c r="J14" s="12"/>
      <c r="K14" s="12"/>
      <c r="N14" s="12"/>
    </row>
    <row r="15" spans="1:16" x14ac:dyDescent="0.3">
      <c r="A15" s="372"/>
      <c r="B15" t="s">
        <v>73</v>
      </c>
      <c r="C15" t="s">
        <v>38</v>
      </c>
      <c r="F15" s="31" t="s">
        <v>98</v>
      </c>
      <c r="J15" s="12"/>
      <c r="K15" s="12"/>
      <c r="N15" s="31"/>
    </row>
    <row r="16" spans="1:16" x14ac:dyDescent="0.3">
      <c r="A16" s="372"/>
      <c r="B16" t="s">
        <v>74</v>
      </c>
      <c r="C16" t="s">
        <v>38</v>
      </c>
      <c r="F16" s="31" t="s">
        <v>98</v>
      </c>
      <c r="J16" s="12"/>
      <c r="K16" s="12"/>
      <c r="N16" s="31"/>
    </row>
    <row r="17" spans="1:14" x14ac:dyDescent="0.3">
      <c r="A17" s="372"/>
      <c r="B17" t="s">
        <v>75</v>
      </c>
      <c r="C17" t="s">
        <v>38</v>
      </c>
      <c r="F17" s="31" t="s">
        <v>98</v>
      </c>
      <c r="J17" s="12"/>
      <c r="K17" s="12"/>
      <c r="N17" s="31"/>
    </row>
    <row r="18" spans="1:14" x14ac:dyDescent="0.3">
      <c r="A18" s="372"/>
      <c r="B18" t="s">
        <v>76</v>
      </c>
      <c r="C18" t="s">
        <v>38</v>
      </c>
      <c r="D18" s="95" t="s">
        <v>8</v>
      </c>
      <c r="E18" s="19"/>
      <c r="F18" s="12"/>
      <c r="J18" s="12"/>
      <c r="K18" s="12"/>
      <c r="N18" s="12"/>
    </row>
    <row r="19" spans="1:14" x14ac:dyDescent="0.3">
      <c r="A19" s="372"/>
      <c r="B19" t="s">
        <v>44</v>
      </c>
      <c r="C19" t="s">
        <v>38</v>
      </c>
      <c r="D19" s="95" t="s">
        <v>8</v>
      </c>
      <c r="E19" s="19"/>
      <c r="F19" s="12"/>
      <c r="J19" s="12"/>
      <c r="K19" s="12"/>
      <c r="N19" s="12"/>
    </row>
    <row r="20" spans="1:14" x14ac:dyDescent="0.3">
      <c r="A20" s="372"/>
      <c r="B20" t="s">
        <v>77</v>
      </c>
      <c r="C20" t="s">
        <v>38</v>
      </c>
      <c r="D20" s="95" t="s">
        <v>8</v>
      </c>
      <c r="E20" s="19"/>
      <c r="F20" s="12"/>
      <c r="J20" s="12"/>
      <c r="K20" s="12"/>
      <c r="N20" s="12"/>
    </row>
    <row r="21" spans="1:14" x14ac:dyDescent="0.3">
      <c r="A21" s="372"/>
      <c r="B21" t="s">
        <v>78</v>
      </c>
      <c r="C21" t="s">
        <v>38</v>
      </c>
      <c r="D21" s="95" t="s">
        <v>8</v>
      </c>
      <c r="E21" s="19"/>
      <c r="F21" s="12"/>
      <c r="J21" s="12"/>
      <c r="K21" s="12"/>
      <c r="N21" s="12"/>
    </row>
    <row r="22" spans="1:14" x14ac:dyDescent="0.3">
      <c r="A22" s="372"/>
      <c r="B22" t="s">
        <v>14</v>
      </c>
      <c r="C22" t="s">
        <v>38</v>
      </c>
      <c r="E22" s="19"/>
      <c r="F22" s="31" t="s">
        <v>98</v>
      </c>
      <c r="J22" s="12"/>
      <c r="K22" s="12"/>
      <c r="N22" s="31"/>
    </row>
    <row r="23" spans="1:14" x14ac:dyDescent="0.3">
      <c r="A23" s="372"/>
      <c r="B23" t="s">
        <v>15</v>
      </c>
      <c r="C23" t="s">
        <v>38</v>
      </c>
      <c r="E23" s="19"/>
      <c r="F23" s="31" t="s">
        <v>98</v>
      </c>
      <c r="J23" s="12"/>
      <c r="K23" s="12"/>
      <c r="N23" s="31"/>
    </row>
    <row r="24" spans="1:14" x14ac:dyDescent="0.3">
      <c r="A24" s="372" t="s">
        <v>25</v>
      </c>
      <c r="B24" t="s">
        <v>19</v>
      </c>
      <c r="C24" t="s">
        <v>4</v>
      </c>
      <c r="D24" s="95" t="s">
        <v>8</v>
      </c>
      <c r="E24" s="19"/>
      <c r="F24" s="18"/>
      <c r="J24" s="12"/>
      <c r="K24" s="12"/>
      <c r="N24" s="12"/>
    </row>
    <row r="25" spans="1:14" x14ac:dyDescent="0.3">
      <c r="A25" s="372"/>
      <c r="B25" t="s">
        <v>21</v>
      </c>
      <c r="C25" t="s">
        <v>4</v>
      </c>
      <c r="D25" s="95" t="s">
        <v>8</v>
      </c>
      <c r="F25" s="12"/>
      <c r="J25" s="12"/>
      <c r="K25" s="12"/>
      <c r="N25" s="12"/>
    </row>
    <row r="26" spans="1:14" x14ac:dyDescent="0.3">
      <c r="A26" s="372"/>
      <c r="B26" t="s">
        <v>20</v>
      </c>
      <c r="C26" t="s">
        <v>39</v>
      </c>
      <c r="D26" s="95" t="s">
        <v>8</v>
      </c>
      <c r="F26" s="12"/>
      <c r="J26" s="12"/>
      <c r="K26" s="12"/>
      <c r="N26" s="12"/>
    </row>
    <row r="27" spans="1:14" x14ac:dyDescent="0.3">
      <c r="A27" s="372"/>
      <c r="B27" t="s">
        <v>99</v>
      </c>
      <c r="C27" t="s">
        <v>39</v>
      </c>
      <c r="D27" s="95" t="s">
        <v>8</v>
      </c>
      <c r="F27" s="31" t="s">
        <v>8</v>
      </c>
      <c r="J27" s="12"/>
      <c r="K27" s="12"/>
      <c r="N27" s="12"/>
    </row>
    <row r="28" spans="1:14" x14ac:dyDescent="0.3">
      <c r="A28" s="372"/>
      <c r="B28" t="s">
        <v>53</v>
      </c>
      <c r="C28" t="s">
        <v>39</v>
      </c>
      <c r="D28" s="95" t="s">
        <v>8</v>
      </c>
      <c r="F28" s="12"/>
      <c r="J28" s="12"/>
      <c r="K28" s="12"/>
      <c r="N28" s="12"/>
    </row>
    <row r="29" spans="1:14" x14ac:dyDescent="0.3">
      <c r="A29" s="372"/>
      <c r="B29" t="s">
        <v>54</v>
      </c>
      <c r="C29" t="s">
        <v>39</v>
      </c>
      <c r="D29" s="95" t="s">
        <v>8</v>
      </c>
      <c r="F29" s="12"/>
      <c r="J29" s="12"/>
      <c r="K29" s="12"/>
      <c r="N29" s="12"/>
    </row>
    <row r="30" spans="1:14" x14ac:dyDescent="0.3">
      <c r="A30" s="372"/>
      <c r="B30" t="s">
        <v>79</v>
      </c>
      <c r="C30" t="s">
        <v>39</v>
      </c>
      <c r="D30" s="95" t="s">
        <v>8</v>
      </c>
      <c r="F30" s="18" t="s">
        <v>98</v>
      </c>
      <c r="G30" s="19"/>
      <c r="H30" s="19"/>
      <c r="I30" s="35" t="s">
        <v>8</v>
      </c>
      <c r="J30" s="12"/>
      <c r="K30" s="12"/>
      <c r="N30" s="12"/>
    </row>
    <row r="31" spans="1:14" x14ac:dyDescent="0.3">
      <c r="A31" s="372"/>
      <c r="B31" t="s">
        <v>80</v>
      </c>
      <c r="C31" t="s">
        <v>39</v>
      </c>
      <c r="D31" s="95" t="s">
        <v>8</v>
      </c>
      <c r="F31" s="18" t="s">
        <v>98</v>
      </c>
      <c r="G31" s="19"/>
      <c r="H31" s="19"/>
      <c r="I31" s="35" t="s">
        <v>8</v>
      </c>
      <c r="J31" s="12"/>
      <c r="K31" s="12"/>
      <c r="N31" s="12"/>
    </row>
    <row r="32" spans="1:14" x14ac:dyDescent="0.3">
      <c r="A32" s="372"/>
      <c r="B32" t="s">
        <v>81</v>
      </c>
      <c r="C32" t="s">
        <v>39</v>
      </c>
      <c r="D32" s="95" t="s">
        <v>8</v>
      </c>
      <c r="F32" s="18"/>
      <c r="G32" s="19" t="s">
        <v>98</v>
      </c>
      <c r="H32" s="19"/>
      <c r="I32" s="35" t="s">
        <v>8</v>
      </c>
      <c r="J32" s="12"/>
      <c r="K32" s="12"/>
      <c r="N32" s="12"/>
    </row>
    <row r="33" spans="1:16" x14ac:dyDescent="0.3">
      <c r="A33" s="373"/>
      <c r="B33" s="6" t="s">
        <v>82</v>
      </c>
      <c r="C33" s="6" t="s">
        <v>39</v>
      </c>
      <c r="D33" s="109" t="s">
        <v>8</v>
      </c>
      <c r="E33" s="13"/>
      <c r="F33" s="97"/>
      <c r="G33" s="98" t="s">
        <v>98</v>
      </c>
      <c r="H33" s="98"/>
      <c r="I33" s="104"/>
      <c r="J33" s="105" t="s">
        <v>8</v>
      </c>
      <c r="K33" s="105" t="s">
        <v>8</v>
      </c>
      <c r="L33" s="115" t="s">
        <v>8</v>
      </c>
      <c r="M33" s="6"/>
      <c r="N33" s="32"/>
      <c r="O33" s="6"/>
      <c r="P33" s="6"/>
    </row>
    <row r="34" spans="1:16" x14ac:dyDescent="0.3">
      <c r="A34" s="103"/>
      <c r="B34" s="118" t="s">
        <v>117</v>
      </c>
      <c r="C34" s="7" t="s">
        <v>4</v>
      </c>
      <c r="D34" s="107"/>
      <c r="F34" s="18"/>
      <c r="G34" s="19"/>
      <c r="H34" s="19"/>
      <c r="I34" s="19"/>
      <c r="J34" s="12"/>
      <c r="K34" s="12"/>
      <c r="L34" s="106" t="s">
        <v>98</v>
      </c>
      <c r="M34"/>
      <c r="N34" s="120"/>
      <c r="O34"/>
      <c r="P34"/>
    </row>
    <row r="35" spans="1:16" x14ac:dyDescent="0.3">
      <c r="A35" s="103"/>
      <c r="B35" t="s">
        <v>119</v>
      </c>
      <c r="C35" t="s">
        <v>4</v>
      </c>
      <c r="D35" s="107"/>
      <c r="F35" s="18"/>
      <c r="G35" s="19"/>
      <c r="H35" s="19"/>
      <c r="I35" s="19"/>
      <c r="J35" s="12"/>
      <c r="K35" s="12"/>
      <c r="L35" s="117" t="s">
        <v>98</v>
      </c>
      <c r="M35"/>
      <c r="N35" s="121"/>
      <c r="O35"/>
      <c r="P35"/>
    </row>
    <row r="36" spans="1:16" x14ac:dyDescent="0.3">
      <c r="A36" s="103"/>
      <c r="B36" s="119" t="s">
        <v>118</v>
      </c>
      <c r="C36" t="s">
        <v>4</v>
      </c>
      <c r="D36" s="107"/>
      <c r="F36" s="18"/>
      <c r="G36" s="19"/>
      <c r="H36" s="19"/>
      <c r="I36" s="19"/>
      <c r="J36" s="12"/>
      <c r="K36" s="12"/>
      <c r="L36" s="117"/>
      <c r="M36"/>
      <c r="N36" s="121"/>
      <c r="O36"/>
      <c r="P36"/>
    </row>
    <row r="37" spans="1:16" x14ac:dyDescent="0.3">
      <c r="A37" s="103"/>
      <c r="B37" t="s">
        <v>116</v>
      </c>
      <c r="C37" t="s">
        <v>4</v>
      </c>
      <c r="D37" s="107"/>
      <c r="F37" s="18"/>
      <c r="G37" s="19"/>
      <c r="H37" s="19"/>
      <c r="I37" s="19"/>
      <c r="J37" s="12"/>
      <c r="K37" s="12"/>
      <c r="L37" s="117"/>
      <c r="M37"/>
      <c r="N37" s="121"/>
      <c r="O37"/>
      <c r="P37"/>
    </row>
    <row r="38" spans="1:16" x14ac:dyDescent="0.3">
      <c r="A38" s="103"/>
      <c r="B38" t="s">
        <v>100</v>
      </c>
      <c r="C38" t="s">
        <v>4</v>
      </c>
      <c r="D38" s="107"/>
      <c r="F38" s="18"/>
      <c r="G38" s="19"/>
      <c r="H38" s="19"/>
      <c r="I38" s="19"/>
      <c r="J38" s="12"/>
      <c r="K38" s="12"/>
      <c r="L38" s="117"/>
      <c r="M38"/>
      <c r="N38" s="121"/>
      <c r="O38"/>
      <c r="P38"/>
    </row>
    <row r="39" spans="1:16" ht="14.55" customHeight="1" x14ac:dyDescent="0.3">
      <c r="A39" s="372" t="s">
        <v>26</v>
      </c>
      <c r="B39" t="s">
        <v>28</v>
      </c>
      <c r="C39" t="s">
        <v>39</v>
      </c>
      <c r="D39" s="96" t="s">
        <v>8</v>
      </c>
      <c r="F39" s="12"/>
      <c r="J39" s="12"/>
      <c r="K39" s="12"/>
      <c r="N39" s="12"/>
    </row>
    <row r="40" spans="1:16" x14ac:dyDescent="0.3">
      <c r="A40" s="372"/>
      <c r="B40" t="s">
        <v>29</v>
      </c>
      <c r="C40" t="s">
        <v>39</v>
      </c>
      <c r="D40" s="96" t="s">
        <v>8</v>
      </c>
      <c r="F40" s="12"/>
      <c r="J40" s="12"/>
      <c r="K40" s="12"/>
      <c r="N40" s="12"/>
    </row>
    <row r="41" spans="1:16" ht="14.55" customHeight="1" x14ac:dyDescent="0.3">
      <c r="A41" s="372"/>
      <c r="B41" t="s">
        <v>30</v>
      </c>
      <c r="C41" t="s">
        <v>39</v>
      </c>
      <c r="D41" s="96" t="s">
        <v>8</v>
      </c>
      <c r="F41" s="12"/>
      <c r="J41" s="12"/>
      <c r="K41" s="12"/>
      <c r="N41" s="12"/>
    </row>
    <row r="42" spans="1:16" x14ac:dyDescent="0.3">
      <c r="A42" s="372"/>
      <c r="B42" t="s">
        <v>31</v>
      </c>
      <c r="C42" t="s">
        <v>39</v>
      </c>
      <c r="D42" s="96" t="s">
        <v>8</v>
      </c>
      <c r="F42" s="12"/>
      <c r="J42" s="12"/>
      <c r="K42" s="12"/>
      <c r="N42" s="12"/>
    </row>
    <row r="43" spans="1:16" x14ac:dyDescent="0.3">
      <c r="A43" s="372"/>
      <c r="B43" t="s">
        <v>32</v>
      </c>
      <c r="C43" t="s">
        <v>39</v>
      </c>
      <c r="D43" s="96" t="s">
        <v>8</v>
      </c>
      <c r="F43" s="12"/>
      <c r="J43" s="12"/>
      <c r="K43" s="12"/>
      <c r="N43" s="12"/>
    </row>
    <row r="44" spans="1:16" x14ac:dyDescent="0.3">
      <c r="A44" s="372"/>
      <c r="B44" t="s">
        <v>33</v>
      </c>
      <c r="C44" t="s">
        <v>39</v>
      </c>
      <c r="D44" s="95" t="s">
        <v>8</v>
      </c>
      <c r="F44" s="12"/>
      <c r="J44" s="12"/>
      <c r="K44" s="12"/>
      <c r="N44" s="12"/>
    </row>
    <row r="45" spans="1:16" x14ac:dyDescent="0.3">
      <c r="A45" s="372"/>
      <c r="B45" t="s">
        <v>34</v>
      </c>
      <c r="C45" t="s">
        <v>39</v>
      </c>
      <c r="D45" s="95" t="s">
        <v>8</v>
      </c>
      <c r="F45" s="12"/>
      <c r="J45" s="12"/>
      <c r="K45" s="12"/>
      <c r="N45" s="12"/>
    </row>
    <row r="46" spans="1:16" x14ac:dyDescent="0.3">
      <c r="A46" s="372"/>
      <c r="B46" t="s">
        <v>114</v>
      </c>
      <c r="C46" t="s">
        <v>39</v>
      </c>
      <c r="D46" s="34" t="s">
        <v>40</v>
      </c>
      <c r="E46" s="19"/>
      <c r="F46" s="18"/>
      <c r="G46" s="91" t="s">
        <v>98</v>
      </c>
      <c r="H46" s="29"/>
      <c r="J46" s="12"/>
      <c r="K46" s="12"/>
      <c r="L46" s="113" t="s">
        <v>98</v>
      </c>
      <c r="M46" s="113" t="s">
        <v>98</v>
      </c>
      <c r="N46" s="12"/>
    </row>
    <row r="47" spans="1:16" x14ac:dyDescent="0.3">
      <c r="A47" s="372"/>
      <c r="B47" t="s">
        <v>115</v>
      </c>
      <c r="C47" t="s">
        <v>39</v>
      </c>
      <c r="D47" s="34" t="s">
        <v>41</v>
      </c>
      <c r="E47" s="19"/>
      <c r="F47" s="18"/>
      <c r="G47" s="91" t="s">
        <v>98</v>
      </c>
      <c r="H47" s="29"/>
      <c r="J47" s="12"/>
      <c r="K47" s="114" t="s">
        <v>98</v>
      </c>
      <c r="L47" s="113" t="s">
        <v>98</v>
      </c>
      <c r="M47" s="113" t="s">
        <v>98</v>
      </c>
      <c r="N47" s="12"/>
    </row>
    <row r="48" spans="1:16" x14ac:dyDescent="0.3">
      <c r="A48" s="372"/>
      <c r="B48" t="s">
        <v>27</v>
      </c>
      <c r="C48" t="s">
        <v>39</v>
      </c>
      <c r="D48" s="34" t="s">
        <v>42</v>
      </c>
      <c r="E48" s="19"/>
      <c r="F48" s="28"/>
      <c r="G48" s="91" t="s">
        <v>98</v>
      </c>
      <c r="J48" s="12"/>
      <c r="K48" s="12"/>
      <c r="L48" s="113" t="s">
        <v>98</v>
      </c>
      <c r="M48" s="113" t="s">
        <v>98</v>
      </c>
      <c r="N48" s="12"/>
    </row>
    <row r="49" spans="1:16" x14ac:dyDescent="0.3">
      <c r="A49" s="372"/>
      <c r="B49" t="s">
        <v>83</v>
      </c>
      <c r="C49" t="s">
        <v>39</v>
      </c>
      <c r="D49" s="34" t="s">
        <v>42</v>
      </c>
      <c r="E49" s="29"/>
      <c r="F49" s="28"/>
      <c r="G49" s="19"/>
      <c r="J49" s="12"/>
      <c r="K49" s="12"/>
      <c r="L49" s="113" t="s">
        <v>98</v>
      </c>
      <c r="M49" s="113" t="s">
        <v>98</v>
      </c>
      <c r="N49" s="12"/>
    </row>
    <row r="50" spans="1:16" x14ac:dyDescent="0.3">
      <c r="A50" s="372"/>
      <c r="B50" t="s">
        <v>84</v>
      </c>
      <c r="C50" t="s">
        <v>39</v>
      </c>
      <c r="D50" s="34" t="s">
        <v>43</v>
      </c>
      <c r="E50" s="29"/>
      <c r="F50" s="18"/>
      <c r="G50" s="19" t="s">
        <v>98</v>
      </c>
      <c r="J50" s="12"/>
      <c r="K50" s="12"/>
      <c r="M50" s="113" t="s">
        <v>98</v>
      </c>
      <c r="N50" s="12"/>
    </row>
    <row r="51" spans="1:16" x14ac:dyDescent="0.3">
      <c r="A51" s="372"/>
      <c r="B51" t="s">
        <v>51</v>
      </c>
      <c r="C51" t="s">
        <v>39</v>
      </c>
      <c r="D51" s="34"/>
      <c r="E51" s="19"/>
      <c r="F51" s="18"/>
      <c r="G51" s="91" t="s">
        <v>98</v>
      </c>
      <c r="H51" s="29"/>
      <c r="J51" s="12"/>
      <c r="K51" s="12"/>
      <c r="L51" s="113" t="s">
        <v>98</v>
      </c>
      <c r="M51" s="113" t="s">
        <v>98</v>
      </c>
      <c r="N51" s="12"/>
    </row>
    <row r="52" spans="1:16" x14ac:dyDescent="0.3">
      <c r="A52" s="372"/>
      <c r="B52" t="s">
        <v>52</v>
      </c>
      <c r="C52" t="s">
        <v>39</v>
      </c>
      <c r="D52" s="34" t="s">
        <v>43</v>
      </c>
      <c r="E52" s="29"/>
      <c r="F52" s="28"/>
      <c r="G52" s="19" t="s">
        <v>98</v>
      </c>
      <c r="J52" s="12"/>
      <c r="K52" s="12"/>
      <c r="L52" s="113" t="s">
        <v>98</v>
      </c>
      <c r="M52" s="113" t="s">
        <v>8</v>
      </c>
      <c r="N52" s="12"/>
    </row>
    <row r="53" spans="1:16" x14ac:dyDescent="0.3">
      <c r="A53" s="373"/>
      <c r="B53" s="6" t="s">
        <v>101</v>
      </c>
      <c r="C53" s="6" t="s">
        <v>38</v>
      </c>
      <c r="D53" s="109" t="s">
        <v>8</v>
      </c>
      <c r="E53" s="13" t="s">
        <v>98</v>
      </c>
      <c r="F53" s="90" t="s">
        <v>8</v>
      </c>
      <c r="G53" s="13"/>
      <c r="H53" s="13"/>
      <c r="I53" s="13"/>
      <c r="J53" s="14"/>
      <c r="K53" s="14"/>
      <c r="L53" s="13"/>
      <c r="M53" s="13"/>
      <c r="N53" s="14"/>
      <c r="O53" s="13"/>
      <c r="P53" s="13"/>
    </row>
    <row r="54" spans="1:16" x14ac:dyDescent="0.3">
      <c r="A54" s="371" t="s">
        <v>112</v>
      </c>
      <c r="B54" t="s">
        <v>11</v>
      </c>
      <c r="C54" s="7" t="s">
        <v>39</v>
      </c>
      <c r="D54" s="95" t="s">
        <v>8</v>
      </c>
      <c r="F54" s="12"/>
      <c r="J54" s="12"/>
      <c r="K54" s="30"/>
      <c r="L54" s="7"/>
      <c r="M54" s="7"/>
      <c r="N54" s="30"/>
      <c r="O54" s="7"/>
      <c r="P54" s="7"/>
    </row>
    <row r="55" spans="1:16" x14ac:dyDescent="0.3">
      <c r="A55" s="372"/>
      <c r="B55" t="s">
        <v>47</v>
      </c>
      <c r="C55" t="s">
        <v>39</v>
      </c>
      <c r="D55" s="95" t="s">
        <v>8</v>
      </c>
      <c r="F55" s="12"/>
      <c r="J55" s="12"/>
      <c r="K55" s="24"/>
      <c r="L55"/>
      <c r="M55"/>
      <c r="N55" s="24"/>
      <c r="O55"/>
      <c r="P55"/>
    </row>
    <row r="56" spans="1:16" x14ac:dyDescent="0.3">
      <c r="A56" s="372"/>
      <c r="B56" t="s">
        <v>5</v>
      </c>
      <c r="C56" t="s">
        <v>39</v>
      </c>
      <c r="D56" s="95" t="s">
        <v>8</v>
      </c>
      <c r="F56" s="12"/>
      <c r="J56" s="12"/>
      <c r="K56" s="24"/>
      <c r="L56"/>
      <c r="M56"/>
      <c r="N56" s="24"/>
      <c r="O56"/>
      <c r="P56"/>
    </row>
    <row r="57" spans="1:16" x14ac:dyDescent="0.3">
      <c r="A57" s="372"/>
      <c r="B57" t="s">
        <v>106</v>
      </c>
      <c r="C57" t="s">
        <v>39</v>
      </c>
      <c r="D57" s="95" t="s">
        <v>8</v>
      </c>
      <c r="F57" s="12" t="s">
        <v>98</v>
      </c>
      <c r="G57" s="91" t="s">
        <v>8</v>
      </c>
      <c r="J57" s="12"/>
      <c r="K57" s="24"/>
      <c r="L57"/>
      <c r="M57"/>
      <c r="N57" s="24"/>
      <c r="O57"/>
      <c r="P57"/>
    </row>
    <row r="58" spans="1:16" x14ac:dyDescent="0.3">
      <c r="A58" s="372"/>
      <c r="B58" t="s">
        <v>107</v>
      </c>
      <c r="C58" t="s">
        <v>39</v>
      </c>
      <c r="D58" s="95" t="s">
        <v>8</v>
      </c>
      <c r="F58" s="12" t="s">
        <v>98</v>
      </c>
      <c r="G58" s="91" t="s">
        <v>8</v>
      </c>
      <c r="J58" s="12"/>
      <c r="K58" s="24"/>
      <c r="L58"/>
      <c r="M58"/>
      <c r="N58" s="24"/>
      <c r="O58"/>
      <c r="P58"/>
    </row>
    <row r="59" spans="1:16" x14ac:dyDescent="0.3">
      <c r="A59" s="372"/>
      <c r="B59" t="s">
        <v>102</v>
      </c>
      <c r="C59" t="s">
        <v>39</v>
      </c>
      <c r="D59" s="95" t="s">
        <v>8</v>
      </c>
      <c r="F59" s="12" t="s">
        <v>98</v>
      </c>
      <c r="G59" s="91" t="s">
        <v>8</v>
      </c>
      <c r="J59" s="12"/>
      <c r="K59" s="24"/>
      <c r="L59"/>
      <c r="M59"/>
      <c r="N59" s="24"/>
      <c r="O59"/>
      <c r="P59"/>
    </row>
    <row r="60" spans="1:16" x14ac:dyDescent="0.3">
      <c r="A60" s="373"/>
      <c r="B60" s="6" t="s">
        <v>103</v>
      </c>
      <c r="C60" s="6" t="s">
        <v>39</v>
      </c>
      <c r="D60" s="109" t="s">
        <v>8</v>
      </c>
      <c r="E60" s="13"/>
      <c r="F60" s="14"/>
      <c r="G60" s="13" t="s">
        <v>98</v>
      </c>
      <c r="H60" s="92" t="s">
        <v>8</v>
      </c>
      <c r="I60" s="93" t="s">
        <v>8</v>
      </c>
      <c r="J60" s="108"/>
      <c r="K60" s="32"/>
      <c r="L60" s="6"/>
      <c r="M60" s="6"/>
      <c r="N60" s="32"/>
      <c r="O60" s="6"/>
      <c r="P60" s="6"/>
    </row>
    <row r="61" spans="1:16" x14ac:dyDescent="0.3">
      <c r="A61" s="371" t="s">
        <v>113</v>
      </c>
      <c r="B61" t="s">
        <v>104</v>
      </c>
      <c r="C61" s="7" t="s">
        <v>39</v>
      </c>
      <c r="D61" s="116" t="s">
        <v>8</v>
      </c>
      <c r="F61" s="12"/>
      <c r="J61" s="12"/>
      <c r="K61" s="110" t="s">
        <v>8</v>
      </c>
      <c r="L61"/>
      <c r="M61"/>
      <c r="N61" s="24"/>
      <c r="O61"/>
      <c r="P61"/>
    </row>
    <row r="62" spans="1:16" x14ac:dyDescent="0.3">
      <c r="A62" s="372"/>
      <c r="B62" t="s">
        <v>108</v>
      </c>
      <c r="C62" t="s">
        <v>39</v>
      </c>
      <c r="D62" s="95" t="s">
        <v>8</v>
      </c>
      <c r="F62" s="12"/>
      <c r="J62" s="12"/>
      <c r="K62" s="111" t="s">
        <v>8</v>
      </c>
      <c r="L62"/>
      <c r="M62"/>
      <c r="N62" s="24"/>
      <c r="O62"/>
      <c r="P62"/>
    </row>
    <row r="63" spans="1:16" x14ac:dyDescent="0.3">
      <c r="A63" s="372"/>
      <c r="B63" t="s">
        <v>109</v>
      </c>
      <c r="C63" t="s">
        <v>39</v>
      </c>
      <c r="D63" s="95" t="s">
        <v>8</v>
      </c>
      <c r="F63" s="12"/>
      <c r="J63" s="12"/>
      <c r="K63" s="111" t="s">
        <v>8</v>
      </c>
      <c r="L63"/>
      <c r="M63"/>
      <c r="N63" s="24"/>
      <c r="O63"/>
      <c r="P63"/>
    </row>
    <row r="64" spans="1:16" x14ac:dyDescent="0.3">
      <c r="A64" s="373"/>
      <c r="B64" s="6" t="s">
        <v>105</v>
      </c>
      <c r="C64" s="6" t="s">
        <v>39</v>
      </c>
      <c r="D64" s="109" t="s">
        <v>8</v>
      </c>
      <c r="F64" s="12"/>
      <c r="J64" s="14"/>
      <c r="K64" s="90" t="s">
        <v>8</v>
      </c>
      <c r="L64" s="92" t="s">
        <v>8</v>
      </c>
      <c r="M64" s="93" t="s">
        <v>8</v>
      </c>
      <c r="N64" s="24"/>
      <c r="O64"/>
      <c r="P64"/>
    </row>
    <row r="65" spans="1:16" ht="14.55" customHeight="1" x14ac:dyDescent="0.3">
      <c r="A65" s="371" t="s">
        <v>18</v>
      </c>
      <c r="B65" s="7" t="s">
        <v>110</v>
      </c>
      <c r="C65" s="7" t="s">
        <v>39</v>
      </c>
      <c r="D65" s="95" t="s">
        <v>8</v>
      </c>
      <c r="E65" s="15"/>
      <c r="F65" s="17"/>
      <c r="G65" s="15"/>
      <c r="H65" s="94" t="s">
        <v>8</v>
      </c>
      <c r="I65" s="94" t="s">
        <v>8</v>
      </c>
      <c r="J65" s="17"/>
      <c r="K65" s="30"/>
      <c r="L65" s="7"/>
      <c r="M65" s="7"/>
      <c r="N65" s="30"/>
      <c r="O65" s="7"/>
      <c r="P65" s="7"/>
    </row>
    <row r="66" spans="1:16" ht="14.55" customHeight="1" x14ac:dyDescent="0.3">
      <c r="A66" s="372"/>
      <c r="B66" t="s">
        <v>111</v>
      </c>
      <c r="C66" t="s">
        <v>39</v>
      </c>
      <c r="F66" s="12"/>
      <c r="J66" s="12"/>
      <c r="K66" s="24"/>
      <c r="L66" s="113" t="s">
        <v>8</v>
      </c>
      <c r="M66" s="113" t="s">
        <v>8</v>
      </c>
      <c r="N66" s="28"/>
      <c r="O66"/>
      <c r="P66"/>
    </row>
    <row r="67" spans="1:16" x14ac:dyDescent="0.3">
      <c r="A67" s="372"/>
      <c r="B67" t="s">
        <v>6</v>
      </c>
      <c r="C67" t="s">
        <v>39</v>
      </c>
      <c r="F67" s="12"/>
      <c r="J67" s="12"/>
      <c r="K67" s="24"/>
      <c r="L67" s="91" t="s">
        <v>98</v>
      </c>
      <c r="M67"/>
      <c r="N67" s="24"/>
      <c r="O67"/>
      <c r="P67"/>
    </row>
    <row r="68" spans="1:16" x14ac:dyDescent="0.3">
      <c r="A68" s="372"/>
      <c r="B68" t="s">
        <v>85</v>
      </c>
      <c r="C68" t="s">
        <v>39</v>
      </c>
      <c r="F68" s="12"/>
      <c r="J68" s="12"/>
      <c r="K68" s="24"/>
      <c r="L68"/>
      <c r="M68"/>
      <c r="N68" s="28"/>
      <c r="O68" s="29"/>
      <c r="P68" s="29"/>
    </row>
    <row r="69" spans="1:16" x14ac:dyDescent="0.3">
      <c r="A69" s="372"/>
      <c r="B69" t="s">
        <v>46</v>
      </c>
      <c r="C69" t="s">
        <v>39</v>
      </c>
      <c r="F69" s="12"/>
      <c r="G69" s="13"/>
      <c r="H69" s="13"/>
      <c r="J69" s="14"/>
      <c r="K69" s="32"/>
      <c r="L69" s="6"/>
      <c r="M69" s="6"/>
      <c r="N69" s="32"/>
      <c r="O69" s="112"/>
      <c r="P69" s="112"/>
    </row>
    <row r="70" spans="1:16" x14ac:dyDescent="0.3">
      <c r="A70" s="371" t="s">
        <v>2</v>
      </c>
      <c r="B70" s="7" t="s">
        <v>9</v>
      </c>
      <c r="C70" s="7" t="s">
        <v>38</v>
      </c>
      <c r="D70" s="33"/>
      <c r="E70" s="8"/>
      <c r="F70" s="36"/>
      <c r="G70" s="2"/>
      <c r="H70" s="15"/>
      <c r="I70" s="8"/>
      <c r="J70" s="12"/>
      <c r="K70" s="24"/>
      <c r="L70" s="16"/>
      <c r="M70"/>
      <c r="N70" s="24"/>
      <c r="O70"/>
      <c r="P70"/>
    </row>
    <row r="71" spans="1:16" x14ac:dyDescent="0.3">
      <c r="A71" s="372"/>
      <c r="B71" t="s">
        <v>23</v>
      </c>
      <c r="C71" t="s">
        <v>38</v>
      </c>
      <c r="E71" s="2"/>
      <c r="F71" s="37"/>
      <c r="G71" s="2"/>
      <c r="J71" s="12"/>
      <c r="K71" s="24"/>
      <c r="L71" s="16"/>
      <c r="M71" s="16"/>
      <c r="N71" s="24"/>
      <c r="O71"/>
      <c r="P71"/>
    </row>
    <row r="72" spans="1:16" x14ac:dyDescent="0.3">
      <c r="F72" s="12"/>
      <c r="H72" s="19"/>
      <c r="J72" s="12"/>
      <c r="K72" s="12"/>
      <c r="N72" s="24"/>
      <c r="O72"/>
    </row>
    <row r="73" spans="1:16" x14ac:dyDescent="0.3">
      <c r="F73" s="12"/>
      <c r="H73" s="19"/>
      <c r="J73" s="24"/>
      <c r="K73" s="12"/>
      <c r="N73" s="18" t="s">
        <v>24</v>
      </c>
      <c r="O73"/>
    </row>
    <row r="74" spans="1:16" x14ac:dyDescent="0.3">
      <c r="F74" s="12"/>
      <c r="J74" s="24"/>
      <c r="K74" s="12"/>
    </row>
    <row r="75" spans="1:16" x14ac:dyDescent="0.3">
      <c r="F75" s="12"/>
      <c r="J75" s="24"/>
      <c r="K75" s="18" t="s">
        <v>56</v>
      </c>
      <c r="O75"/>
    </row>
    <row r="76" spans="1:16" s="1" customFormat="1" x14ac:dyDescent="0.3">
      <c r="A76" s="5"/>
      <c r="B76"/>
      <c r="C76"/>
      <c r="D76" s="11"/>
      <c r="F76" s="12"/>
      <c r="J76" s="24"/>
    </row>
    <row r="77" spans="1:16" s="1" customFormat="1" x14ac:dyDescent="0.3">
      <c r="A77" s="5"/>
      <c r="B77"/>
      <c r="C77"/>
      <c r="D77" s="11"/>
      <c r="F77" s="12"/>
      <c r="J77" s="18" t="s">
        <v>58</v>
      </c>
    </row>
    <row r="78" spans="1:16" x14ac:dyDescent="0.3">
      <c r="F78" s="12"/>
      <c r="J78"/>
      <c r="K78"/>
      <c r="L78"/>
      <c r="M78"/>
      <c r="N78"/>
      <c r="O78"/>
      <c r="P78"/>
    </row>
    <row r="79" spans="1:16" x14ac:dyDescent="0.3">
      <c r="F79" s="18" t="s">
        <v>55</v>
      </c>
      <c r="L79"/>
      <c r="M79"/>
      <c r="N79"/>
      <c r="O79"/>
      <c r="P79"/>
    </row>
    <row r="80" spans="1:16" x14ac:dyDescent="0.3">
      <c r="L80"/>
      <c r="M80"/>
      <c r="N80"/>
      <c r="O80"/>
      <c r="P80"/>
    </row>
    <row r="81" spans="12:16" x14ac:dyDescent="0.3">
      <c r="L81"/>
      <c r="M81"/>
      <c r="N81"/>
      <c r="O81"/>
      <c r="P81"/>
    </row>
  </sheetData>
  <mergeCells count="10">
    <mergeCell ref="A70:A71"/>
    <mergeCell ref="A54:A60"/>
    <mergeCell ref="A39:A53"/>
    <mergeCell ref="A12:A23"/>
    <mergeCell ref="A1:P1"/>
    <mergeCell ref="A65:A69"/>
    <mergeCell ref="A4:A9"/>
    <mergeCell ref="A10:A11"/>
    <mergeCell ref="A24:A33"/>
    <mergeCell ref="A61:A64"/>
  </mergeCells>
  <conditionalFormatting sqref="C2:C1048576">
    <cfRule type="cellIs" dxfId="1" priority="1" operator="equal">
      <formula>"adr"</formula>
    </cfRule>
    <cfRule type="cellIs" dxfId="0" priority="2" operator="equal">
      <formula>"sid"</formula>
    </cfRule>
  </conditionalFormatting>
  <pageMargins left="0.23622047244094491" right="0.23622047244094491" top="0.35433070866141736" bottom="0.55118110236220474" header="0.31496062992125984" footer="0.31496062992125984"/>
  <pageSetup paperSize="8" orientation="portrait" r:id="rId1"/>
  <headerFooter>
    <oddFooter>&amp;R&amp;P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17"/>
  <sheetViews>
    <sheetView view="pageLayout" zoomScaleNormal="100" workbookViewId="0">
      <selection activeCell="A30" sqref="A30"/>
    </sheetView>
  </sheetViews>
  <sheetFormatPr defaultRowHeight="14.4" x14ac:dyDescent="0.3"/>
  <cols>
    <col min="1" max="1" width="33.77734375" style="38" customWidth="1"/>
    <col min="2" max="2" width="8.5546875" customWidth="1"/>
    <col min="3" max="106" width="3.21875" customWidth="1"/>
  </cols>
  <sheetData>
    <row r="1" spans="1:35" x14ac:dyDescent="0.3">
      <c r="C1" s="375" t="s">
        <v>94</v>
      </c>
      <c r="D1" s="376"/>
      <c r="E1" s="376"/>
      <c r="F1" s="376"/>
      <c r="G1" s="376"/>
      <c r="H1" s="376"/>
      <c r="I1" s="376"/>
      <c r="J1" s="377"/>
      <c r="K1" s="378" t="s">
        <v>95</v>
      </c>
      <c r="L1" s="379"/>
      <c r="M1" s="379"/>
      <c r="N1" s="379"/>
      <c r="O1" s="379"/>
      <c r="P1" s="379"/>
      <c r="Q1" s="379"/>
      <c r="R1" s="379"/>
      <c r="S1" s="379"/>
      <c r="T1" s="379"/>
      <c r="U1" s="379"/>
      <c r="V1" s="379"/>
      <c r="W1" s="379"/>
      <c r="X1" s="379"/>
      <c r="Y1" s="379"/>
      <c r="Z1" s="379"/>
      <c r="AA1" s="379"/>
      <c r="AB1" s="379"/>
      <c r="AC1" s="379"/>
      <c r="AD1" s="379"/>
      <c r="AE1" s="379"/>
      <c r="AF1" s="379"/>
      <c r="AG1" s="379"/>
      <c r="AH1" s="379"/>
      <c r="AI1" s="380"/>
    </row>
    <row r="2" spans="1:35" ht="18" customHeight="1" x14ac:dyDescent="0.3">
      <c r="A2" s="44" t="s">
        <v>0</v>
      </c>
      <c r="B2" s="61" t="s">
        <v>62</v>
      </c>
      <c r="C2" s="65">
        <v>24</v>
      </c>
      <c r="D2" s="40">
        <v>25</v>
      </c>
      <c r="E2" s="40">
        <v>26</v>
      </c>
      <c r="F2" s="40">
        <v>27</v>
      </c>
      <c r="G2" s="40">
        <v>28</v>
      </c>
      <c r="H2" s="50">
        <v>29</v>
      </c>
      <c r="I2" s="40">
        <v>30</v>
      </c>
      <c r="J2" s="66">
        <v>31</v>
      </c>
      <c r="K2" s="65">
        <v>1</v>
      </c>
      <c r="L2" s="40">
        <v>2</v>
      </c>
      <c r="M2" s="40">
        <v>3</v>
      </c>
      <c r="N2" s="40">
        <v>4</v>
      </c>
      <c r="O2" s="50">
        <v>5</v>
      </c>
      <c r="P2" s="40">
        <v>6</v>
      </c>
      <c r="Q2" s="40">
        <v>7</v>
      </c>
      <c r="R2" s="40">
        <v>8</v>
      </c>
      <c r="S2" s="40">
        <v>9</v>
      </c>
      <c r="T2" s="40">
        <v>10</v>
      </c>
      <c r="U2" s="40">
        <v>11</v>
      </c>
      <c r="V2" s="50">
        <v>12</v>
      </c>
      <c r="W2" s="40">
        <v>13</v>
      </c>
      <c r="X2" s="40">
        <v>14</v>
      </c>
      <c r="Y2" s="40">
        <v>15</v>
      </c>
      <c r="Z2" s="46">
        <v>16</v>
      </c>
      <c r="AA2" s="40">
        <v>17</v>
      </c>
      <c r="AB2" s="40">
        <v>18</v>
      </c>
      <c r="AC2" s="48">
        <v>19</v>
      </c>
      <c r="AD2" s="40">
        <v>20</v>
      </c>
      <c r="AE2" s="40">
        <v>21</v>
      </c>
      <c r="AF2" s="40">
        <v>22</v>
      </c>
      <c r="AG2" s="40">
        <v>23</v>
      </c>
      <c r="AH2" s="40">
        <v>24</v>
      </c>
      <c r="AI2" s="66">
        <v>25</v>
      </c>
    </row>
    <row r="3" spans="1:35" ht="28.8" x14ac:dyDescent="0.3">
      <c r="A3" s="59" t="s">
        <v>92</v>
      </c>
      <c r="B3" s="62" t="s">
        <v>88</v>
      </c>
      <c r="C3" s="65"/>
      <c r="D3" s="47"/>
      <c r="E3" s="47"/>
      <c r="F3" s="47"/>
      <c r="G3" s="40"/>
      <c r="H3" s="48"/>
      <c r="I3" s="40"/>
      <c r="J3" s="66"/>
      <c r="K3" s="65"/>
      <c r="L3" s="40"/>
      <c r="M3" s="40"/>
      <c r="N3" s="40"/>
      <c r="O3" s="48"/>
      <c r="P3" s="40"/>
      <c r="Q3" s="40"/>
      <c r="R3" s="40"/>
      <c r="S3" s="40"/>
      <c r="T3" s="40"/>
      <c r="U3" s="40"/>
      <c r="V3" s="48"/>
      <c r="W3" s="40"/>
      <c r="X3" s="40"/>
      <c r="Y3" s="40"/>
      <c r="Z3" s="40"/>
      <c r="AA3" s="39"/>
      <c r="AB3" s="39"/>
      <c r="AC3" s="42"/>
      <c r="AD3" s="39"/>
      <c r="AE3" s="39"/>
      <c r="AF3" s="39"/>
      <c r="AG3" s="39"/>
      <c r="AH3" s="39"/>
      <c r="AI3" s="80"/>
    </row>
    <row r="4" spans="1:35" ht="20.25" customHeight="1" x14ac:dyDescent="0.3">
      <c r="A4" s="59" t="s">
        <v>96</v>
      </c>
      <c r="B4" s="61" t="s">
        <v>97</v>
      </c>
      <c r="C4" s="65"/>
      <c r="D4" s="40"/>
      <c r="E4" s="40"/>
      <c r="F4" s="52"/>
      <c r="G4" s="52"/>
      <c r="H4" s="48"/>
      <c r="I4" s="40"/>
      <c r="J4" s="66"/>
      <c r="K4" s="65"/>
      <c r="L4" s="40"/>
      <c r="M4" s="40"/>
      <c r="N4" s="40"/>
      <c r="O4" s="48"/>
      <c r="P4" s="40"/>
      <c r="Q4" s="40"/>
      <c r="R4" s="40"/>
      <c r="S4" s="40"/>
      <c r="T4" s="40"/>
      <c r="U4" s="40"/>
      <c r="V4" s="48"/>
      <c r="W4" s="40"/>
      <c r="X4" s="40"/>
      <c r="Y4" s="40"/>
      <c r="Z4" s="40"/>
      <c r="AA4" s="39"/>
      <c r="AB4" s="39"/>
      <c r="AC4" s="42"/>
      <c r="AD4" s="39"/>
      <c r="AE4" s="39"/>
      <c r="AF4" s="39"/>
      <c r="AG4" s="39"/>
      <c r="AH4" s="39"/>
      <c r="AI4" s="80"/>
    </row>
    <row r="5" spans="1:35" ht="18" customHeight="1" x14ac:dyDescent="0.3">
      <c r="A5" s="60" t="s">
        <v>89</v>
      </c>
      <c r="B5" s="62" t="s">
        <v>93</v>
      </c>
      <c r="C5" s="67"/>
      <c r="D5" s="39"/>
      <c r="E5" s="39"/>
      <c r="F5" s="53"/>
      <c r="G5" s="53"/>
      <c r="H5" s="42"/>
      <c r="I5" s="53"/>
      <c r="J5" s="68"/>
      <c r="K5" s="81"/>
      <c r="L5" s="53"/>
      <c r="M5" s="53"/>
      <c r="N5" s="53"/>
      <c r="O5" s="42"/>
      <c r="P5" s="53"/>
      <c r="Q5" s="53"/>
      <c r="R5" s="53"/>
      <c r="S5" s="53"/>
      <c r="T5" s="39"/>
      <c r="U5" s="39"/>
      <c r="V5" s="42"/>
      <c r="W5" s="39"/>
      <c r="X5" s="39"/>
      <c r="Y5" s="39"/>
      <c r="Z5" s="39"/>
      <c r="AA5" s="39"/>
      <c r="AB5" s="39"/>
      <c r="AC5" s="42"/>
      <c r="AD5" s="39"/>
      <c r="AE5" s="39"/>
      <c r="AF5" s="39"/>
      <c r="AG5" s="39"/>
      <c r="AH5" s="39"/>
      <c r="AI5" s="80"/>
    </row>
    <row r="6" spans="1:35" ht="18" customHeight="1" x14ac:dyDescent="0.3">
      <c r="A6" s="60" t="s">
        <v>90</v>
      </c>
      <c r="B6" s="62" t="s">
        <v>91</v>
      </c>
      <c r="C6" s="67"/>
      <c r="D6" s="39"/>
      <c r="E6" s="39"/>
      <c r="F6" s="39"/>
      <c r="G6" s="39"/>
      <c r="H6" s="42"/>
      <c r="I6" s="43"/>
      <c r="J6" s="69"/>
      <c r="K6" s="82"/>
      <c r="L6" s="43"/>
      <c r="M6" s="43"/>
      <c r="N6" s="39"/>
      <c r="O6" s="42"/>
      <c r="P6" s="39"/>
      <c r="Q6" s="39"/>
      <c r="R6" s="39"/>
      <c r="S6" s="39"/>
      <c r="T6" s="39"/>
      <c r="U6" s="39"/>
      <c r="V6" s="42"/>
      <c r="W6" s="39"/>
      <c r="X6" s="39"/>
      <c r="Y6" s="39"/>
      <c r="Z6" s="39"/>
      <c r="AA6" s="39"/>
      <c r="AB6" s="39"/>
      <c r="AC6" s="42"/>
      <c r="AD6" s="39"/>
      <c r="AE6" s="39"/>
      <c r="AF6" s="39"/>
      <c r="AG6" s="39"/>
      <c r="AH6" s="39"/>
      <c r="AI6" s="80"/>
    </row>
    <row r="7" spans="1:35" ht="18" customHeight="1" x14ac:dyDescent="0.3">
      <c r="A7" s="60" t="s">
        <v>49</v>
      </c>
      <c r="B7" s="63" t="s">
        <v>59</v>
      </c>
      <c r="C7" s="65"/>
      <c r="D7" s="39"/>
      <c r="E7" s="41"/>
      <c r="F7" s="41"/>
      <c r="G7" s="41"/>
      <c r="H7" s="42"/>
      <c r="I7" s="41"/>
      <c r="J7" s="70"/>
      <c r="K7" s="83"/>
      <c r="L7" s="41"/>
      <c r="M7" s="41"/>
      <c r="N7" s="41"/>
      <c r="O7" s="42"/>
      <c r="P7" s="41"/>
      <c r="Q7" s="41"/>
      <c r="R7" s="41"/>
      <c r="S7" s="45"/>
      <c r="T7" s="45"/>
      <c r="U7" s="45"/>
      <c r="V7" s="49"/>
      <c r="W7" s="45"/>
      <c r="X7" s="45"/>
      <c r="Y7" s="45"/>
      <c r="Z7" s="45"/>
      <c r="AA7" s="39"/>
      <c r="AB7" s="39"/>
      <c r="AC7" s="42"/>
      <c r="AD7" s="39"/>
      <c r="AE7" s="39"/>
      <c r="AF7" s="39"/>
      <c r="AG7" s="39"/>
      <c r="AH7" s="39"/>
      <c r="AI7" s="80"/>
    </row>
    <row r="8" spans="1:35" ht="18" customHeight="1" x14ac:dyDescent="0.3">
      <c r="A8" s="60" t="s">
        <v>50</v>
      </c>
      <c r="B8" s="63" t="s">
        <v>60</v>
      </c>
      <c r="C8" s="65"/>
      <c r="D8" s="40"/>
      <c r="E8" s="39"/>
      <c r="F8" s="39"/>
      <c r="G8" s="39"/>
      <c r="H8" s="42"/>
      <c r="I8" s="54"/>
      <c r="J8" s="71"/>
      <c r="K8" s="84"/>
      <c r="L8" s="54"/>
      <c r="M8" s="54"/>
      <c r="N8" s="54"/>
      <c r="O8" s="42"/>
      <c r="P8" s="54"/>
      <c r="Q8" s="54"/>
      <c r="R8" s="54"/>
      <c r="S8" s="54"/>
      <c r="T8" s="54"/>
      <c r="U8" s="54"/>
      <c r="V8" s="42"/>
      <c r="W8" s="54"/>
      <c r="X8" s="54"/>
      <c r="Y8" s="54"/>
      <c r="Z8" s="54"/>
      <c r="AA8" s="58"/>
      <c r="AB8" s="58"/>
      <c r="AC8" s="42"/>
      <c r="AD8" s="54"/>
      <c r="AE8" s="54"/>
      <c r="AF8" s="54"/>
      <c r="AG8" s="54"/>
      <c r="AH8" s="54"/>
      <c r="AI8" s="71"/>
    </row>
    <row r="9" spans="1:35" ht="18" customHeight="1" x14ac:dyDescent="0.3">
      <c r="A9" s="60" t="s">
        <v>27</v>
      </c>
      <c r="B9" s="64" t="s">
        <v>59</v>
      </c>
      <c r="C9" s="65"/>
      <c r="D9" s="39"/>
      <c r="E9" s="39"/>
      <c r="F9" s="51"/>
      <c r="G9" s="39"/>
      <c r="H9" s="42"/>
      <c r="I9" s="55"/>
      <c r="J9" s="72"/>
      <c r="K9" s="85"/>
      <c r="L9" s="55"/>
      <c r="M9" s="55"/>
      <c r="N9" s="55"/>
      <c r="O9" s="42"/>
      <c r="P9" s="39"/>
      <c r="Q9" s="39"/>
      <c r="R9" s="39"/>
      <c r="S9" s="39"/>
      <c r="T9" s="39"/>
      <c r="U9" s="39"/>
      <c r="V9" s="42"/>
      <c r="W9" s="39"/>
      <c r="X9" s="39"/>
      <c r="Y9" s="39"/>
      <c r="Z9" s="39"/>
      <c r="AA9" s="39"/>
      <c r="AB9" s="39"/>
      <c r="AC9" s="42"/>
      <c r="AD9" s="39"/>
      <c r="AE9" s="39"/>
      <c r="AF9" s="39"/>
      <c r="AG9" s="39"/>
      <c r="AH9" s="39"/>
      <c r="AI9" s="80"/>
    </row>
    <row r="10" spans="1:35" ht="18" customHeight="1" x14ac:dyDescent="0.3">
      <c r="A10" s="60" t="s">
        <v>22</v>
      </c>
      <c r="B10" s="63" t="s">
        <v>66</v>
      </c>
      <c r="C10" s="67"/>
      <c r="D10" s="39"/>
      <c r="E10" s="57"/>
      <c r="F10" s="57"/>
      <c r="G10" s="56"/>
      <c r="H10" s="42"/>
      <c r="I10" s="56"/>
      <c r="J10" s="73"/>
      <c r="K10" s="86"/>
      <c r="L10" s="39"/>
      <c r="M10" s="39"/>
      <c r="N10" s="39"/>
      <c r="O10" s="42"/>
      <c r="P10" s="39"/>
      <c r="Q10" s="39"/>
      <c r="R10" s="39"/>
      <c r="S10" s="39"/>
      <c r="T10" s="39"/>
      <c r="U10" s="39"/>
      <c r="V10" s="42"/>
      <c r="W10" s="39"/>
      <c r="X10" s="39"/>
      <c r="Y10" s="39"/>
      <c r="Z10" s="39"/>
      <c r="AA10" s="39"/>
      <c r="AB10" s="39"/>
      <c r="AC10" s="42"/>
      <c r="AD10" s="39"/>
      <c r="AE10" s="39"/>
      <c r="AF10" s="39"/>
      <c r="AG10" s="39"/>
      <c r="AH10" s="39"/>
      <c r="AI10" s="80"/>
    </row>
    <row r="11" spans="1:35" ht="18" customHeight="1" thickBot="1" x14ac:dyDescent="0.35">
      <c r="A11" s="59" t="s">
        <v>48</v>
      </c>
      <c r="B11" s="63" t="s">
        <v>61</v>
      </c>
      <c r="C11" s="74"/>
      <c r="D11" s="75"/>
      <c r="E11" s="76"/>
      <c r="F11" s="76"/>
      <c r="G11" s="77"/>
      <c r="H11" s="78"/>
      <c r="I11" s="77"/>
      <c r="J11" s="79"/>
      <c r="K11" s="87"/>
      <c r="L11" s="77"/>
      <c r="M11" s="88"/>
      <c r="N11" s="88"/>
      <c r="O11" s="78"/>
      <c r="P11" s="88"/>
      <c r="Q11" s="88"/>
      <c r="R11" s="88"/>
      <c r="S11" s="88"/>
      <c r="T11" s="88"/>
      <c r="U11" s="88"/>
      <c r="V11" s="78"/>
      <c r="W11" s="88"/>
      <c r="X11" s="88"/>
      <c r="Y11" s="88"/>
      <c r="Z11" s="88"/>
      <c r="AA11" s="88"/>
      <c r="AB11" s="88"/>
      <c r="AC11" s="78"/>
      <c r="AD11" s="88"/>
      <c r="AE11" s="88"/>
      <c r="AF11" s="88"/>
      <c r="AG11" s="88"/>
      <c r="AH11" s="88"/>
      <c r="AI11" s="89"/>
    </row>
    <row r="12" spans="1:35" ht="18" customHeight="1" x14ac:dyDescent="0.3"/>
    <row r="13" spans="1:35" ht="18" customHeight="1" x14ac:dyDescent="0.3">
      <c r="A13" s="38" t="s">
        <v>63</v>
      </c>
    </row>
    <row r="14" spans="1:35" ht="18" customHeight="1" x14ac:dyDescent="0.3">
      <c r="A14" s="5" t="s">
        <v>87</v>
      </c>
    </row>
    <row r="15" spans="1:35" ht="18" customHeight="1" x14ac:dyDescent="0.3">
      <c r="A15" s="5" t="s">
        <v>64</v>
      </c>
    </row>
    <row r="16" spans="1:35" ht="18" customHeight="1" x14ac:dyDescent="0.3">
      <c r="A16" s="5" t="s">
        <v>65</v>
      </c>
    </row>
    <row r="17" spans="1:1" ht="18" customHeight="1" x14ac:dyDescent="0.3">
      <c r="A17" s="38" t="s">
        <v>86</v>
      </c>
    </row>
  </sheetData>
  <mergeCells count="2">
    <mergeCell ref="C1:J1"/>
    <mergeCell ref="K1:AI1"/>
  </mergeCells>
  <pageMargins left="0.30208333333333331" right="9.0937500000000004E-2" top="0.75" bottom="0.75" header="0.3" footer="0.3"/>
  <pageSetup paperSize="9" scale="97" orientation="landscape" r:id="rId1"/>
  <headerFooter>
    <oddHeader xml:space="preserve">&amp;C&amp;"-,Bold"&amp;16ESTIMASI WAKTU PRODUKSI MASAL KITCHEN
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import plan</vt:lpstr>
      <vt:lpstr>Revisi 4</vt:lpstr>
      <vt:lpstr>Sheet1</vt:lpstr>
      <vt:lpstr>'Revisi 4'!Print_Titles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2025-07-07T02:55:41Z</dcterms:modified>
</cp:coreProperties>
</file>