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D42942D2-F7EF-4C32-B964-CC26F73890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2021 - Conceptual Desig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4" i="1" l="1"/>
  <c r="G43" i="1"/>
  <c r="G35" i="1"/>
  <c r="G38" i="1" s="1"/>
  <c r="F44" i="1"/>
  <c r="F43" i="1"/>
  <c r="F35" i="1"/>
  <c r="E44" i="1"/>
  <c r="E43" i="1"/>
  <c r="E35" i="1"/>
  <c r="D43" i="1"/>
  <c r="D44" i="1" s="1"/>
  <c r="D35" i="1"/>
  <c r="C43" i="1"/>
  <c r="C44" i="1" s="1"/>
  <c r="B43" i="1"/>
  <c r="B44" i="1" s="1"/>
  <c r="C35" i="1"/>
  <c r="B35" i="1"/>
  <c r="C20" i="1"/>
  <c r="C21" i="1" s="1"/>
  <c r="C22" i="1" s="1"/>
  <c r="G20" i="1"/>
  <c r="G21" i="1" s="1"/>
  <c r="G22" i="1" s="1"/>
  <c r="B20" i="1"/>
  <c r="B21" i="1" s="1"/>
  <c r="B22" i="1" s="1"/>
  <c r="C19" i="1"/>
  <c r="C24" i="1" s="1"/>
  <c r="D19" i="1"/>
  <c r="D24" i="1" s="1"/>
  <c r="D27" i="1" s="1"/>
  <c r="E19" i="1"/>
  <c r="E20" i="1" s="1"/>
  <c r="E21" i="1" s="1"/>
  <c r="E22" i="1" s="1"/>
  <c r="F19" i="1"/>
  <c r="F24" i="1" s="1"/>
  <c r="F25" i="1" s="1"/>
  <c r="F38" i="1" s="1"/>
  <c r="G19" i="1"/>
  <c r="G24" i="1" s="1"/>
  <c r="B19" i="1"/>
  <c r="B24" i="1" s="1"/>
  <c r="B27" i="1" s="1"/>
  <c r="C18" i="1"/>
  <c r="C25" i="1" s="1"/>
  <c r="D18" i="1"/>
  <c r="D26" i="1" s="1"/>
  <c r="E18" i="1"/>
  <c r="F18" i="1"/>
  <c r="G18" i="1"/>
  <c r="G25" i="1" s="1"/>
  <c r="B18" i="1"/>
  <c r="B26" i="1" s="1"/>
  <c r="B9" i="1"/>
  <c r="D32" i="1" l="1"/>
  <c r="F20" i="1"/>
  <c r="F21" i="1" s="1"/>
  <c r="F22" i="1" s="1"/>
  <c r="F27" i="1"/>
  <c r="B32" i="1"/>
  <c r="D20" i="1"/>
  <c r="D21" i="1" s="1"/>
  <c r="D22" i="1" s="1"/>
  <c r="G26" i="1"/>
  <c r="G28" i="1" s="1"/>
  <c r="F26" i="1"/>
  <c r="G27" i="1"/>
  <c r="C27" i="1"/>
  <c r="B25" i="1"/>
  <c r="B28" i="1" s="1"/>
  <c r="D25" i="1"/>
  <c r="E24" i="1"/>
  <c r="E27" i="1" s="1"/>
  <c r="C26" i="1"/>
  <c r="C28" i="1" s="1"/>
  <c r="C38" i="1"/>
  <c r="E26" i="1" l="1"/>
  <c r="E32" i="1" s="1"/>
  <c r="F28" i="1"/>
  <c r="B36" i="1"/>
  <c r="B37" i="1" s="1"/>
  <c r="E25" i="1"/>
  <c r="E28" i="1" s="1"/>
  <c r="B38" i="1"/>
  <c r="F32" i="1"/>
  <c r="F36" i="1" s="1"/>
  <c r="F37" i="1" s="1"/>
  <c r="F39" i="1" s="1"/>
  <c r="F40" i="1" s="1"/>
  <c r="F41" i="1" s="1"/>
  <c r="D38" i="1"/>
  <c r="D28" i="1"/>
  <c r="D36" i="1" s="1"/>
  <c r="D37" i="1" s="1"/>
  <c r="C32" i="1"/>
  <c r="C36" i="1" s="1"/>
  <c r="C37" i="1" s="1"/>
  <c r="C39" i="1" s="1"/>
  <c r="C40" i="1" s="1"/>
  <c r="C41" i="1" s="1"/>
  <c r="G32" i="1"/>
  <c r="G36" i="1" s="1"/>
  <c r="G37" i="1" s="1"/>
  <c r="G39" i="1" s="1"/>
  <c r="G40" i="1" s="1"/>
  <c r="G41" i="1" s="1"/>
  <c r="B39" i="1" l="1"/>
  <c r="B40" i="1" s="1"/>
  <c r="B41" i="1" s="1"/>
  <c r="E36" i="1"/>
  <c r="E37" i="1" s="1"/>
  <c r="E38" i="1"/>
  <c r="D39" i="1"/>
  <c r="D40" i="1" s="1"/>
  <c r="D41" i="1" s="1"/>
  <c r="E39" i="1" l="1"/>
  <c r="E40" i="1" s="1"/>
  <c r="E41" i="1" s="1"/>
</calcChain>
</file>

<file path=xl/sharedStrings.xml><?xml version="1.0" encoding="utf-8"?>
<sst xmlns="http://schemas.openxmlformats.org/spreadsheetml/2006/main" count="44" uniqueCount="44">
  <si>
    <t>CULVERT HYDRAULICS</t>
  </si>
  <si>
    <t>Culvert Diameter   (m)</t>
  </si>
  <si>
    <t>Embedment Depth (m)</t>
  </si>
  <si>
    <t>Theta</t>
  </si>
  <si>
    <t>Area of Flow (m2)</t>
  </si>
  <si>
    <t>Project: Bypass Channel Replacement Culvert</t>
  </si>
  <si>
    <t>Culvert Length (m)</t>
  </si>
  <si>
    <t>GEOMETRIC PROPERTIES (EMBEDDED CULVERT)</t>
  </si>
  <si>
    <t>Depth of Cover (m)</t>
  </si>
  <si>
    <t>Culvert Obvert Elevation (m)</t>
  </si>
  <si>
    <t>Culvert Invert Elevation (m)</t>
  </si>
  <si>
    <t>Hydraulic Radius (m)</t>
  </si>
  <si>
    <t>n2 (CSP Wall)</t>
  </si>
  <si>
    <t>n1 (Substrate)</t>
  </si>
  <si>
    <t>Number of Culvert Barrels</t>
  </si>
  <si>
    <t>Design Discharge (m3/s)</t>
  </si>
  <si>
    <t>Discharge in Each Culvert (m^3/s)</t>
  </si>
  <si>
    <t>Frictional Loss  (m)</t>
  </si>
  <si>
    <t>Velocity Through Culvert (m/s)</t>
  </si>
  <si>
    <t>Surveyed Channel Invert Elevation (Shot 328)</t>
  </si>
  <si>
    <t>Date: November 2021</t>
  </si>
  <si>
    <t>P (m)</t>
  </si>
  <si>
    <t>T (m)</t>
  </si>
  <si>
    <t>Mass per Barrel (kg)</t>
  </si>
  <si>
    <t>Project Mass (kg)</t>
  </si>
  <si>
    <t>Handling Mass (kg/m)</t>
  </si>
  <si>
    <t>Embedment Ratio, d/D   (m)</t>
  </si>
  <si>
    <t xml:space="preserve">Tailwater Surface Elevation </t>
  </si>
  <si>
    <t>Tailwater Depth, h3 (m)</t>
  </si>
  <si>
    <t>COMMERCIAL CULVERT PROPERTIES</t>
  </si>
  <si>
    <t>DESIGN PARAMETERS</t>
  </si>
  <si>
    <t>CULVERT ELEVATIONS</t>
  </si>
  <si>
    <t>Discharge Coefficient, C</t>
  </si>
  <si>
    <t>Headwater Depth, h1 (m)</t>
  </si>
  <si>
    <t>TOTAL MASS</t>
  </si>
  <si>
    <t xml:space="preserve">COMPOSITE ROUGHNESS    </t>
  </si>
  <si>
    <t xml:space="preserve"> </t>
  </si>
  <si>
    <t>Culvert Radius, r (m)</t>
  </si>
  <si>
    <t>Headwater Elevation (m)</t>
  </si>
  <si>
    <t>Freeboard (m)</t>
  </si>
  <si>
    <t xml:space="preserve">Conveyance, K </t>
  </si>
  <si>
    <t>Composite Roughness, n</t>
  </si>
  <si>
    <t xml:space="preserve">Purpose: Preliminary Sizing of Embedded CSP </t>
  </si>
  <si>
    <t>Proposed Embankment 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</si>
</sst>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3"/>
      <name val="Segoe Print"/>
    </font>
    <font>
      <sz val="13"/>
      <color theme="1"/>
      <name val="Segoe Print"/>
    </font>
    <font>
      <b/>
      <sz val="13"/>
      <color rgb="FFFF0000"/>
      <name val="Segoe Print"/>
    </font>
    <font>
      <b/>
      <sz val="13"/>
      <color theme="1"/>
      <name val="Segoe Print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Border="1"/>
    <xf numFmtId="0" fontId="1" fillId="0" borderId="1" xfId="0" applyFont="1" applyFill="1" applyBorder="1"/>
    <xf numFmtId="164" fontId="4" fillId="0" borderId="0" xfId="0" applyNumberFormat="1" applyFont="1" applyBorder="1" applyAlignment="1">
      <alignment horizontal="center"/>
    </xf>
    <xf numFmtId="0" fontId="2" fillId="0" borderId="0" xfId="0" applyFont="1" applyFill="1" applyBorder="1"/>
    <xf numFmtId="164" fontId="4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1" fillId="0" borderId="4" xfId="0" applyFont="1" applyFill="1" applyBorder="1"/>
    <xf numFmtId="1" fontId="4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1" fillId="0" borderId="8" xfId="0" applyFont="1" applyFill="1" applyBorder="1"/>
    <xf numFmtId="164" fontId="4" fillId="0" borderId="9" xfId="0" applyNumberFormat="1" applyFont="1" applyFill="1" applyBorder="1" applyAlignment="1">
      <alignment horizontal="center" vertical="center"/>
    </xf>
    <xf numFmtId="1" fontId="4" fillId="0" borderId="9" xfId="0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1" fontId="4" fillId="3" borderId="9" xfId="0" applyNumberFormat="1" applyFont="1" applyFill="1" applyBorder="1" applyAlignment="1">
      <alignment horizontal="center" vertical="center"/>
    </xf>
    <xf numFmtId="0" fontId="1" fillId="0" borderId="8" xfId="0" applyFont="1" applyBorder="1"/>
    <xf numFmtId="0" fontId="4" fillId="0" borderId="8" xfId="0" applyFont="1" applyBorder="1"/>
    <xf numFmtId="0" fontId="4" fillId="0" borderId="10" xfId="0" applyFont="1" applyBorder="1"/>
    <xf numFmtId="0" fontId="4" fillId="0" borderId="1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center"/>
    </xf>
    <xf numFmtId="0" fontId="1" fillId="0" borderId="13" xfId="0" applyFont="1" applyFill="1" applyBorder="1"/>
    <xf numFmtId="164" fontId="1" fillId="0" borderId="3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117"/>
  <sheetViews>
    <sheetView tabSelected="1" topLeftCell="A31" zoomScale="70" zoomScaleNormal="70" workbookViewId="0">
      <selection activeCell="L39" sqref="L39"/>
    </sheetView>
  </sheetViews>
  <sheetFormatPr defaultColWidth="9.140625" defaultRowHeight="27" x14ac:dyDescent="0.7"/>
  <cols>
    <col min="1" max="1" width="60.5703125" style="1" customWidth="1"/>
    <col min="2" max="2" width="20.5703125" style="1" customWidth="1"/>
    <col min="3" max="3" width="18.140625" style="1" customWidth="1"/>
    <col min="4" max="4" width="18.85546875" style="1" bestFit="1" customWidth="1"/>
    <col min="5" max="5" width="17.5703125" style="1" customWidth="1"/>
    <col min="6" max="6" width="18" style="1" customWidth="1"/>
    <col min="7" max="7" width="17.7109375" style="1" customWidth="1"/>
    <col min="8" max="8" width="3.85546875" style="1" customWidth="1"/>
    <col min="9" max="9" width="17.28515625" style="1" customWidth="1"/>
    <col min="10" max="16384" width="9.140625" style="1"/>
  </cols>
  <sheetData>
    <row r="1" spans="1:9" x14ac:dyDescent="0.7">
      <c r="A1" s="39" t="s">
        <v>5</v>
      </c>
      <c r="B1" s="39"/>
    </row>
    <row r="2" spans="1:9" x14ac:dyDescent="0.7">
      <c r="A2" s="38" t="s">
        <v>42</v>
      </c>
      <c r="B2" s="38"/>
    </row>
    <row r="3" spans="1:9" x14ac:dyDescent="0.7">
      <c r="A3" s="38" t="s">
        <v>20</v>
      </c>
      <c r="B3" s="38"/>
    </row>
    <row r="4" spans="1:9" x14ac:dyDescent="0.7">
      <c r="A4" s="40" t="s">
        <v>30</v>
      </c>
      <c r="B4" s="40"/>
    </row>
    <row r="5" spans="1:9" x14ac:dyDescent="0.7">
      <c r="A5" s="3" t="s">
        <v>19</v>
      </c>
      <c r="B5" s="8">
        <v>141.27500000000001</v>
      </c>
    </row>
    <row r="6" spans="1:9" x14ac:dyDescent="0.7">
      <c r="A6" s="3" t="s">
        <v>43</v>
      </c>
      <c r="B6" s="9">
        <v>144.67500000000001</v>
      </c>
    </row>
    <row r="7" spans="1:9" x14ac:dyDescent="0.7">
      <c r="A7" s="3" t="s">
        <v>15</v>
      </c>
      <c r="B7" s="12">
        <v>9.4</v>
      </c>
      <c r="C7" s="5"/>
      <c r="D7" s="5"/>
      <c r="E7" s="5"/>
      <c r="F7" s="5"/>
      <c r="G7" s="5" t="s">
        <v>36</v>
      </c>
    </row>
    <row r="8" spans="1:9" x14ac:dyDescent="0.7">
      <c r="A8" s="3" t="s">
        <v>27</v>
      </c>
      <c r="B8" s="10">
        <v>143.32499999999999</v>
      </c>
      <c r="C8" s="6"/>
      <c r="D8" s="6"/>
      <c r="E8" s="6"/>
      <c r="F8" s="6"/>
      <c r="G8" s="6"/>
    </row>
    <row r="9" spans="1:9" x14ac:dyDescent="0.7">
      <c r="A9" s="3" t="s">
        <v>28</v>
      </c>
      <c r="B9" s="10">
        <f>B8-B5</f>
        <v>2.0499999999999829</v>
      </c>
      <c r="C9" s="6"/>
      <c r="D9" s="6"/>
      <c r="E9" s="6"/>
      <c r="F9" s="6"/>
      <c r="G9" s="6"/>
    </row>
    <row r="10" spans="1:9" x14ac:dyDescent="0.7">
      <c r="A10" s="3" t="s">
        <v>26</v>
      </c>
      <c r="B10" s="11">
        <v>0.3</v>
      </c>
      <c r="C10" s="7"/>
      <c r="D10" s="7"/>
      <c r="E10" s="7"/>
      <c r="F10" s="7"/>
      <c r="G10" s="7"/>
    </row>
    <row r="11" spans="1:9" x14ac:dyDescent="0.7">
      <c r="A11" s="3" t="s">
        <v>6</v>
      </c>
      <c r="B11" s="15">
        <v>28</v>
      </c>
      <c r="C11" s="7"/>
      <c r="D11" s="7"/>
      <c r="E11" s="7"/>
      <c r="F11" s="7"/>
      <c r="G11" s="7"/>
      <c r="I11" s="5"/>
    </row>
    <row r="12" spans="1:9" x14ac:dyDescent="0.7">
      <c r="A12" s="3" t="s">
        <v>32</v>
      </c>
      <c r="B12" s="10">
        <v>0.92</v>
      </c>
      <c r="C12" s="7"/>
      <c r="D12" s="7"/>
      <c r="E12" s="7"/>
      <c r="F12" s="7"/>
      <c r="G12" s="7"/>
      <c r="I12" s="5"/>
    </row>
    <row r="13" spans="1:9" ht="27.75" thickBot="1" x14ac:dyDescent="0.75">
      <c r="A13" s="14"/>
      <c r="B13" s="13"/>
      <c r="C13" s="7"/>
      <c r="D13" s="7"/>
      <c r="E13" s="7"/>
      <c r="F13" s="7"/>
      <c r="G13" s="7"/>
      <c r="I13" s="5"/>
    </row>
    <row r="14" spans="1:9" x14ac:dyDescent="0.7">
      <c r="A14" s="41" t="s">
        <v>29</v>
      </c>
      <c r="B14" s="42"/>
      <c r="C14" s="42"/>
      <c r="D14" s="42"/>
      <c r="E14" s="42"/>
      <c r="F14" s="42"/>
      <c r="G14" s="43"/>
      <c r="I14" s="5"/>
    </row>
    <row r="15" spans="1:9" x14ac:dyDescent="0.7">
      <c r="A15" s="19" t="s">
        <v>1</v>
      </c>
      <c r="B15" s="11">
        <v>1.6</v>
      </c>
      <c r="C15" s="11">
        <v>1.8</v>
      </c>
      <c r="D15" s="11">
        <v>2</v>
      </c>
      <c r="E15" s="11">
        <v>2.2000000000000002</v>
      </c>
      <c r="F15" s="11">
        <v>2.4</v>
      </c>
      <c r="G15" s="20">
        <v>2.7</v>
      </c>
      <c r="I15" s="13"/>
    </row>
    <row r="16" spans="1:9" x14ac:dyDescent="0.7">
      <c r="A16" s="19" t="s">
        <v>25</v>
      </c>
      <c r="B16" s="15">
        <v>95</v>
      </c>
      <c r="C16" s="15">
        <v>106</v>
      </c>
      <c r="D16" s="15">
        <v>118</v>
      </c>
      <c r="E16" s="15">
        <v>129</v>
      </c>
      <c r="F16" s="15">
        <v>141</v>
      </c>
      <c r="G16" s="21">
        <v>159</v>
      </c>
      <c r="I16" s="33"/>
    </row>
    <row r="17" spans="1:9" x14ac:dyDescent="0.7">
      <c r="A17" s="35" t="s">
        <v>31</v>
      </c>
      <c r="B17" s="36"/>
      <c r="C17" s="36"/>
      <c r="D17" s="36"/>
      <c r="E17" s="36"/>
      <c r="F17" s="36"/>
      <c r="G17" s="37"/>
      <c r="I17" s="5"/>
    </row>
    <row r="18" spans="1:9" x14ac:dyDescent="0.7">
      <c r="A18" s="19" t="s">
        <v>37</v>
      </c>
      <c r="B18" s="16">
        <f>B15/2</f>
        <v>0.8</v>
      </c>
      <c r="C18" s="16">
        <f t="shared" ref="C18:G18" si="0">C15/2</f>
        <v>0.9</v>
      </c>
      <c r="D18" s="16">
        <f t="shared" si="0"/>
        <v>1</v>
      </c>
      <c r="E18" s="16">
        <f t="shared" si="0"/>
        <v>1.1000000000000001</v>
      </c>
      <c r="F18" s="16">
        <f t="shared" si="0"/>
        <v>1.2</v>
      </c>
      <c r="G18" s="16">
        <f t="shared" si="0"/>
        <v>1.35</v>
      </c>
      <c r="I18" s="5"/>
    </row>
    <row r="19" spans="1:9" x14ac:dyDescent="0.7">
      <c r="A19" s="19" t="s">
        <v>2</v>
      </c>
      <c r="B19" s="11">
        <f>$B$10*B15</f>
        <v>0.48</v>
      </c>
      <c r="C19" s="11">
        <f t="shared" ref="C19:G19" si="1">$B$10*C15</f>
        <v>0.54</v>
      </c>
      <c r="D19" s="11">
        <f t="shared" si="1"/>
        <v>0.6</v>
      </c>
      <c r="E19" s="11">
        <f t="shared" si="1"/>
        <v>0.66</v>
      </c>
      <c r="F19" s="11">
        <f t="shared" si="1"/>
        <v>0.72</v>
      </c>
      <c r="G19" s="11">
        <f t="shared" si="1"/>
        <v>0.81</v>
      </c>
      <c r="I19" s="13"/>
    </row>
    <row r="20" spans="1:9" x14ac:dyDescent="0.7">
      <c r="A20" s="19" t="s">
        <v>10</v>
      </c>
      <c r="B20" s="11">
        <f>$B$5-B19</f>
        <v>140.79500000000002</v>
      </c>
      <c r="C20" s="11">
        <f t="shared" ref="C20:G20" si="2">$B$5-C19</f>
        <v>140.73500000000001</v>
      </c>
      <c r="D20" s="11">
        <f t="shared" si="2"/>
        <v>140.67500000000001</v>
      </c>
      <c r="E20" s="11">
        <f t="shared" si="2"/>
        <v>140.61500000000001</v>
      </c>
      <c r="F20" s="11">
        <f t="shared" si="2"/>
        <v>140.55500000000001</v>
      </c>
      <c r="G20" s="11">
        <f t="shared" si="2"/>
        <v>140.465</v>
      </c>
      <c r="I20" s="13"/>
    </row>
    <row r="21" spans="1:9" x14ac:dyDescent="0.7">
      <c r="A21" s="19" t="s">
        <v>9</v>
      </c>
      <c r="B21" s="11">
        <f>B20+B15</f>
        <v>142.39500000000001</v>
      </c>
      <c r="C21" s="11">
        <f t="shared" ref="C21:G21" si="3">C20+C15</f>
        <v>142.53500000000003</v>
      </c>
      <c r="D21" s="11">
        <f t="shared" si="3"/>
        <v>142.67500000000001</v>
      </c>
      <c r="E21" s="11">
        <f t="shared" si="3"/>
        <v>142.815</v>
      </c>
      <c r="F21" s="11">
        <f t="shared" si="3"/>
        <v>142.95500000000001</v>
      </c>
      <c r="G21" s="11">
        <f t="shared" si="3"/>
        <v>143.16499999999999</v>
      </c>
      <c r="I21" s="13"/>
    </row>
    <row r="22" spans="1:9" x14ac:dyDescent="0.7">
      <c r="A22" s="19" t="s">
        <v>8</v>
      </c>
      <c r="B22" s="11">
        <f>$B$6-B21</f>
        <v>2.2800000000000011</v>
      </c>
      <c r="C22" s="11">
        <f t="shared" ref="C22:G22" si="4">$B$6-C21</f>
        <v>2.1399999999999864</v>
      </c>
      <c r="D22" s="11">
        <f t="shared" si="4"/>
        <v>2</v>
      </c>
      <c r="E22" s="11">
        <f t="shared" si="4"/>
        <v>1.8600000000000136</v>
      </c>
      <c r="F22" s="11">
        <f t="shared" si="4"/>
        <v>1.7199999999999989</v>
      </c>
      <c r="G22" s="11">
        <f t="shared" si="4"/>
        <v>1.5100000000000193</v>
      </c>
      <c r="I22" s="13"/>
    </row>
    <row r="23" spans="1:9" x14ac:dyDescent="0.7">
      <c r="A23" s="35" t="s">
        <v>7</v>
      </c>
      <c r="B23" s="36"/>
      <c r="C23" s="36"/>
      <c r="D23" s="36"/>
      <c r="E23" s="36"/>
      <c r="F23" s="36"/>
      <c r="G23" s="37"/>
      <c r="I23" s="5"/>
    </row>
    <row r="24" spans="1:9" x14ac:dyDescent="0.7">
      <c r="A24" s="19" t="s">
        <v>3</v>
      </c>
      <c r="B24" s="11">
        <f>ACOS(1-B19/(B18))</f>
        <v>1.1592794807274085</v>
      </c>
      <c r="C24" s="11">
        <f t="shared" ref="C24:G24" si="5">ACOS(1-C19/(C18))</f>
        <v>1.1592794807274085</v>
      </c>
      <c r="D24" s="11">
        <f t="shared" si="5"/>
        <v>1.1592794807274085</v>
      </c>
      <c r="E24" s="11">
        <f t="shared" si="5"/>
        <v>1.1592794807274085</v>
      </c>
      <c r="F24" s="11">
        <f t="shared" si="5"/>
        <v>1.1592794807274085</v>
      </c>
      <c r="G24" s="11">
        <f t="shared" si="5"/>
        <v>1.1592794807274085</v>
      </c>
      <c r="I24" s="13"/>
    </row>
    <row r="25" spans="1:9" x14ac:dyDescent="0.7">
      <c r="A25" s="19" t="s">
        <v>4</v>
      </c>
      <c r="B25" s="11">
        <f>PI()*B18^2-B18^2*(B24-COS(B24)*SIN(B24))</f>
        <v>1.5033083062136652</v>
      </c>
      <c r="C25" s="11">
        <f t="shared" ref="C25:G25" si="6">PI()*C18^2-C18^2*(C24-COS(C24)*SIN(C24))</f>
        <v>1.9026245750516702</v>
      </c>
      <c r="D25" s="11">
        <f t="shared" si="6"/>
        <v>2.3489192284588518</v>
      </c>
      <c r="E25" s="11">
        <f t="shared" si="6"/>
        <v>2.8421922664352115</v>
      </c>
      <c r="F25" s="11">
        <f t="shared" si="6"/>
        <v>3.3824436889807465</v>
      </c>
      <c r="G25" s="11">
        <f t="shared" si="6"/>
        <v>4.2809052938662582</v>
      </c>
      <c r="I25" s="13"/>
    </row>
    <row r="26" spans="1:9" x14ac:dyDescent="0.7">
      <c r="A26" s="19" t="s">
        <v>21</v>
      </c>
      <c r="B26" s="11">
        <f>2*B18*(PI()-B24)</f>
        <v>3.1717010765798155</v>
      </c>
      <c r="C26" s="11">
        <f t="shared" ref="C26:G26" si="7">2*C18*(PI()-C24)</f>
        <v>3.5681637111522924</v>
      </c>
      <c r="D26" s="11">
        <f t="shared" si="7"/>
        <v>3.9646263457247692</v>
      </c>
      <c r="E26" s="11">
        <f t="shared" si="7"/>
        <v>4.3610889802972466</v>
      </c>
      <c r="F26" s="11">
        <f t="shared" si="7"/>
        <v>4.7575516148697226</v>
      </c>
      <c r="G26" s="11">
        <f t="shared" si="7"/>
        <v>5.3522455667284392</v>
      </c>
      <c r="I26" s="13"/>
    </row>
    <row r="27" spans="1:9" x14ac:dyDescent="0.7">
      <c r="A27" s="19" t="s">
        <v>22</v>
      </c>
      <c r="B27" s="11">
        <f>2*B18*SIN(B24)</f>
        <v>1.4664242223858688</v>
      </c>
      <c r="C27" s="11">
        <f t="shared" ref="C27:G27" si="8">2*C18*SIN(C24)</f>
        <v>1.6497272501841025</v>
      </c>
      <c r="D27" s="11">
        <f t="shared" si="8"/>
        <v>1.833030277982336</v>
      </c>
      <c r="E27" s="11">
        <f t="shared" si="8"/>
        <v>2.0163333057805697</v>
      </c>
      <c r="F27" s="11">
        <f t="shared" si="8"/>
        <v>2.1996363335788032</v>
      </c>
      <c r="G27" s="11">
        <f t="shared" si="8"/>
        <v>2.4745908752761538</v>
      </c>
      <c r="I27" s="13"/>
    </row>
    <row r="28" spans="1:9" x14ac:dyDescent="0.7">
      <c r="A28" s="19" t="s">
        <v>11</v>
      </c>
      <c r="B28" s="11">
        <f>B25/(B26+B27)</f>
        <v>0.32411981335409529</v>
      </c>
      <c r="C28" s="11">
        <f t="shared" ref="C28:G28" si="9">C25/(C26+C27)</f>
        <v>0.36463479002335725</v>
      </c>
      <c r="D28" s="11">
        <f t="shared" si="9"/>
        <v>0.40514976669261915</v>
      </c>
      <c r="E28" s="11">
        <f t="shared" si="9"/>
        <v>0.44566474336188117</v>
      </c>
      <c r="F28" s="11">
        <f t="shared" si="9"/>
        <v>0.48617972003114301</v>
      </c>
      <c r="G28" s="11">
        <f t="shared" si="9"/>
        <v>0.54695218503503584</v>
      </c>
      <c r="I28" s="13"/>
    </row>
    <row r="29" spans="1:9" x14ac:dyDescent="0.7">
      <c r="A29" s="35" t="s">
        <v>35</v>
      </c>
      <c r="B29" s="36"/>
      <c r="C29" s="36"/>
      <c r="D29" s="36"/>
      <c r="E29" s="36"/>
      <c r="F29" s="36"/>
      <c r="G29" s="37"/>
      <c r="I29" s="5"/>
    </row>
    <row r="30" spans="1:9" x14ac:dyDescent="0.7">
      <c r="A30" s="29" t="s">
        <v>13</v>
      </c>
      <c r="B30" s="30">
        <v>3.5000000000000003E-2</v>
      </c>
      <c r="C30" s="30">
        <v>3.5000000000000003E-2</v>
      </c>
      <c r="D30" s="30">
        <v>3.5000000000000003E-2</v>
      </c>
      <c r="E30" s="30">
        <v>3.5000000000000003E-2</v>
      </c>
      <c r="F30" s="30">
        <v>3.5000000000000003E-2</v>
      </c>
      <c r="G30" s="30">
        <v>3.5000000000000003E-2</v>
      </c>
      <c r="I30" s="5"/>
    </row>
    <row r="31" spans="1:9" x14ac:dyDescent="0.7">
      <c r="A31" s="22" t="s">
        <v>12</v>
      </c>
      <c r="B31" s="8">
        <v>2.5000000000000001E-2</v>
      </c>
      <c r="C31" s="8">
        <v>2.5000000000000001E-2</v>
      </c>
      <c r="D31" s="8">
        <v>2.5000000000000001E-2</v>
      </c>
      <c r="E31" s="8">
        <v>2.5000000000000001E-2</v>
      </c>
      <c r="F31" s="8">
        <v>2.5000000000000001E-2</v>
      </c>
      <c r="G31" s="8">
        <v>2.5000000000000001E-2</v>
      </c>
      <c r="I31" s="5"/>
    </row>
    <row r="32" spans="1:9" x14ac:dyDescent="0.7">
      <c r="A32" s="31" t="s">
        <v>41</v>
      </c>
      <c r="B32" s="32">
        <f>((B27*B30^1.5+B26*B31^1.5)/(B26+B27))^(2/3)</f>
        <v>2.8349600295329597E-2</v>
      </c>
      <c r="C32" s="32">
        <f t="shared" ref="C32:G32" si="10">((C27*C30^1.5+C26*C31^1.5)/(C26+C27))^(2/3)</f>
        <v>2.8349600295329597E-2</v>
      </c>
      <c r="D32" s="32">
        <f t="shared" si="10"/>
        <v>2.8349600295329597E-2</v>
      </c>
      <c r="E32" s="32">
        <f t="shared" si="10"/>
        <v>2.8349600295329597E-2</v>
      </c>
      <c r="F32" s="32">
        <f t="shared" si="10"/>
        <v>2.8349600295329597E-2</v>
      </c>
      <c r="G32" s="32">
        <f t="shared" si="10"/>
        <v>2.8349600295329597E-2</v>
      </c>
      <c r="I32" s="5"/>
    </row>
    <row r="33" spans="1:9" x14ac:dyDescent="0.7">
      <c r="A33" s="35" t="s">
        <v>0</v>
      </c>
      <c r="B33" s="36"/>
      <c r="C33" s="36"/>
      <c r="D33" s="36"/>
      <c r="E33" s="36"/>
      <c r="F33" s="36"/>
      <c r="G33" s="37"/>
      <c r="I33" s="5"/>
    </row>
    <row r="34" spans="1:9" x14ac:dyDescent="0.7">
      <c r="A34" s="19" t="s">
        <v>14</v>
      </c>
      <c r="B34" s="15">
        <v>4</v>
      </c>
      <c r="C34" s="18">
        <v>3</v>
      </c>
      <c r="D34" s="18">
        <v>3</v>
      </c>
      <c r="E34" s="18">
        <v>2</v>
      </c>
      <c r="F34" s="18">
        <v>2</v>
      </c>
      <c r="G34" s="23">
        <v>2</v>
      </c>
      <c r="I34" s="33"/>
    </row>
    <row r="35" spans="1:9" x14ac:dyDescent="0.7">
      <c r="A35" s="19" t="s">
        <v>16</v>
      </c>
      <c r="B35" s="11">
        <f>$B$7/B34</f>
        <v>2.35</v>
      </c>
      <c r="C35" s="11">
        <f>$B$7/C34</f>
        <v>3.1333333333333333</v>
      </c>
      <c r="D35" s="11">
        <f>$B$7/D34</f>
        <v>3.1333333333333333</v>
      </c>
      <c r="E35" s="11">
        <f>$B$7/E34</f>
        <v>4.7</v>
      </c>
      <c r="F35" s="11">
        <f>$B$7/F34</f>
        <v>4.7</v>
      </c>
      <c r="G35" s="11">
        <f>$B$7/G34</f>
        <v>4.7</v>
      </c>
      <c r="I35" s="13"/>
    </row>
    <row r="36" spans="1:9" x14ac:dyDescent="0.7">
      <c r="A36" s="24" t="s">
        <v>40</v>
      </c>
      <c r="B36" s="11">
        <f>(1/B32)*B25*(B28^(2/3))</f>
        <v>25.021010034240806</v>
      </c>
      <c r="C36" s="11">
        <f>(1/C32)*C25*(C28^(2/3))</f>
        <v>34.254021311880877</v>
      </c>
      <c r="D36" s="11">
        <f>(1/D32)*D25*(D28^(2/3))</f>
        <v>45.366109679939626</v>
      </c>
      <c r="E36" s="11">
        <f>(1/E32)*E25*(E28^(2/3))</f>
        <v>58.494095817495122</v>
      </c>
      <c r="F36" s="11">
        <f>(1/F32)*F25*(F28^(2/3))</f>
        <v>73.770296311857436</v>
      </c>
      <c r="G36" s="11">
        <f>(1/G32)*G25*(G28^(2/3))</f>
        <v>100.99229801642993</v>
      </c>
      <c r="I36" s="13"/>
    </row>
    <row r="37" spans="1:9" x14ac:dyDescent="0.7">
      <c r="A37" s="24" t="s">
        <v>17</v>
      </c>
      <c r="B37" s="11">
        <f>($B$11*B35^2)/(B36^2)</f>
        <v>0.24699267958295679</v>
      </c>
      <c r="C37" s="11">
        <f>($B$11*C35^2)/(C36^2)</f>
        <v>0.23428695175006173</v>
      </c>
      <c r="D37" s="11">
        <f>($B$11*D35^2)/(D36^2)</f>
        <v>0.13356976203789916</v>
      </c>
      <c r="E37" s="11">
        <f>($B$11*E35^2)/(E36^2)</f>
        <v>0.18077138392746886</v>
      </c>
      <c r="F37" s="11">
        <f>($B$11*F35^2)/(F36^2)</f>
        <v>0.11365556138484574</v>
      </c>
      <c r="G37" s="11">
        <f>($B$11*G35^2)/(G36^2)</f>
        <v>6.0642519760435512E-2</v>
      </c>
      <c r="I37" s="13"/>
    </row>
    <row r="38" spans="1:9" x14ac:dyDescent="0.7">
      <c r="A38" s="24" t="s">
        <v>18</v>
      </c>
      <c r="B38" s="11">
        <f>B35/B25</f>
        <v>1.5632189287364948</v>
      </c>
      <c r="C38" s="11">
        <f>C35/C25</f>
        <v>1.6468479249240435</v>
      </c>
      <c r="D38" s="11">
        <f>D35/D25</f>
        <v>1.3339468191884756</v>
      </c>
      <c r="E38" s="11">
        <f>E35/E25</f>
        <v>1.6536530816386055</v>
      </c>
      <c r="F38" s="11">
        <f>F35/F25</f>
        <v>1.389527936654662</v>
      </c>
      <c r="G38" s="11">
        <f>G35/G25</f>
        <v>1.0978986166160289</v>
      </c>
      <c r="I38" s="13"/>
    </row>
    <row r="39" spans="1:9" x14ac:dyDescent="0.7">
      <c r="A39" s="25" t="s">
        <v>33</v>
      </c>
      <c r="B39" s="11">
        <f>$B$9+B38^2/2/9.81/$B$12^2+B37</f>
        <v>2.4441442674051577</v>
      </c>
      <c r="C39" s="11">
        <f>$B$9+C38^2/2/9.81/$B$12^2+C37</f>
        <v>2.4476043061424457</v>
      </c>
      <c r="D39" s="11">
        <f>$B$9+D38^2/2/9.81/$B$12^2+D37</f>
        <v>2.2907222782547363</v>
      </c>
      <c r="E39" s="11">
        <f>$B$9+E38^2/2/9.81/$B$12^2+E37</f>
        <v>2.3954412572202064</v>
      </c>
      <c r="F39" s="11">
        <f>$B$9+F38^2/2/9.81/$B$12^2+F37</f>
        <v>2.2799234826270753</v>
      </c>
      <c r="G39" s="11">
        <f>$B$9+G38^2/2/9.81/$B$12^2+G37</f>
        <v>2.1832280106014856</v>
      </c>
      <c r="I39" s="13"/>
    </row>
    <row r="40" spans="1:9" x14ac:dyDescent="0.7">
      <c r="A40" s="24" t="s">
        <v>38</v>
      </c>
      <c r="B40" s="11">
        <f>B39+$B$5</f>
        <v>143.71914426740517</v>
      </c>
      <c r="C40" s="11">
        <f>C39+$B$5</f>
        <v>143.72260430614244</v>
      </c>
      <c r="D40" s="11">
        <f>D39+$B$5</f>
        <v>143.56572227825475</v>
      </c>
      <c r="E40" s="11">
        <f>E39+$B$5</f>
        <v>143.6704412572202</v>
      </c>
      <c r="F40" s="11">
        <f>F39+$B$5</f>
        <v>143.55492348262709</v>
      </c>
      <c r="G40" s="11">
        <f>G39+$B$5</f>
        <v>143.45822801060149</v>
      </c>
      <c r="I40" s="13"/>
    </row>
    <row r="41" spans="1:9" x14ac:dyDescent="0.7">
      <c r="A41" s="24" t="s">
        <v>39</v>
      </c>
      <c r="B41" s="11">
        <f>$B$6-B40</f>
        <v>0.95585573259484136</v>
      </c>
      <c r="C41" s="11">
        <f>$B$6-C40</f>
        <v>0.95239569385756795</v>
      </c>
      <c r="D41" s="11">
        <f>$B$6-D40</f>
        <v>1.1092777217452578</v>
      </c>
      <c r="E41" s="11">
        <f>$B$6-E40</f>
        <v>1.0045587427798068</v>
      </c>
      <c r="F41" s="11">
        <f>$B$6-F40</f>
        <v>1.1200765173729224</v>
      </c>
      <c r="G41" s="11">
        <f>$B$6-G40</f>
        <v>1.2167719893985236</v>
      </c>
      <c r="I41" s="13"/>
    </row>
    <row r="42" spans="1:9" x14ac:dyDescent="0.7">
      <c r="A42" s="35" t="s">
        <v>34</v>
      </c>
      <c r="B42" s="36"/>
      <c r="C42" s="36"/>
      <c r="D42" s="36"/>
      <c r="E42" s="36"/>
      <c r="F42" s="36"/>
      <c r="G42" s="37"/>
      <c r="I42" s="5"/>
    </row>
    <row r="43" spans="1:9" x14ac:dyDescent="0.7">
      <c r="A43" s="25" t="s">
        <v>23</v>
      </c>
      <c r="B43" s="17">
        <f>B16*$B$11</f>
        <v>2660</v>
      </c>
      <c r="C43" s="17">
        <f>C16*$B$11</f>
        <v>2968</v>
      </c>
      <c r="D43" s="17">
        <f>D16*$B$11</f>
        <v>3304</v>
      </c>
      <c r="E43" s="17">
        <f>E16*$B$11</f>
        <v>3612</v>
      </c>
      <c r="F43" s="17">
        <f>F16*$B$11</f>
        <v>3948</v>
      </c>
      <c r="G43" s="17">
        <f>G16*$B$11</f>
        <v>4452</v>
      </c>
      <c r="I43" s="34"/>
    </row>
    <row r="44" spans="1:9" ht="27.75" thickBot="1" x14ac:dyDescent="0.75">
      <c r="A44" s="26" t="s">
        <v>24</v>
      </c>
      <c r="B44" s="27">
        <f>B34*B43</f>
        <v>10640</v>
      </c>
      <c r="C44" s="27">
        <f>C34*C43</f>
        <v>8904</v>
      </c>
      <c r="D44" s="27">
        <f>D34*D43</f>
        <v>9912</v>
      </c>
      <c r="E44" s="27">
        <f>E34*E43</f>
        <v>7224</v>
      </c>
      <c r="F44" s="27">
        <f>F34*F43</f>
        <v>7896</v>
      </c>
      <c r="G44" s="27">
        <f>G34*G43</f>
        <v>8904</v>
      </c>
      <c r="I44" s="28"/>
    </row>
    <row r="45" spans="1:9" x14ac:dyDescent="0.7">
      <c r="A45" s="2"/>
      <c r="B45" s="2"/>
      <c r="I45" s="5"/>
    </row>
    <row r="46" spans="1:9" x14ac:dyDescent="0.7">
      <c r="B46" s="4"/>
      <c r="C46" s="4"/>
      <c r="D46" s="4"/>
      <c r="E46" s="4"/>
      <c r="F46" s="4"/>
      <c r="G46" s="4"/>
      <c r="I46" s="5"/>
    </row>
    <row r="47" spans="1:9" x14ac:dyDescent="0.7">
      <c r="B47" s="2"/>
      <c r="I47" s="5"/>
    </row>
    <row r="48" spans="1:9" x14ac:dyDescent="0.7">
      <c r="B48" s="2"/>
      <c r="I48" s="5"/>
    </row>
    <row r="49" spans="2:9" x14ac:dyDescent="0.7">
      <c r="B49" s="2"/>
      <c r="I49" s="5"/>
    </row>
    <row r="50" spans="2:9" x14ac:dyDescent="0.7">
      <c r="B50" s="2"/>
      <c r="I50" s="5"/>
    </row>
    <row r="51" spans="2:9" x14ac:dyDescent="0.7">
      <c r="I51" s="5"/>
    </row>
    <row r="52" spans="2:9" x14ac:dyDescent="0.7">
      <c r="I52" s="5"/>
    </row>
    <row r="53" spans="2:9" ht="24" customHeight="1" x14ac:dyDescent="0.7">
      <c r="I53" s="5"/>
    </row>
    <row r="54" spans="2:9" ht="24" customHeight="1" x14ac:dyDescent="0.7">
      <c r="I54" s="5"/>
    </row>
    <row r="55" spans="2:9" ht="24" customHeight="1" x14ac:dyDescent="0.7">
      <c r="I55" s="5"/>
    </row>
    <row r="56" spans="2:9" x14ac:dyDescent="0.7">
      <c r="I56" s="5"/>
    </row>
    <row r="64" spans="2:9" ht="28.5" customHeight="1" x14ac:dyDescent="0.7"/>
    <row r="117" spans="120:120" x14ac:dyDescent="0.7">
      <c r="DP117" s="1">
        <v>2021</v>
      </c>
    </row>
  </sheetData>
  <mergeCells count="10">
    <mergeCell ref="A33:G33"/>
    <mergeCell ref="A42:G42"/>
    <mergeCell ref="A2:B2"/>
    <mergeCell ref="A3:B3"/>
    <mergeCell ref="A1:B1"/>
    <mergeCell ref="A29:G29"/>
    <mergeCell ref="A4:B4"/>
    <mergeCell ref="A14:G14"/>
    <mergeCell ref="A17:G17"/>
    <mergeCell ref="A23:G23"/>
  </mergeCells>
  <pageMargins left="0.70866141732283461" right="0.70866141732283461" top="0.74803149606299213" bottom="0.74803149606299213" header="0.31496062992125984" footer="0.31496062992125984"/>
  <pageSetup paperSize="3" scale="7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F2021 - Conceptual Design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2021-11-20T10:57:14Z</dcterms:created>
  <dcterms:modified xsi:type="dcterms:W3CDTF">2021-11-25T20:48:40Z</dcterms:modified>
</cp:coreProperties>
</file>