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Sc Working\Spring 2017\Water Engineering\Project\50% Submission\Living Building Challenge\RWH\"/>
    </mc:Choice>
  </mc:AlternateContent>
  <bookViews>
    <workbookView xWindow="0" yWindow="0" windowWidth="20490" windowHeight="7305" tabRatio="824" activeTab="2"/>
  </bookViews>
  <sheets>
    <sheet name="Weekly Demand - Initial" sheetId="7" r:id="rId1"/>
    <sheet name="Monthly Demand - Initial" sheetId="10" r:id="rId2"/>
    <sheet name="Weekly Demand - Final" sheetId="14" r:id="rId3"/>
    <sheet name="Monthly Demand - Final" sheetId="15" r:id="rId4"/>
    <sheet name="Cost Calculations" sheetId="16" r:id="rId5"/>
  </sheets>
  <definedNames>
    <definedName name="Irr_Eff" localSheetId="3">'Monthly Demand - Final'!$B$4</definedName>
    <definedName name="Irr_Eff" localSheetId="1">'Monthly Demand - Initial'!$B$4</definedName>
    <definedName name="Irr_Eff" localSheetId="2">'Weekly Demand - Final'!$B$4</definedName>
    <definedName name="Irr_Eff" localSheetId="0">'Weekly Demand - Initial'!$B$4</definedName>
    <definedName name="Irr_Eff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F" localSheetId="3">'Monthly Demand - Final'!$B$2</definedName>
    <definedName name="PF" localSheetId="1">'Monthly Demand - Initial'!$B$2</definedName>
    <definedName name="PF" localSheetId="2">'Weekly Demand - Final'!$B$2</definedName>
    <definedName name="PF" localSheetId="0">'Weekly Demand - Initial'!$B$2</definedName>
    <definedName name="PF">#REF!</definedName>
    <definedName name="yard_area" localSheetId="3">'Monthly Demand - Final'!$B$3</definedName>
    <definedName name="yard_area" localSheetId="1">'Monthly Demand - Initial'!$B$3</definedName>
    <definedName name="yard_area" localSheetId="2">'Weekly Demand - Final'!$B$3</definedName>
    <definedName name="yard_area" localSheetId="0">'Weekly Demand - Initial'!$B$3</definedName>
    <definedName name="yard_area">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4" l="1"/>
  <c r="C9" i="14"/>
  <c r="C10" i="14"/>
  <c r="C7" i="14"/>
  <c r="D7" i="15"/>
  <c r="D10" i="15"/>
  <c r="C7" i="7"/>
  <c r="E8" i="14"/>
  <c r="E7" i="14"/>
  <c r="E9" i="14"/>
  <c r="E10" i="14"/>
  <c r="K7" i="14"/>
  <c r="L7" i="14"/>
  <c r="M7" i="14"/>
  <c r="N7" i="14"/>
  <c r="K8" i="14"/>
  <c r="L8" i="14"/>
  <c r="M8" i="14"/>
  <c r="N8" i="14"/>
  <c r="K9" i="14"/>
  <c r="L9" i="14"/>
  <c r="M9" i="14"/>
  <c r="N9" i="14"/>
  <c r="K10" i="14"/>
  <c r="L10" i="14"/>
  <c r="M10" i="14"/>
  <c r="N10" i="14"/>
  <c r="K11" i="14"/>
  <c r="L11" i="14"/>
  <c r="M11" i="14"/>
  <c r="N11" i="14"/>
  <c r="K12" i="14"/>
  <c r="L12" i="14"/>
  <c r="M12" i="14"/>
  <c r="N12" i="14"/>
  <c r="K13" i="14"/>
  <c r="L13" i="14"/>
  <c r="M13" i="14"/>
  <c r="N13" i="14"/>
  <c r="K14" i="14"/>
  <c r="L14" i="14"/>
  <c r="M14" i="14"/>
  <c r="N14" i="14"/>
  <c r="K15" i="14"/>
  <c r="L15" i="14"/>
  <c r="M15" i="14"/>
  <c r="N15" i="14"/>
  <c r="K16" i="14"/>
  <c r="L16" i="14"/>
  <c r="M16" i="14"/>
  <c r="N16" i="14"/>
  <c r="K17" i="14"/>
  <c r="L17" i="14"/>
  <c r="M17" i="14"/>
  <c r="N17" i="14"/>
  <c r="K18" i="14"/>
  <c r="L18" i="14"/>
  <c r="M18" i="14"/>
  <c r="N18" i="14"/>
  <c r="K19" i="14"/>
  <c r="L19" i="14"/>
  <c r="M19" i="14"/>
  <c r="N19" i="14"/>
  <c r="K20" i="14"/>
  <c r="L20" i="14"/>
  <c r="M20" i="14"/>
  <c r="N20" i="14"/>
  <c r="K21" i="14"/>
  <c r="L21" i="14"/>
  <c r="M21" i="14"/>
  <c r="N21" i="14"/>
  <c r="K22" i="14"/>
  <c r="L22" i="14"/>
  <c r="M22" i="14"/>
  <c r="N22" i="14"/>
  <c r="K23" i="14"/>
  <c r="L23" i="14"/>
  <c r="M23" i="14"/>
  <c r="N23" i="14"/>
  <c r="K24" i="14"/>
  <c r="L24" i="14"/>
  <c r="M24" i="14"/>
  <c r="N24" i="14"/>
  <c r="K25" i="14"/>
  <c r="L25" i="14"/>
  <c r="M25" i="14"/>
  <c r="N25" i="14"/>
  <c r="K26" i="14"/>
  <c r="L26" i="14"/>
  <c r="M26" i="14"/>
  <c r="N26" i="14"/>
  <c r="K27" i="14"/>
  <c r="L27" i="14"/>
  <c r="M27" i="14"/>
  <c r="N27" i="14"/>
  <c r="K28" i="14"/>
  <c r="L28" i="14"/>
  <c r="M28" i="14"/>
  <c r="N28" i="14"/>
  <c r="K29" i="14"/>
  <c r="L29" i="14"/>
  <c r="M29" i="14"/>
  <c r="N29" i="14"/>
  <c r="N30" i="14"/>
  <c r="O30" i="14"/>
  <c r="B3" i="16"/>
  <c r="B14" i="16"/>
  <c r="B15" i="16"/>
  <c r="B10" i="16"/>
  <c r="B12" i="16"/>
  <c r="B16" i="16"/>
  <c r="B17" i="16"/>
  <c r="K7" i="7"/>
  <c r="L7" i="7"/>
  <c r="M7" i="7"/>
  <c r="N7" i="7"/>
  <c r="K8" i="7"/>
  <c r="L8" i="7"/>
  <c r="M8" i="7"/>
  <c r="N8" i="7"/>
  <c r="K9" i="7"/>
  <c r="L9" i="7"/>
  <c r="M9" i="7"/>
  <c r="N9" i="7"/>
  <c r="K10" i="7"/>
  <c r="L10" i="7"/>
  <c r="M10" i="7"/>
  <c r="N10" i="7"/>
  <c r="K11" i="7"/>
  <c r="L11" i="7"/>
  <c r="M11" i="7"/>
  <c r="N11" i="7"/>
  <c r="K12" i="7"/>
  <c r="L12" i="7"/>
  <c r="M12" i="7"/>
  <c r="N12" i="7"/>
  <c r="K13" i="7"/>
  <c r="L13" i="7"/>
  <c r="M13" i="7"/>
  <c r="N13" i="7"/>
  <c r="K14" i="7"/>
  <c r="L14" i="7"/>
  <c r="M14" i="7"/>
  <c r="N14" i="7"/>
  <c r="K15" i="7"/>
  <c r="L15" i="7"/>
  <c r="M15" i="7"/>
  <c r="N15" i="7"/>
  <c r="K16" i="7"/>
  <c r="L16" i="7"/>
  <c r="M16" i="7"/>
  <c r="N16" i="7"/>
  <c r="K17" i="7"/>
  <c r="L17" i="7"/>
  <c r="M17" i="7"/>
  <c r="N17" i="7"/>
  <c r="K18" i="7"/>
  <c r="L18" i="7"/>
  <c r="M18" i="7"/>
  <c r="N18" i="7"/>
  <c r="K19" i="7"/>
  <c r="L19" i="7"/>
  <c r="M19" i="7"/>
  <c r="N19" i="7"/>
  <c r="K20" i="7"/>
  <c r="L20" i="7"/>
  <c r="M20" i="7"/>
  <c r="N20" i="7"/>
  <c r="K21" i="7"/>
  <c r="L21" i="7"/>
  <c r="M21" i="7"/>
  <c r="N21" i="7"/>
  <c r="K22" i="7"/>
  <c r="L22" i="7"/>
  <c r="M22" i="7"/>
  <c r="N22" i="7"/>
  <c r="K23" i="7"/>
  <c r="L23" i="7"/>
  <c r="M23" i="7"/>
  <c r="N23" i="7"/>
  <c r="K24" i="7"/>
  <c r="L24" i="7"/>
  <c r="M24" i="7"/>
  <c r="N24" i="7"/>
  <c r="K25" i="7"/>
  <c r="L25" i="7"/>
  <c r="M25" i="7"/>
  <c r="N25" i="7"/>
  <c r="K26" i="7"/>
  <c r="L26" i="7"/>
  <c r="M26" i="7"/>
  <c r="N26" i="7"/>
  <c r="K27" i="7"/>
  <c r="L27" i="7"/>
  <c r="M27" i="7"/>
  <c r="N27" i="7"/>
  <c r="K28" i="7"/>
  <c r="L28" i="7"/>
  <c r="M28" i="7"/>
  <c r="N28" i="7"/>
  <c r="K29" i="7"/>
  <c r="L29" i="7"/>
  <c r="M29" i="7"/>
  <c r="N29" i="7"/>
  <c r="N30" i="7"/>
  <c r="O30" i="7"/>
  <c r="B2" i="16"/>
  <c r="B13" i="16"/>
  <c r="O32" i="7"/>
  <c r="O34" i="7"/>
  <c r="L8" i="15"/>
  <c r="B3" i="15"/>
  <c r="M8" i="15"/>
  <c r="L9" i="15"/>
  <c r="M9" i="15"/>
  <c r="L10" i="15"/>
  <c r="M10" i="15"/>
  <c r="L11" i="15"/>
  <c r="M11" i="15"/>
  <c r="L7" i="15"/>
  <c r="M7" i="15"/>
  <c r="K11" i="15"/>
  <c r="K10" i="15"/>
  <c r="K9" i="15"/>
  <c r="K8" i="15"/>
  <c r="K7" i="15"/>
  <c r="J11" i="15"/>
  <c r="J10" i="15"/>
  <c r="J9" i="15"/>
  <c r="J8" i="15"/>
  <c r="J7" i="15"/>
  <c r="I11" i="15"/>
  <c r="I10" i="15"/>
  <c r="I9" i="15"/>
  <c r="I8" i="15"/>
  <c r="I7" i="15"/>
  <c r="C10" i="15"/>
  <c r="E10" i="15"/>
  <c r="C9" i="15"/>
  <c r="D9" i="15"/>
  <c r="E9" i="15"/>
  <c r="C8" i="15"/>
  <c r="E8" i="15"/>
  <c r="C7" i="15"/>
  <c r="E7" i="15"/>
  <c r="B8" i="15"/>
  <c r="B9" i="15"/>
  <c r="B10" i="15"/>
  <c r="B7" i="15"/>
  <c r="B4" i="15"/>
  <c r="N7" i="15"/>
  <c r="N8" i="15"/>
  <c r="N9" i="15"/>
  <c r="N10" i="15"/>
  <c r="N11" i="15"/>
  <c r="N12" i="15"/>
  <c r="M12" i="15"/>
  <c r="L12" i="15"/>
  <c r="K12" i="15"/>
  <c r="J12" i="15"/>
  <c r="I12" i="15"/>
  <c r="B2" i="15"/>
  <c r="M30" i="14"/>
  <c r="L30" i="14"/>
  <c r="K30" i="14"/>
  <c r="J30" i="14"/>
  <c r="I30" i="14"/>
  <c r="B4" i="10"/>
  <c r="I7" i="10"/>
  <c r="E7" i="10"/>
  <c r="K7" i="10"/>
  <c r="J7" i="10"/>
  <c r="L7" i="10"/>
  <c r="C7" i="10"/>
  <c r="M7" i="10"/>
  <c r="N7" i="10"/>
  <c r="I8" i="10"/>
  <c r="K8" i="10"/>
  <c r="J8" i="10"/>
  <c r="L8" i="10"/>
  <c r="M8" i="10"/>
  <c r="N8" i="10"/>
  <c r="I9" i="10"/>
  <c r="K9" i="10"/>
  <c r="J9" i="10"/>
  <c r="L9" i="10"/>
  <c r="M9" i="10"/>
  <c r="N9" i="10"/>
  <c r="I10" i="10"/>
  <c r="K10" i="10"/>
  <c r="J10" i="10"/>
  <c r="L10" i="10"/>
  <c r="M10" i="10"/>
  <c r="N10" i="10"/>
  <c r="I11" i="10"/>
  <c r="K11" i="10"/>
  <c r="J11" i="10"/>
  <c r="L11" i="10"/>
  <c r="M11" i="10"/>
  <c r="N11" i="10"/>
  <c r="N12" i="10"/>
  <c r="M12" i="10"/>
  <c r="K12" i="10"/>
  <c r="L12" i="10"/>
  <c r="J12" i="10"/>
  <c r="I12" i="10"/>
  <c r="D7" i="10"/>
  <c r="B2" i="10"/>
  <c r="J30" i="7"/>
  <c r="K30" i="7"/>
  <c r="L30" i="7"/>
  <c r="M30" i="7"/>
  <c r="I30" i="7"/>
</calcChain>
</file>

<file path=xl/sharedStrings.xml><?xml version="1.0" encoding="utf-8"?>
<sst xmlns="http://schemas.openxmlformats.org/spreadsheetml/2006/main" count="180" uniqueCount="68">
  <si>
    <t>Week</t>
  </si>
  <si>
    <t>Date</t>
  </si>
  <si>
    <t>Rain (in)</t>
  </si>
  <si>
    <t>Week of 4/28/2013</t>
  </si>
  <si>
    <t>Week of 5/5/2013</t>
  </si>
  <si>
    <t>Week of 5/12/2013</t>
  </si>
  <si>
    <t>Week of 5/19/2013</t>
  </si>
  <si>
    <t>Week of 5/26/2013</t>
  </si>
  <si>
    <t>Week of 6/2/2013</t>
  </si>
  <si>
    <t>Week of 6/9/2013</t>
  </si>
  <si>
    <t>Week of 6/16/2013</t>
  </si>
  <si>
    <t>Week of 6/23/2013</t>
  </si>
  <si>
    <t>Week of 6/30/2013</t>
  </si>
  <si>
    <t>Week of 7/7/2013</t>
  </si>
  <si>
    <t>Week of 7/14/2013</t>
  </si>
  <si>
    <t>Week of 7/21/2013</t>
  </si>
  <si>
    <t>Week of 7/28/2013</t>
  </si>
  <si>
    <t>Week of 8/4/2013</t>
  </si>
  <si>
    <t>Week of 8/11/2013</t>
  </si>
  <si>
    <t>Week of 8/18/2013</t>
  </si>
  <si>
    <t>Week of 8/25/2013</t>
  </si>
  <si>
    <t>Week of 9/1/2013</t>
  </si>
  <si>
    <t>Week of 9/8/2013</t>
  </si>
  <si>
    <t>Week of 9/15/2013</t>
  </si>
  <si>
    <t>Week of 9/22/2013</t>
  </si>
  <si>
    <t>Week of 9/29/2013</t>
  </si>
  <si>
    <t>Irrigation demand (in)</t>
  </si>
  <si>
    <t>Irrigation demand (gal)</t>
  </si>
  <si>
    <t>sq. ft</t>
  </si>
  <si>
    <t xml:space="preserve">Irrigation Efficiency = </t>
  </si>
  <si>
    <t>Total for Growing Season</t>
  </si>
  <si>
    <t>ETOS Grass Total (in)</t>
  </si>
  <si>
    <t>Weekly Landscape ET, ETL (in)</t>
  </si>
  <si>
    <t>Landscape Type</t>
  </si>
  <si>
    <t>Plant Factor (PF)</t>
  </si>
  <si>
    <r>
      <t>Area for each landscape type (ft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</si>
  <si>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Turf grass</t>
  </si>
  <si>
    <t>Moderate water use plants</t>
  </si>
  <si>
    <t>Low water use plants</t>
  </si>
  <si>
    <t>Very low water use plants</t>
  </si>
  <si>
    <t>TOTAL</t>
  </si>
  <si>
    <t>Weighted PF for each landscape type = PF x % of area</t>
  </si>
  <si>
    <t xml:space="preserve">Weighted Plant Factor = </t>
  </si>
  <si>
    <t>Calculations of water use for water-efficient landscaped area</t>
  </si>
  <si>
    <t>May</t>
  </si>
  <si>
    <t>June</t>
  </si>
  <si>
    <t>July</t>
  </si>
  <si>
    <t>August</t>
  </si>
  <si>
    <t>September</t>
  </si>
  <si>
    <t>Monthly Landscape ET, ETL (in)</t>
  </si>
  <si>
    <t>% of yard in each landscape type</t>
  </si>
  <si>
    <t xml:space="preserve">Size of Landscaped Area = </t>
  </si>
  <si>
    <t xml:space="preserve">Size of landscaped area = </t>
  </si>
  <si>
    <r>
      <t>Irrigation demand (ft</t>
    </r>
    <r>
      <rPr>
        <b/>
        <vertAlign val="superscript"/>
        <sz val="11"/>
        <color theme="3"/>
        <rFont val="Calibri"/>
        <family val="2"/>
        <scheme val="minor"/>
      </rPr>
      <t>3</t>
    </r>
    <r>
      <rPr>
        <b/>
        <sz val="11"/>
        <color theme="3"/>
        <rFont val="Calibri"/>
        <family val="2"/>
        <scheme val="minor"/>
      </rPr>
      <t>)</t>
    </r>
  </si>
  <si>
    <r>
      <t>Irrigation demand (ft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)</t>
    </r>
  </si>
  <si>
    <t>Total Landscape area changed</t>
  </si>
  <si>
    <t>Cost per sq ft</t>
  </si>
  <si>
    <t>$</t>
  </si>
  <si>
    <t>Total Cost</t>
  </si>
  <si>
    <t>Saving per monnth</t>
  </si>
  <si>
    <t>Number of months to recover</t>
  </si>
  <si>
    <t>Number of years</t>
  </si>
  <si>
    <t>Per Month Billing turf grass</t>
  </si>
  <si>
    <t>Per Month Billing Landscaped</t>
  </si>
  <si>
    <t>months</t>
  </si>
  <si>
    <t>years</t>
  </si>
  <si>
    <t>sq. ft.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</si>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</sst>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6"/>
      <color theme="1"/>
      <name val="Gill Sans MT"/>
      <family val="2"/>
    </font>
    <font>
      <b/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b/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8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/>
    <xf numFmtId="0" fontId="6" fillId="0" borderId="0" xfId="0" applyFont="1"/>
    <xf numFmtId="0" fontId="2" fillId="0" borderId="1" xfId="2" applyAlignment="1">
      <alignment horizontal="center" vertical="center" wrapText="1"/>
    </xf>
    <xf numFmtId="0" fontId="2" fillId="0" borderId="1" xfId="2" applyFill="1" applyAlignment="1">
      <alignment horizontal="center" vertical="center" wrapText="1"/>
    </xf>
    <xf numFmtId="43" fontId="4" fillId="0" borderId="4" xfId="1" applyFont="1" applyBorder="1" applyAlignment="1">
      <alignment horizontal="left" vertical="center" wrapText="1"/>
    </xf>
    <xf numFmtId="43" fontId="4" fillId="0" borderId="4" xfId="1" applyFont="1" applyBorder="1" applyAlignment="1">
      <alignment horizontal="right" vertical="center" wrapText="1"/>
    </xf>
    <xf numFmtId="43" fontId="0" fillId="0" borderId="4" xfId="1" applyFont="1" applyBorder="1" applyAlignment="1">
      <alignment horizontal="right" vertical="center"/>
    </xf>
    <xf numFmtId="43" fontId="0" fillId="0" borderId="4" xfId="1" applyFont="1" applyBorder="1"/>
    <xf numFmtId="0" fontId="0" fillId="0" borderId="5" xfId="0" applyBorder="1" applyAlignment="1">
      <alignment vertical="center"/>
    </xf>
    <xf numFmtId="0" fontId="5" fillId="0" borderId="5" xfId="0" applyFont="1" applyFill="1" applyBorder="1" applyAlignment="1">
      <alignment horizontal="center" vertical="center" wrapText="1"/>
    </xf>
    <xf numFmtId="1" fontId="3" fillId="0" borderId="5" xfId="0" applyNumberFormat="1" applyFont="1" applyBorder="1"/>
    <xf numFmtId="164" fontId="0" fillId="0" borderId="4" xfId="1" applyNumberFormat="1" applyFont="1" applyBorder="1" applyAlignment="1">
      <alignment vertical="center" wrapText="1"/>
    </xf>
    <xf numFmtId="164" fontId="0" fillId="0" borderId="0" xfId="0" applyNumberFormat="1"/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43" fontId="0" fillId="0" borderId="0" xfId="0" applyNumberFormat="1"/>
    <xf numFmtId="0" fontId="8" fillId="0" borderId="0" xfId="0" applyFont="1"/>
    <xf numFmtId="0" fontId="0" fillId="0" borderId="4" xfId="0" applyBorder="1"/>
    <xf numFmtId="2" fontId="0" fillId="0" borderId="4" xfId="0" applyNumberFormat="1" applyBorder="1"/>
    <xf numFmtId="164" fontId="0" fillId="0" borderId="8" xfId="1" applyNumberFormat="1" applyFont="1" applyBorder="1" applyAlignment="1">
      <alignment vertical="center" wrapText="1"/>
    </xf>
    <xf numFmtId="43" fontId="4" fillId="0" borderId="8" xfId="1" applyFont="1" applyBorder="1" applyAlignment="1">
      <alignment horizontal="left" vertical="center" wrapText="1"/>
    </xf>
    <xf numFmtId="43" fontId="4" fillId="0" borderId="8" xfId="1" applyFont="1" applyBorder="1" applyAlignment="1">
      <alignment horizontal="right" vertical="center" wrapText="1"/>
    </xf>
    <xf numFmtId="43" fontId="0" fillId="0" borderId="8" xfId="1" applyFont="1" applyBorder="1" applyAlignment="1">
      <alignment horizontal="right" vertical="center"/>
    </xf>
    <xf numFmtId="164" fontId="0" fillId="0" borderId="8" xfId="1" applyNumberFormat="1" applyFont="1" applyBorder="1"/>
    <xf numFmtId="0" fontId="3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9" fillId="0" borderId="4" xfId="2" applyFont="1" applyBorder="1" applyAlignment="1">
      <alignment horizontal="center" vertical="center" wrapText="1"/>
    </xf>
    <xf numFmtId="0" fontId="9" fillId="0" borderId="4" xfId="2" applyFont="1" applyFill="1" applyBorder="1" applyAlignment="1">
      <alignment horizontal="center" vertical="center" wrapText="1"/>
    </xf>
    <xf numFmtId="0" fontId="4" fillId="0" borderId="4" xfId="1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left" indent="3"/>
    </xf>
    <xf numFmtId="3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1" fontId="3" fillId="0" borderId="4" xfId="0" applyNumberFormat="1" applyFont="1" applyBorder="1" applyAlignment="1">
      <alignment horizontal="center"/>
    </xf>
  </cellXfs>
  <cellStyles count="3">
    <cellStyle name="Comma" xfId="1" builtinId="3"/>
    <cellStyle name="Heading 3" xfId="2" builtinId="1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7" zoomScaleNormal="100" workbookViewId="0">
      <selection activeCell="I7" sqref="I7:J29"/>
    </sheetView>
  </sheetViews>
  <sheetFormatPr defaultRowHeight="15" x14ac:dyDescent="0.25"/>
  <cols>
    <col min="1" max="1" width="30.42578125" customWidth="1"/>
    <col min="3" max="3" width="11.85546875" customWidth="1"/>
    <col min="4" max="4" width="11.140625" customWidth="1"/>
    <col min="5" max="5" width="13.140625" customWidth="1"/>
    <col min="7" max="7" width="9.28515625" bestFit="1" customWidth="1"/>
    <col min="8" max="8" width="25" customWidth="1"/>
    <col min="9" max="10" width="9.28515625" bestFit="1" customWidth="1"/>
    <col min="11" max="11" width="11.28515625" customWidth="1"/>
    <col min="12" max="12" width="9.28515625" bestFit="1" customWidth="1"/>
    <col min="13" max="13" width="12.7109375" customWidth="1"/>
    <col min="14" max="14" width="11.5703125" bestFit="1" customWidth="1"/>
    <col min="15" max="15" width="10.5703125" bestFit="1" customWidth="1"/>
    <col min="16" max="16" width="9.5703125" bestFit="1" customWidth="1"/>
  </cols>
  <sheetData>
    <row r="1" spans="1:17" ht="40.5" customHeight="1" x14ac:dyDescent="0.5">
      <c r="A1" s="4" t="s">
        <v>43</v>
      </c>
    </row>
    <row r="2" spans="1:17" x14ac:dyDescent="0.25">
      <c r="A2" t="s">
        <v>42</v>
      </c>
      <c r="B2" s="3">
        <v>0.8</v>
      </c>
    </row>
    <row r="3" spans="1:17" x14ac:dyDescent="0.25">
      <c r="A3" t="s">
        <v>52</v>
      </c>
      <c r="B3">
        <v>25000</v>
      </c>
      <c r="C3" t="s">
        <v>28</v>
      </c>
    </row>
    <row r="4" spans="1:17" x14ac:dyDescent="0.25">
      <c r="A4" t="s">
        <v>29</v>
      </c>
      <c r="B4">
        <v>0.7</v>
      </c>
    </row>
    <row r="5" spans="1:17" ht="15.75" thickBot="1" x14ac:dyDescent="0.3"/>
    <row r="6" spans="1:17" ht="93.75" customHeight="1" thickBot="1" x14ac:dyDescent="0.3">
      <c r="A6" s="16" t="s">
        <v>33</v>
      </c>
      <c r="B6" s="16" t="s">
        <v>34</v>
      </c>
      <c r="C6" s="16" t="s">
        <v>35</v>
      </c>
      <c r="D6" s="16" t="s">
        <v>50</v>
      </c>
      <c r="E6" s="17" t="s">
        <v>41</v>
      </c>
      <c r="F6" s="21"/>
      <c r="G6" s="5" t="s">
        <v>0</v>
      </c>
      <c r="H6" s="5" t="s">
        <v>1</v>
      </c>
      <c r="I6" s="5" t="s">
        <v>31</v>
      </c>
      <c r="J6" s="5" t="s">
        <v>2</v>
      </c>
      <c r="K6" s="6" t="s">
        <v>32</v>
      </c>
      <c r="L6" s="6" t="s">
        <v>26</v>
      </c>
      <c r="M6" s="6" t="s">
        <v>53</v>
      </c>
      <c r="N6" s="6" t="s">
        <v>27</v>
      </c>
    </row>
    <row r="7" spans="1:17" ht="15.75" thickBot="1" x14ac:dyDescent="0.3">
      <c r="A7" s="18" t="s">
        <v>36</v>
      </c>
      <c r="B7" s="1">
        <v>0.8</v>
      </c>
      <c r="C7">
        <f>yard_area</f>
        <v>25000</v>
      </c>
      <c r="D7" s="23">
        <v>100</v>
      </c>
      <c r="E7" s="23">
        <v>0.8</v>
      </c>
      <c r="F7" s="21"/>
      <c r="G7" s="14">
        <v>1</v>
      </c>
      <c r="H7" s="7" t="s">
        <v>3</v>
      </c>
      <c r="I7" s="41">
        <v>1.1249</v>
      </c>
      <c r="J7" s="8" t="s">
        <v>67</v>
      </c>
      <c r="K7" s="9">
        <f>I7*$E$7</f>
        <v>0.89992000000000005</v>
      </c>
      <c r="L7" s="9" t="e">
        <f>(K7-J7)/$B$4</f>
        <v>#VALUE!</v>
      </c>
      <c r="M7" s="9" t="e">
        <f t="shared" ref="M7:M29" si="0">L7/12*yard_area</f>
        <v>#VALUE!</v>
      </c>
      <c r="N7" s="10" t="e">
        <f>7.48052*M7</f>
        <v>#VALUE!</v>
      </c>
    </row>
    <row r="8" spans="1:17" ht="15.75" thickBot="1" x14ac:dyDescent="0.3">
      <c r="A8" s="18" t="s">
        <v>37</v>
      </c>
      <c r="B8" s="1">
        <v>0.6</v>
      </c>
      <c r="C8" s="24"/>
      <c r="D8" s="23"/>
      <c r="E8" s="23"/>
      <c r="F8" s="22"/>
      <c r="G8" s="14">
        <v>2</v>
      </c>
      <c r="H8" s="7" t="s">
        <v>4</v>
      </c>
      <c r="I8" s="41">
        <v>1.1303000000000001</v>
      </c>
      <c r="J8" s="8" t="s">
        <v>67</v>
      </c>
      <c r="K8" s="9">
        <f t="shared" ref="K8:K29" si="1">I8*$E$7</f>
        <v>0.90424000000000015</v>
      </c>
      <c r="L8" s="9" t="e">
        <f t="shared" ref="L8:L29" si="2">(K8-J8)/$B$4</f>
        <v>#VALUE!</v>
      </c>
      <c r="M8" s="9" t="e">
        <f t="shared" si="0"/>
        <v>#VALUE!</v>
      </c>
      <c r="N8" s="10" t="e">
        <f t="shared" ref="N8:N29" si="3">7.48052*M8</f>
        <v>#VALUE!</v>
      </c>
    </row>
    <row r="9" spans="1:17" ht="15.75" thickBot="1" x14ac:dyDescent="0.3">
      <c r="A9" s="18" t="s">
        <v>38</v>
      </c>
      <c r="B9" s="1">
        <v>0.4</v>
      </c>
      <c r="C9" s="24"/>
      <c r="D9" s="23"/>
      <c r="E9" s="23"/>
      <c r="F9" s="22"/>
      <c r="G9" s="14">
        <v>3</v>
      </c>
      <c r="H9" s="7" t="s">
        <v>5</v>
      </c>
      <c r="I9" s="41">
        <v>1.1525000000000001</v>
      </c>
      <c r="J9" s="8" t="s">
        <v>67</v>
      </c>
      <c r="K9" s="9">
        <f t="shared" si="1"/>
        <v>0.92200000000000015</v>
      </c>
      <c r="L9" s="9" t="e">
        <f t="shared" si="2"/>
        <v>#VALUE!</v>
      </c>
      <c r="M9" s="9" t="e">
        <f t="shared" si="0"/>
        <v>#VALUE!</v>
      </c>
      <c r="N9" s="10" t="e">
        <f t="shared" si="3"/>
        <v>#VALUE!</v>
      </c>
      <c r="P9" s="25"/>
    </row>
    <row r="10" spans="1:17" ht="15.75" thickBot="1" x14ac:dyDescent="0.3">
      <c r="A10" s="18" t="s">
        <v>39</v>
      </c>
      <c r="B10" s="1">
        <v>0.2</v>
      </c>
      <c r="C10" s="24"/>
      <c r="D10" s="23"/>
      <c r="E10" s="23"/>
      <c r="F10" s="22"/>
      <c r="G10" s="14">
        <v>4</v>
      </c>
      <c r="H10" s="7" t="s">
        <v>6</v>
      </c>
      <c r="I10" s="41">
        <v>1.1678999999999999</v>
      </c>
      <c r="J10" s="8" t="s">
        <v>67</v>
      </c>
      <c r="K10" s="9">
        <f t="shared" si="1"/>
        <v>0.93432000000000004</v>
      </c>
      <c r="L10" s="9" t="e">
        <f t="shared" si="2"/>
        <v>#VALUE!</v>
      </c>
      <c r="M10" s="9" t="e">
        <f t="shared" si="0"/>
        <v>#VALUE!</v>
      </c>
      <c r="N10" s="10" t="e">
        <f t="shared" si="3"/>
        <v>#VALUE!</v>
      </c>
      <c r="P10" s="25"/>
    </row>
    <row r="11" spans="1:17" ht="15.75" thickBot="1" x14ac:dyDescent="0.3">
      <c r="A11" s="20" t="s">
        <v>40</v>
      </c>
      <c r="B11" s="1"/>
      <c r="C11" s="19"/>
      <c r="D11" s="19"/>
      <c r="E11" s="23"/>
      <c r="F11" s="22"/>
      <c r="G11" s="14">
        <v>5</v>
      </c>
      <c r="H11" s="7" t="s">
        <v>7</v>
      </c>
      <c r="I11" s="41">
        <v>1.44</v>
      </c>
      <c r="J11" s="8">
        <v>0.14000000000000001</v>
      </c>
      <c r="K11" s="9">
        <f t="shared" si="1"/>
        <v>1.1519999999999999</v>
      </c>
      <c r="L11" s="9">
        <f t="shared" si="2"/>
        <v>1.4457142857142857</v>
      </c>
      <c r="M11" s="9">
        <f t="shared" si="0"/>
        <v>3011.9047619047619</v>
      </c>
      <c r="N11" s="10">
        <f t="shared" si="3"/>
        <v>22530.613809523809</v>
      </c>
      <c r="O11" s="15"/>
      <c r="P11" s="25"/>
    </row>
    <row r="12" spans="1:17" x14ac:dyDescent="0.25">
      <c r="F12" s="22"/>
      <c r="G12" s="14">
        <v>6</v>
      </c>
      <c r="H12" s="7" t="s">
        <v>8</v>
      </c>
      <c r="I12" s="41">
        <v>1.52</v>
      </c>
      <c r="J12" s="8">
        <v>0.35</v>
      </c>
      <c r="K12" s="9">
        <f t="shared" si="1"/>
        <v>1.2160000000000002</v>
      </c>
      <c r="L12" s="9">
        <f t="shared" si="2"/>
        <v>1.2371428571428575</v>
      </c>
      <c r="M12" s="9">
        <f t="shared" si="0"/>
        <v>2577.3809523809532</v>
      </c>
      <c r="N12" s="10">
        <f t="shared" si="3"/>
        <v>19280.14976190477</v>
      </c>
      <c r="P12" s="25"/>
    </row>
    <row r="13" spans="1:17" x14ac:dyDescent="0.25">
      <c r="F13" s="22"/>
      <c r="G13" s="14">
        <v>7</v>
      </c>
      <c r="H13" s="7" t="s">
        <v>9</v>
      </c>
      <c r="I13" s="41">
        <v>1.6442000000000001</v>
      </c>
      <c r="J13" s="8" t="s">
        <v>67</v>
      </c>
      <c r="K13" s="9">
        <f t="shared" si="1"/>
        <v>1.3153600000000001</v>
      </c>
      <c r="L13" s="9" t="e">
        <f t="shared" si="2"/>
        <v>#VALUE!</v>
      </c>
      <c r="M13" s="9" t="e">
        <f t="shared" si="0"/>
        <v>#VALUE!</v>
      </c>
      <c r="N13" s="10" t="e">
        <f t="shared" si="3"/>
        <v>#VALUE!</v>
      </c>
      <c r="P13" s="25"/>
    </row>
    <row r="14" spans="1:17" x14ac:dyDescent="0.25">
      <c r="G14" s="14">
        <v>8</v>
      </c>
      <c r="H14" s="7" t="s">
        <v>10</v>
      </c>
      <c r="I14" s="41">
        <v>1.8661000000000001</v>
      </c>
      <c r="J14" s="8"/>
      <c r="K14" s="9">
        <f t="shared" si="1"/>
        <v>1.4928800000000002</v>
      </c>
      <c r="L14" s="9">
        <f t="shared" si="2"/>
        <v>2.1326857142857145</v>
      </c>
      <c r="M14" s="9">
        <f t="shared" si="0"/>
        <v>4443.0952380952385</v>
      </c>
      <c r="N14" s="10">
        <f t="shared" si="3"/>
        <v>33236.662790476192</v>
      </c>
      <c r="Q14" s="2"/>
    </row>
    <row r="15" spans="1:17" x14ac:dyDescent="0.25">
      <c r="G15" s="14">
        <v>9</v>
      </c>
      <c r="H15" s="7" t="s">
        <v>11</v>
      </c>
      <c r="I15" s="41">
        <v>1.6773</v>
      </c>
      <c r="J15" s="8">
        <v>0.61</v>
      </c>
      <c r="K15" s="9">
        <f t="shared" si="1"/>
        <v>1.3418400000000001</v>
      </c>
      <c r="L15" s="9">
        <f t="shared" si="2"/>
        <v>1.0454857142857146</v>
      </c>
      <c r="M15" s="9">
        <f t="shared" si="0"/>
        <v>2178.0952380952385</v>
      </c>
      <c r="N15" s="10">
        <f t="shared" si="3"/>
        <v>16293.284990476195</v>
      </c>
    </row>
    <row r="16" spans="1:17" x14ac:dyDescent="0.25">
      <c r="G16" s="14">
        <v>10</v>
      </c>
      <c r="H16" s="7" t="s">
        <v>12</v>
      </c>
      <c r="I16" s="8">
        <v>1.61</v>
      </c>
      <c r="J16" s="8" t="s">
        <v>67</v>
      </c>
      <c r="K16" s="9">
        <f t="shared" si="1"/>
        <v>1.2880000000000003</v>
      </c>
      <c r="L16" s="9" t="e">
        <f t="shared" si="2"/>
        <v>#VALUE!</v>
      </c>
      <c r="M16" s="9" t="e">
        <f t="shared" si="0"/>
        <v>#VALUE!</v>
      </c>
      <c r="N16" s="10" t="e">
        <f t="shared" si="3"/>
        <v>#VALUE!</v>
      </c>
    </row>
    <row r="17" spans="7:15" x14ac:dyDescent="0.25">
      <c r="G17" s="14">
        <v>11</v>
      </c>
      <c r="H17" s="7" t="s">
        <v>13</v>
      </c>
      <c r="I17" s="41">
        <v>1.5485</v>
      </c>
      <c r="J17" s="8">
        <v>0.55000000000000004</v>
      </c>
      <c r="K17" s="9">
        <f t="shared" si="1"/>
        <v>1.2388000000000001</v>
      </c>
      <c r="L17" s="9">
        <f t="shared" si="2"/>
        <v>0.98400000000000021</v>
      </c>
      <c r="M17" s="9">
        <f t="shared" si="0"/>
        <v>2050.0000000000005</v>
      </c>
      <c r="N17" s="10">
        <f t="shared" si="3"/>
        <v>15335.066000000004</v>
      </c>
    </row>
    <row r="18" spans="7:15" x14ac:dyDescent="0.25">
      <c r="G18" s="14">
        <v>12</v>
      </c>
      <c r="H18" s="7" t="s">
        <v>14</v>
      </c>
      <c r="I18" s="41">
        <v>1.3721000000000001</v>
      </c>
      <c r="J18" s="8">
        <v>0.21</v>
      </c>
      <c r="K18" s="9">
        <f t="shared" si="1"/>
        <v>1.0976800000000002</v>
      </c>
      <c r="L18" s="9">
        <f t="shared" si="2"/>
        <v>1.2681142857142862</v>
      </c>
      <c r="M18" s="9">
        <f t="shared" si="0"/>
        <v>2641.9047619047628</v>
      </c>
      <c r="N18" s="10">
        <f t="shared" si="3"/>
        <v>19762.821409523818</v>
      </c>
    </row>
    <row r="19" spans="7:15" x14ac:dyDescent="0.25">
      <c r="G19" s="14">
        <v>13</v>
      </c>
      <c r="H19" s="7" t="s">
        <v>15</v>
      </c>
      <c r="I19" s="41">
        <v>1.5791999999999999</v>
      </c>
      <c r="J19" s="8">
        <v>0.34</v>
      </c>
      <c r="K19" s="9">
        <f t="shared" si="1"/>
        <v>1.26336</v>
      </c>
      <c r="L19" s="9">
        <f t="shared" si="2"/>
        <v>1.3190857142857144</v>
      </c>
      <c r="M19" s="9">
        <f t="shared" si="0"/>
        <v>2748.0952380952385</v>
      </c>
      <c r="N19" s="10">
        <f t="shared" si="3"/>
        <v>20557.181390476195</v>
      </c>
    </row>
    <row r="20" spans="7:15" x14ac:dyDescent="0.25">
      <c r="G20" s="14">
        <v>14</v>
      </c>
      <c r="H20" s="7" t="s">
        <v>16</v>
      </c>
      <c r="I20" s="41">
        <v>1.3972</v>
      </c>
      <c r="J20" s="8" t="s">
        <v>67</v>
      </c>
      <c r="K20" s="9">
        <f t="shared" si="1"/>
        <v>1.1177600000000001</v>
      </c>
      <c r="L20" s="9" t="e">
        <f t="shared" si="2"/>
        <v>#VALUE!</v>
      </c>
      <c r="M20" s="9" t="e">
        <f t="shared" si="0"/>
        <v>#VALUE!</v>
      </c>
      <c r="N20" s="10" t="e">
        <f t="shared" si="3"/>
        <v>#VALUE!</v>
      </c>
    </row>
    <row r="21" spans="7:15" x14ac:dyDescent="0.25">
      <c r="G21" s="14">
        <v>15</v>
      </c>
      <c r="H21" s="7" t="s">
        <v>17</v>
      </c>
      <c r="I21" s="41">
        <v>1.7426999999999999</v>
      </c>
      <c r="J21" s="8">
        <v>0.11</v>
      </c>
      <c r="K21" s="9">
        <f t="shared" si="1"/>
        <v>1.3941600000000001</v>
      </c>
      <c r="L21" s="9">
        <f t="shared" si="2"/>
        <v>1.8345142857142858</v>
      </c>
      <c r="M21" s="9">
        <f t="shared" si="0"/>
        <v>3821.9047619047619</v>
      </c>
      <c r="N21" s="10">
        <f t="shared" si="3"/>
        <v>28589.835009523809</v>
      </c>
    </row>
    <row r="22" spans="7:15" x14ac:dyDescent="0.25">
      <c r="G22" s="14">
        <v>16</v>
      </c>
      <c r="H22" s="7" t="s">
        <v>18</v>
      </c>
      <c r="I22" s="41">
        <v>1.5056</v>
      </c>
      <c r="J22" s="8">
        <v>0.05</v>
      </c>
      <c r="K22" s="9">
        <f t="shared" si="1"/>
        <v>1.2044800000000002</v>
      </c>
      <c r="L22" s="9">
        <f t="shared" si="2"/>
        <v>1.6492571428571432</v>
      </c>
      <c r="M22" s="9">
        <f t="shared" si="0"/>
        <v>3435.9523809523821</v>
      </c>
      <c r="N22" s="10">
        <f t="shared" si="3"/>
        <v>25702.710504761915</v>
      </c>
    </row>
    <row r="23" spans="7:15" x14ac:dyDescent="0.25">
      <c r="G23" s="14">
        <v>17</v>
      </c>
      <c r="H23" s="7" t="s">
        <v>19</v>
      </c>
      <c r="I23" s="41">
        <v>1.4490000000000001</v>
      </c>
      <c r="J23" s="8">
        <v>0.54</v>
      </c>
      <c r="K23" s="9">
        <f t="shared" si="1"/>
        <v>1.1592</v>
      </c>
      <c r="L23" s="9">
        <f t="shared" si="2"/>
        <v>0.88457142857142856</v>
      </c>
      <c r="M23" s="9">
        <f t="shared" si="0"/>
        <v>1842.8571428571429</v>
      </c>
      <c r="N23" s="10">
        <f t="shared" si="3"/>
        <v>13785.529714285714</v>
      </c>
    </row>
    <row r="24" spans="7:15" x14ac:dyDescent="0.25">
      <c r="G24" s="14">
        <v>18</v>
      </c>
      <c r="H24" s="7" t="s">
        <v>20</v>
      </c>
      <c r="I24" s="41">
        <v>1.1154999999999999</v>
      </c>
      <c r="J24" s="8">
        <v>0.72</v>
      </c>
      <c r="K24" s="9">
        <f t="shared" si="1"/>
        <v>0.89239999999999997</v>
      </c>
      <c r="L24" s="9">
        <f t="shared" si="2"/>
        <v>0.2462857142857143</v>
      </c>
      <c r="M24" s="9">
        <f t="shared" si="0"/>
        <v>513.09523809523807</v>
      </c>
      <c r="N24" s="10">
        <f t="shared" si="3"/>
        <v>3838.2191904761903</v>
      </c>
    </row>
    <row r="25" spans="7:15" x14ac:dyDescent="0.25">
      <c r="G25" s="14">
        <v>19</v>
      </c>
      <c r="H25" s="7" t="s">
        <v>21</v>
      </c>
      <c r="I25" s="41">
        <v>0.99560000000000004</v>
      </c>
      <c r="J25" s="8" t="s">
        <v>67</v>
      </c>
      <c r="K25" s="9">
        <f t="shared" si="1"/>
        <v>0.79648000000000008</v>
      </c>
      <c r="L25" s="9" t="e">
        <f t="shared" si="2"/>
        <v>#VALUE!</v>
      </c>
      <c r="M25" s="9" t="e">
        <f t="shared" si="0"/>
        <v>#VALUE!</v>
      </c>
      <c r="N25" s="10" t="e">
        <f t="shared" si="3"/>
        <v>#VALUE!</v>
      </c>
    </row>
    <row r="26" spans="7:15" x14ac:dyDescent="0.25">
      <c r="G26" s="14">
        <v>20</v>
      </c>
      <c r="H26" s="7" t="s">
        <v>22</v>
      </c>
      <c r="I26" s="41">
        <v>1.0381</v>
      </c>
      <c r="J26" s="8">
        <v>0.53</v>
      </c>
      <c r="K26" s="9">
        <f t="shared" si="1"/>
        <v>0.83048000000000011</v>
      </c>
      <c r="L26" s="9">
        <f t="shared" si="2"/>
        <v>0.429257142857143</v>
      </c>
      <c r="M26" s="9">
        <f t="shared" si="0"/>
        <v>894.28571428571468</v>
      </c>
      <c r="N26" s="10">
        <f t="shared" si="3"/>
        <v>6689.7221714285743</v>
      </c>
    </row>
    <row r="27" spans="7:15" x14ac:dyDescent="0.25">
      <c r="G27" s="14">
        <v>21</v>
      </c>
      <c r="H27" s="7" t="s">
        <v>23</v>
      </c>
      <c r="I27" s="41">
        <v>0.74490000000000001</v>
      </c>
      <c r="J27" s="8">
        <v>0.56000000000000005</v>
      </c>
      <c r="K27" s="9">
        <f t="shared" si="1"/>
        <v>0.59592000000000001</v>
      </c>
      <c r="L27" s="9">
        <f t="shared" si="2"/>
        <v>5.1314285714285646E-2</v>
      </c>
      <c r="M27" s="9">
        <f t="shared" si="0"/>
        <v>106.90476190476177</v>
      </c>
      <c r="N27" s="10">
        <f t="shared" si="3"/>
        <v>799.7032095238086</v>
      </c>
    </row>
    <row r="28" spans="7:15" x14ac:dyDescent="0.25">
      <c r="G28" s="14">
        <v>22</v>
      </c>
      <c r="H28" s="7" t="s">
        <v>24</v>
      </c>
      <c r="I28" s="41">
        <v>1.0923</v>
      </c>
      <c r="J28" s="8" t="s">
        <v>67</v>
      </c>
      <c r="K28" s="9">
        <f t="shared" si="1"/>
        <v>0.87384000000000006</v>
      </c>
      <c r="L28" s="9" t="e">
        <f t="shared" si="2"/>
        <v>#VALUE!</v>
      </c>
      <c r="M28" s="9" t="e">
        <f t="shared" si="0"/>
        <v>#VALUE!</v>
      </c>
      <c r="N28" s="10" t="e">
        <f t="shared" si="3"/>
        <v>#VALUE!</v>
      </c>
    </row>
    <row r="29" spans="7:15" x14ac:dyDescent="0.25">
      <c r="G29" s="14">
        <v>23</v>
      </c>
      <c r="H29" s="7" t="s">
        <v>25</v>
      </c>
      <c r="I29" s="8">
        <v>0.71</v>
      </c>
      <c r="J29" s="8" t="s">
        <v>67</v>
      </c>
      <c r="K29" s="9">
        <f t="shared" si="1"/>
        <v>0.56799999999999995</v>
      </c>
      <c r="L29" s="9" t="e">
        <f t="shared" si="2"/>
        <v>#VALUE!</v>
      </c>
      <c r="M29" s="9" t="e">
        <f t="shared" si="0"/>
        <v>#VALUE!</v>
      </c>
      <c r="N29" s="10" t="e">
        <f t="shared" si="3"/>
        <v>#VALUE!</v>
      </c>
    </row>
    <row r="30" spans="7:15" ht="15.75" thickBot="1" x14ac:dyDescent="0.3">
      <c r="G30" s="11"/>
      <c r="H30" s="12" t="s">
        <v>30</v>
      </c>
      <c r="I30" s="13">
        <f>SUM(I7:I29)</f>
        <v>30.623900000000006</v>
      </c>
      <c r="J30" s="13">
        <f t="shared" ref="J30:N30" si="4">SUM(J7:J29)</f>
        <v>4.7100000000000009</v>
      </c>
      <c r="K30" s="13">
        <f t="shared" si="4"/>
        <v>24.499119999999998</v>
      </c>
      <c r="L30" s="13" t="e">
        <f t="shared" si="4"/>
        <v>#VALUE!</v>
      </c>
      <c r="M30" s="13" t="e">
        <f t="shared" si="4"/>
        <v>#VALUE!</v>
      </c>
      <c r="N30" s="13" t="e">
        <f t="shared" si="4"/>
        <v>#VALUE!</v>
      </c>
      <c r="O30" s="15" t="e">
        <f>N30/5</f>
        <v>#VALUE!</v>
      </c>
    </row>
    <row r="32" spans="7:15" x14ac:dyDescent="0.25">
      <c r="O32" s="15" t="e">
        <f>O30-'Weekly Demand - Final'!O30</f>
        <v>#VALUE!</v>
      </c>
    </row>
    <row r="34" spans="15:15" x14ac:dyDescent="0.25">
      <c r="O34" t="e">
        <f>O32/O30*100</f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topLeftCell="A5" workbookViewId="0">
      <selection activeCell="B4" sqref="B4"/>
    </sheetView>
  </sheetViews>
  <sheetFormatPr defaultRowHeight="15" x14ac:dyDescent="0.25"/>
  <cols>
    <col min="1" max="1" width="30.42578125" customWidth="1"/>
    <col min="3" max="3" width="11.85546875" customWidth="1"/>
    <col min="4" max="4" width="11.140625" customWidth="1"/>
    <col min="5" max="5" width="13.140625" customWidth="1"/>
    <col min="7" max="7" width="9.28515625" bestFit="1" customWidth="1"/>
    <col min="8" max="8" width="25" customWidth="1"/>
    <col min="9" max="10" width="9.28515625" bestFit="1" customWidth="1"/>
    <col min="11" max="11" width="11.28515625" customWidth="1"/>
    <col min="12" max="12" width="9.28515625" bestFit="1" customWidth="1"/>
    <col min="13" max="15" width="10.5703125" bestFit="1" customWidth="1"/>
    <col min="16" max="16" width="9.5703125" bestFit="1" customWidth="1"/>
  </cols>
  <sheetData>
    <row r="1" spans="1:17" ht="40.5" customHeight="1" x14ac:dyDescent="0.5">
      <c r="A1" s="4" t="s">
        <v>43</v>
      </c>
    </row>
    <row r="2" spans="1:17" ht="24.95" customHeight="1" x14ac:dyDescent="0.25">
      <c r="A2" s="27" t="s">
        <v>42</v>
      </c>
      <c r="B2" s="28">
        <f>'Weekly Demand - Initial'!PF</f>
        <v>0.8</v>
      </c>
    </row>
    <row r="3" spans="1:17" ht="24.95" customHeight="1" x14ac:dyDescent="0.25">
      <c r="A3" s="27" t="s">
        <v>51</v>
      </c>
      <c r="B3" s="27">
        <v>25000</v>
      </c>
      <c r="C3" t="s">
        <v>28</v>
      </c>
      <c r="I3" s="26"/>
    </row>
    <row r="4" spans="1:17" ht="24.95" customHeight="1" x14ac:dyDescent="0.25">
      <c r="A4" s="27" t="s">
        <v>29</v>
      </c>
      <c r="B4" s="27">
        <f>'Weekly Demand - Initial'!Irr_Eff</f>
        <v>0.7</v>
      </c>
    </row>
    <row r="5" spans="1:17" ht="24.95" customHeight="1" x14ac:dyDescent="0.25"/>
    <row r="6" spans="1:17" ht="93.75" customHeight="1" x14ac:dyDescent="0.25">
      <c r="A6" s="34" t="s">
        <v>33</v>
      </c>
      <c r="B6" s="34" t="s">
        <v>34</v>
      </c>
      <c r="C6" s="34" t="s">
        <v>35</v>
      </c>
      <c r="D6" s="34" t="s">
        <v>50</v>
      </c>
      <c r="E6" s="34" t="s">
        <v>41</v>
      </c>
      <c r="F6" s="21"/>
      <c r="G6" s="39" t="s">
        <v>0</v>
      </c>
      <c r="H6" s="39" t="s">
        <v>1</v>
      </c>
      <c r="I6" s="39" t="s">
        <v>31</v>
      </c>
      <c r="J6" s="39" t="s">
        <v>2</v>
      </c>
      <c r="K6" s="40" t="s">
        <v>49</v>
      </c>
      <c r="L6" s="40" t="s">
        <v>26</v>
      </c>
      <c r="M6" s="40" t="s">
        <v>54</v>
      </c>
      <c r="N6" s="40" t="s">
        <v>27</v>
      </c>
    </row>
    <row r="7" spans="1:17" ht="24.95" customHeight="1" x14ac:dyDescent="0.25">
      <c r="A7" s="35" t="s">
        <v>36</v>
      </c>
      <c r="B7" s="36">
        <v>0.8</v>
      </c>
      <c r="C7" s="35">
        <f>'Weekly Demand - Initial'!C7</f>
        <v>25000</v>
      </c>
      <c r="D7" s="35">
        <f>'Weekly Demand - Initial'!D7</f>
        <v>100</v>
      </c>
      <c r="E7" s="35">
        <f>'Weekly Demand - Initial'!E7</f>
        <v>0.8</v>
      </c>
      <c r="F7" s="21"/>
      <c r="G7" s="29">
        <v>1</v>
      </c>
      <c r="H7" s="30" t="s">
        <v>44</v>
      </c>
      <c r="I7" s="31">
        <f>SUM('Weekly Demand - Initial'!I8:I11)</f>
        <v>4.8906999999999998</v>
      </c>
      <c r="J7" s="31">
        <f>SUM('Weekly Demand - Initial'!J8:J11)</f>
        <v>0.14000000000000001</v>
      </c>
      <c r="K7" s="32">
        <f>I7*$E$7</f>
        <v>3.91256</v>
      </c>
      <c r="L7" s="32">
        <f>(K7-J7)/Irr_Eff</f>
        <v>5.3893714285714287</v>
      </c>
      <c r="M7" s="32">
        <f>L7/12*$C$7</f>
        <v>11227.857142857143</v>
      </c>
      <c r="N7" s="33">
        <f>7.48052*M7</f>
        <v>83990.209914285719</v>
      </c>
    </row>
    <row r="8" spans="1:17" ht="24.95" customHeight="1" x14ac:dyDescent="0.25">
      <c r="A8" s="35" t="s">
        <v>37</v>
      </c>
      <c r="B8" s="36">
        <v>0.6</v>
      </c>
      <c r="C8" s="38"/>
      <c r="D8" s="37"/>
      <c r="E8" s="37"/>
      <c r="F8" s="22"/>
      <c r="G8" s="14">
        <v>2</v>
      </c>
      <c r="H8" s="7" t="s">
        <v>45</v>
      </c>
      <c r="I8" s="8">
        <f>SUM('Weekly Demand - Initial'!I12:I16)</f>
        <v>8.3176000000000005</v>
      </c>
      <c r="J8" s="8">
        <f>SUM('Weekly Demand - Initial'!J12:J16)</f>
        <v>0.96</v>
      </c>
      <c r="K8" s="32">
        <f t="shared" ref="K8:K11" si="0">I8*$E$7</f>
        <v>6.6540800000000004</v>
      </c>
      <c r="L8" s="32">
        <f>(K8-J8)/Irr_Eff</f>
        <v>8.1344000000000012</v>
      </c>
      <c r="M8" s="32">
        <f t="shared" ref="M8:M11" si="1">L8/12*$C$7</f>
        <v>16946.666666666668</v>
      </c>
      <c r="N8" s="33">
        <f t="shared" ref="N8:N11" si="2">7.48052*M8</f>
        <v>126769.87893333334</v>
      </c>
    </row>
    <row r="9" spans="1:17" ht="24.95" customHeight="1" x14ac:dyDescent="0.25">
      <c r="A9" s="35" t="s">
        <v>38</v>
      </c>
      <c r="B9" s="36">
        <v>0.4</v>
      </c>
      <c r="C9" s="38"/>
      <c r="D9" s="37"/>
      <c r="E9" s="37"/>
      <c r="F9" s="22"/>
      <c r="G9" s="14">
        <v>3</v>
      </c>
      <c r="H9" s="7" t="s">
        <v>46</v>
      </c>
      <c r="I9" s="8">
        <f>SUM('Weekly Demand - Initial'!I17:I20)</f>
        <v>5.8970000000000002</v>
      </c>
      <c r="J9" s="8">
        <f>SUM('Weekly Demand - Initial'!J17:J20)</f>
        <v>1.1000000000000001</v>
      </c>
      <c r="K9" s="32">
        <f t="shared" si="0"/>
        <v>4.7176</v>
      </c>
      <c r="L9" s="32">
        <f>(K9-J9)/Irr_Eff</f>
        <v>5.1680000000000001</v>
      </c>
      <c r="M9" s="32">
        <f t="shared" si="1"/>
        <v>10766.666666666668</v>
      </c>
      <c r="N9" s="33">
        <f t="shared" si="2"/>
        <v>80540.265333333344</v>
      </c>
      <c r="P9" s="25"/>
    </row>
    <row r="10" spans="1:17" ht="24.95" customHeight="1" x14ac:dyDescent="0.25">
      <c r="A10" s="35" t="s">
        <v>39</v>
      </c>
      <c r="B10" s="36">
        <v>0.2</v>
      </c>
      <c r="C10" s="38"/>
      <c r="D10" s="37"/>
      <c r="E10" s="37"/>
      <c r="F10" s="22"/>
      <c r="G10" s="14">
        <v>4</v>
      </c>
      <c r="H10" s="7" t="s">
        <v>47</v>
      </c>
      <c r="I10" s="8">
        <f>SUM('Weekly Demand - Initial'!I21:I24)</f>
        <v>5.8128000000000002</v>
      </c>
      <c r="J10" s="8">
        <f>SUM('Weekly Demand - Initial'!J21:J24)</f>
        <v>1.42</v>
      </c>
      <c r="K10" s="32">
        <f>I10*$E$7</f>
        <v>4.6502400000000002</v>
      </c>
      <c r="L10" s="32">
        <f>(K10-J10)/Irr_Eff</f>
        <v>4.6146285714285717</v>
      </c>
      <c r="M10" s="32">
        <f t="shared" si="1"/>
        <v>9613.8095238095248</v>
      </c>
      <c r="N10" s="33">
        <f t="shared" si="2"/>
        <v>71916.294419047626</v>
      </c>
      <c r="P10" s="25"/>
    </row>
    <row r="11" spans="1:17" ht="24.95" customHeight="1" x14ac:dyDescent="0.25">
      <c r="A11" s="34" t="s">
        <v>40</v>
      </c>
      <c r="B11" s="36"/>
      <c r="C11" s="35"/>
      <c r="D11" s="35"/>
      <c r="E11" s="37"/>
      <c r="F11" s="22"/>
      <c r="G11" s="14">
        <v>5</v>
      </c>
      <c r="H11" s="7" t="s">
        <v>48</v>
      </c>
      <c r="I11" s="8">
        <f>SUM('Weekly Demand - Initial'!I25:I29)</f>
        <v>4.5808999999999997</v>
      </c>
      <c r="J11" s="8">
        <f>SUM('Weekly Demand - Initial'!J25:J29)</f>
        <v>1.0900000000000001</v>
      </c>
      <c r="K11" s="32">
        <f t="shared" si="0"/>
        <v>3.66472</v>
      </c>
      <c r="L11" s="32">
        <f>(K11-J11)/Irr_Eff</f>
        <v>3.6781714285714289</v>
      </c>
      <c r="M11" s="32">
        <f t="shared" si="1"/>
        <v>7662.8571428571431</v>
      </c>
      <c r="N11" s="33">
        <f t="shared" si="2"/>
        <v>57322.156114285717</v>
      </c>
      <c r="O11" s="15"/>
      <c r="P11" s="25"/>
    </row>
    <row r="12" spans="1:17" ht="24.95" customHeight="1" thickBot="1" x14ac:dyDescent="0.3">
      <c r="F12" s="22"/>
      <c r="G12" s="11"/>
      <c r="H12" s="12" t="s">
        <v>30</v>
      </c>
      <c r="I12" s="13">
        <f>SUM(I7:I11)</f>
        <v>29.498999999999999</v>
      </c>
      <c r="J12" s="13">
        <f>SUM(J7:J11)</f>
        <v>4.71</v>
      </c>
      <c r="K12" s="13">
        <f t="shared" ref="K12:N12" si="3">SUM(K7:K11)</f>
        <v>23.5992</v>
      </c>
      <c r="L12" s="13">
        <f t="shared" si="3"/>
        <v>26.984571428571428</v>
      </c>
      <c r="M12" s="13">
        <f t="shared" si="3"/>
        <v>56217.857142857145</v>
      </c>
      <c r="N12" s="13">
        <f t="shared" si="3"/>
        <v>420538.80471428577</v>
      </c>
      <c r="O12" s="15"/>
      <c r="P12" s="25"/>
    </row>
    <row r="13" spans="1:17" x14ac:dyDescent="0.25">
      <c r="F13" s="22"/>
      <c r="P13" s="25"/>
    </row>
    <row r="14" spans="1:17" x14ac:dyDescent="0.25">
      <c r="Q14" s="2"/>
    </row>
  </sheetData>
  <pageMargins left="0.7" right="0.7" top="0.75" bottom="0.75" header="0.3" footer="0.3"/>
  <pageSetup scale="72" orientation="landscape" r:id="rId1"/>
  <ignoredErrors>
    <ignoredError sqref="I7:I11 J7:J1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A13" zoomScale="85" zoomScaleNormal="85" workbookViewId="0">
      <selection activeCell="L36" sqref="L36"/>
    </sheetView>
  </sheetViews>
  <sheetFormatPr defaultRowHeight="15" x14ac:dyDescent="0.25"/>
  <cols>
    <col min="1" max="1" width="30.42578125" customWidth="1"/>
    <col min="3" max="3" width="11.85546875" customWidth="1"/>
    <col min="4" max="4" width="11.140625" customWidth="1"/>
    <col min="5" max="5" width="13.140625" customWidth="1"/>
    <col min="7" max="7" width="9.28515625" bestFit="1" customWidth="1"/>
    <col min="8" max="8" width="25" customWidth="1"/>
    <col min="9" max="10" width="9.28515625" bestFit="1" customWidth="1"/>
    <col min="11" max="11" width="11.28515625" customWidth="1"/>
    <col min="12" max="12" width="9.28515625" bestFit="1" customWidth="1"/>
    <col min="13" max="13" width="12.7109375" customWidth="1"/>
    <col min="14" max="14" width="11.5703125" bestFit="1" customWidth="1"/>
    <col min="15" max="15" width="10.5703125" bestFit="1" customWidth="1"/>
    <col min="16" max="16" width="9.5703125" bestFit="1" customWidth="1"/>
  </cols>
  <sheetData>
    <row r="1" spans="1:17" ht="40.5" customHeight="1" x14ac:dyDescent="0.5">
      <c r="A1" s="4" t="s">
        <v>43</v>
      </c>
    </row>
    <row r="2" spans="1:17" x14ac:dyDescent="0.25">
      <c r="A2" t="s">
        <v>42</v>
      </c>
      <c r="B2" s="3">
        <v>0.8</v>
      </c>
    </row>
    <row r="3" spans="1:17" x14ac:dyDescent="0.25">
      <c r="A3" t="s">
        <v>52</v>
      </c>
      <c r="B3">
        <v>25000</v>
      </c>
      <c r="C3" t="s">
        <v>28</v>
      </c>
    </row>
    <row r="4" spans="1:17" x14ac:dyDescent="0.25">
      <c r="A4" t="s">
        <v>29</v>
      </c>
      <c r="B4">
        <v>0.7</v>
      </c>
    </row>
    <row r="5" spans="1:17" ht="15.75" thickBot="1" x14ac:dyDescent="0.3"/>
    <row r="6" spans="1:17" ht="93.75" customHeight="1" thickBot="1" x14ac:dyDescent="0.3">
      <c r="A6" s="16" t="s">
        <v>33</v>
      </c>
      <c r="B6" s="16" t="s">
        <v>34</v>
      </c>
      <c r="C6" s="16" t="s">
        <v>35</v>
      </c>
      <c r="D6" s="16" t="s">
        <v>50</v>
      </c>
      <c r="E6" s="17" t="s">
        <v>41</v>
      </c>
      <c r="F6" s="21"/>
      <c r="G6" s="5" t="s">
        <v>0</v>
      </c>
      <c r="H6" s="5" t="s">
        <v>1</v>
      </c>
      <c r="I6" s="5" t="s">
        <v>31</v>
      </c>
      <c r="J6" s="5" t="s">
        <v>2</v>
      </c>
      <c r="K6" s="6" t="s">
        <v>32</v>
      </c>
      <c r="L6" s="6" t="s">
        <v>26</v>
      </c>
      <c r="M6" s="6" t="s">
        <v>53</v>
      </c>
      <c r="N6" s="6" t="s">
        <v>27</v>
      </c>
    </row>
    <row r="7" spans="1:17" ht="15.75" thickBot="1" x14ac:dyDescent="0.3">
      <c r="A7" s="18" t="s">
        <v>36</v>
      </c>
      <c r="B7" s="1">
        <v>0.8</v>
      </c>
      <c r="C7" s="19">
        <f>D7/100*yard_area</f>
        <v>6250</v>
      </c>
      <c r="D7" s="23">
        <v>25</v>
      </c>
      <c r="E7" s="23">
        <f>B7*D7/100</f>
        <v>0.2</v>
      </c>
      <c r="F7" s="21"/>
      <c r="G7" s="14">
        <v>1</v>
      </c>
      <c r="H7" s="7" t="s">
        <v>3</v>
      </c>
      <c r="I7" s="41">
        <v>1.1249</v>
      </c>
      <c r="J7" s="8">
        <v>0</v>
      </c>
      <c r="K7" s="9">
        <f>I7*$E$7+I7*$E$8+I7*$E$9+I7*$E$10</f>
        <v>0.416213</v>
      </c>
      <c r="L7" s="9">
        <f>(K7-J7)/$B$4</f>
        <v>0.59459000000000006</v>
      </c>
      <c r="M7" s="9">
        <f t="shared" ref="M7:M29" si="0">L7/12*yard_area</f>
        <v>1238.7291666666667</v>
      </c>
      <c r="N7" s="10">
        <f>7.48052*M7</f>
        <v>9266.3383058333347</v>
      </c>
    </row>
    <row r="8" spans="1:17" ht="15.75" thickBot="1" x14ac:dyDescent="0.3">
      <c r="A8" s="18" t="s">
        <v>37</v>
      </c>
      <c r="B8" s="1">
        <v>0.6</v>
      </c>
      <c r="C8" s="19">
        <f>D8/100*yard_area</f>
        <v>0</v>
      </c>
      <c r="D8" s="23">
        <v>0</v>
      </c>
      <c r="E8" s="23">
        <f t="shared" ref="E8:E10" si="1">B8*D8/100</f>
        <v>0</v>
      </c>
      <c r="F8" s="22"/>
      <c r="G8" s="14">
        <v>2</v>
      </c>
      <c r="H8" s="7" t="s">
        <v>4</v>
      </c>
      <c r="I8" s="41">
        <v>1.1303000000000001</v>
      </c>
      <c r="J8" s="8">
        <v>0</v>
      </c>
      <c r="K8" s="9">
        <f t="shared" ref="K8:K29" si="2">I8*$E$7+I8*$E$8+I8*$E$9+I8*$E$10</f>
        <v>0.41821100000000011</v>
      </c>
      <c r="L8" s="9">
        <f t="shared" ref="L8:L29" si="3">(K8-J8)/$B$4</f>
        <v>0.59744428571428587</v>
      </c>
      <c r="M8" s="9">
        <f t="shared" si="0"/>
        <v>1244.6755952380956</v>
      </c>
      <c r="N8" s="10">
        <f t="shared" ref="N8:N29" si="4">7.48052*M8</f>
        <v>9310.8206836904792</v>
      </c>
    </row>
    <row r="9" spans="1:17" ht="15.75" thickBot="1" x14ac:dyDescent="0.3">
      <c r="A9" s="18" t="s">
        <v>38</v>
      </c>
      <c r="B9" s="1">
        <v>0.4</v>
      </c>
      <c r="C9" s="19">
        <f>D9/100*yard_area</f>
        <v>2500</v>
      </c>
      <c r="D9" s="23">
        <v>10</v>
      </c>
      <c r="E9" s="23">
        <f t="shared" si="1"/>
        <v>0.04</v>
      </c>
      <c r="F9" s="22"/>
      <c r="G9" s="14">
        <v>3</v>
      </c>
      <c r="H9" s="7" t="s">
        <v>5</v>
      </c>
      <c r="I9" s="41">
        <v>1.1525000000000001</v>
      </c>
      <c r="J9" s="8">
        <v>0</v>
      </c>
      <c r="K9" s="9">
        <f t="shared" si="2"/>
        <v>0.42642500000000005</v>
      </c>
      <c r="L9" s="9">
        <f t="shared" si="3"/>
        <v>0.60917857142857157</v>
      </c>
      <c r="M9" s="9">
        <f t="shared" si="0"/>
        <v>1269.1220238095241</v>
      </c>
      <c r="N9" s="10">
        <f t="shared" si="4"/>
        <v>9493.6926815476218</v>
      </c>
      <c r="P9" s="25"/>
    </row>
    <row r="10" spans="1:17" ht="15.75" thickBot="1" x14ac:dyDescent="0.3">
      <c r="A10" s="18" t="s">
        <v>39</v>
      </c>
      <c r="B10" s="1">
        <v>0.2</v>
      </c>
      <c r="C10" s="19">
        <f>D10/100*yard_area</f>
        <v>16250</v>
      </c>
      <c r="D10" s="23">
        <v>65</v>
      </c>
      <c r="E10" s="23">
        <f t="shared" si="1"/>
        <v>0.13</v>
      </c>
      <c r="F10" s="22"/>
      <c r="G10" s="14">
        <v>4</v>
      </c>
      <c r="H10" s="7" t="s">
        <v>6</v>
      </c>
      <c r="I10" s="41">
        <v>1.1678999999999999</v>
      </c>
      <c r="J10" s="8">
        <v>0</v>
      </c>
      <c r="K10" s="9">
        <f t="shared" si="2"/>
        <v>0.43212299999999998</v>
      </c>
      <c r="L10" s="9">
        <f t="shared" si="3"/>
        <v>0.61731857142857138</v>
      </c>
      <c r="M10" s="9">
        <f t="shared" si="0"/>
        <v>1286.0803571428569</v>
      </c>
      <c r="N10" s="10">
        <f t="shared" si="4"/>
        <v>9620.5498332142834</v>
      </c>
      <c r="P10" s="25"/>
    </row>
    <row r="11" spans="1:17" ht="15.75" thickBot="1" x14ac:dyDescent="0.3">
      <c r="A11" s="20" t="s">
        <v>40</v>
      </c>
      <c r="B11" s="1"/>
      <c r="C11" s="19"/>
      <c r="D11" s="19"/>
      <c r="E11" s="23"/>
      <c r="F11" s="22"/>
      <c r="G11" s="14">
        <v>5</v>
      </c>
      <c r="H11" s="7" t="s">
        <v>7</v>
      </c>
      <c r="I11" s="41">
        <v>1.44</v>
      </c>
      <c r="J11" s="8">
        <v>0.14000000000000001</v>
      </c>
      <c r="K11" s="9">
        <f t="shared" si="2"/>
        <v>0.53279999999999994</v>
      </c>
      <c r="L11" s="9">
        <f t="shared" si="3"/>
        <v>0.56114285714285705</v>
      </c>
      <c r="M11" s="9">
        <f t="shared" si="0"/>
        <v>1169.0476190476188</v>
      </c>
      <c r="N11" s="10">
        <f t="shared" si="4"/>
        <v>8745.0840952380931</v>
      </c>
      <c r="O11" s="15"/>
      <c r="P11" s="25"/>
    </row>
    <row r="12" spans="1:17" x14ac:dyDescent="0.25">
      <c r="F12" s="22"/>
      <c r="G12" s="14">
        <v>6</v>
      </c>
      <c r="H12" s="7" t="s">
        <v>8</v>
      </c>
      <c r="I12" s="41">
        <v>1.52</v>
      </c>
      <c r="J12" s="8">
        <v>0.35</v>
      </c>
      <c r="K12" s="9">
        <f t="shared" si="2"/>
        <v>0.56240000000000001</v>
      </c>
      <c r="L12" s="9">
        <f t="shared" si="3"/>
        <v>0.30342857142857149</v>
      </c>
      <c r="M12" s="9">
        <f t="shared" si="0"/>
        <v>632.14285714285722</v>
      </c>
      <c r="N12" s="10">
        <f t="shared" si="4"/>
        <v>4728.7572857142868</v>
      </c>
      <c r="P12" s="25"/>
    </row>
    <row r="13" spans="1:17" x14ac:dyDescent="0.25">
      <c r="F13" s="22"/>
      <c r="G13" s="14">
        <v>7</v>
      </c>
      <c r="H13" s="7" t="s">
        <v>9</v>
      </c>
      <c r="I13" s="41">
        <v>1.6442000000000001</v>
      </c>
      <c r="J13" s="8">
        <v>0</v>
      </c>
      <c r="K13" s="9">
        <f t="shared" si="2"/>
        <v>0.60835400000000006</v>
      </c>
      <c r="L13" s="9">
        <f t="shared" si="3"/>
        <v>0.86907714285714299</v>
      </c>
      <c r="M13" s="9">
        <f t="shared" si="0"/>
        <v>1810.5773809523812</v>
      </c>
      <c r="N13" s="10">
        <f t="shared" si="4"/>
        <v>13544.060309761908</v>
      </c>
      <c r="P13" s="25"/>
    </row>
    <row r="14" spans="1:17" x14ac:dyDescent="0.25">
      <c r="G14" s="14">
        <v>8</v>
      </c>
      <c r="H14" s="7" t="s">
        <v>10</v>
      </c>
      <c r="I14" s="41">
        <v>1.8661000000000001</v>
      </c>
      <c r="J14" s="8"/>
      <c r="K14" s="9">
        <f t="shared" si="2"/>
        <v>0.6904570000000001</v>
      </c>
      <c r="L14" s="9">
        <f t="shared" si="3"/>
        <v>0.98636714285714311</v>
      </c>
      <c r="M14" s="9">
        <f t="shared" si="0"/>
        <v>2054.9315476190482</v>
      </c>
      <c r="N14" s="10">
        <f t="shared" si="4"/>
        <v>15371.956540595243</v>
      </c>
      <c r="Q14" s="2"/>
    </row>
    <row r="15" spans="1:17" x14ac:dyDescent="0.25">
      <c r="G15" s="14">
        <v>9</v>
      </c>
      <c r="H15" s="7" t="s">
        <v>11</v>
      </c>
      <c r="I15" s="41">
        <v>1.6773</v>
      </c>
      <c r="J15" s="8">
        <v>0.61</v>
      </c>
      <c r="K15" s="9">
        <f t="shared" si="2"/>
        <v>0.62060100000000007</v>
      </c>
      <c r="L15" s="9">
        <f t="shared" si="3"/>
        <v>1.5144285714285834E-2</v>
      </c>
      <c r="M15" s="9">
        <f t="shared" si="0"/>
        <v>31.550595238095486</v>
      </c>
      <c r="N15" s="10">
        <f t="shared" si="4"/>
        <v>236.01485869047806</v>
      </c>
    </row>
    <row r="16" spans="1:17" x14ac:dyDescent="0.25">
      <c r="G16" s="14">
        <v>10</v>
      </c>
      <c r="H16" s="7" t="s">
        <v>12</v>
      </c>
      <c r="I16" s="8">
        <v>1.6129</v>
      </c>
      <c r="J16" s="8">
        <v>0</v>
      </c>
      <c r="K16" s="9">
        <f t="shared" si="2"/>
        <v>0.596773</v>
      </c>
      <c r="L16" s="9">
        <f t="shared" si="3"/>
        <v>0.8525328571428572</v>
      </c>
      <c r="M16" s="9">
        <f t="shared" si="0"/>
        <v>1776.1101190476193</v>
      </c>
      <c r="N16" s="10">
        <f t="shared" si="4"/>
        <v>13286.227267738097</v>
      </c>
    </row>
    <row r="17" spans="7:15" x14ac:dyDescent="0.25">
      <c r="G17" s="14">
        <v>11</v>
      </c>
      <c r="H17" s="7" t="s">
        <v>13</v>
      </c>
      <c r="I17" s="41">
        <v>1.5485</v>
      </c>
      <c r="J17" s="8">
        <v>0.55000000000000004</v>
      </c>
      <c r="K17" s="9">
        <f t="shared" si="2"/>
        <v>0.57294500000000004</v>
      </c>
      <c r="L17" s="9">
        <f t="shared" si="3"/>
        <v>3.2778571428571421E-2</v>
      </c>
      <c r="M17" s="9">
        <f t="shared" si="0"/>
        <v>68.288690476190453</v>
      </c>
      <c r="N17" s="10">
        <f t="shared" si="4"/>
        <v>510.83491488095223</v>
      </c>
    </row>
    <row r="18" spans="7:15" x14ac:dyDescent="0.25">
      <c r="G18" s="14">
        <v>12</v>
      </c>
      <c r="H18" s="7" t="s">
        <v>14</v>
      </c>
      <c r="I18" s="41">
        <v>1.3721000000000001</v>
      </c>
      <c r="J18" s="8">
        <v>0.21</v>
      </c>
      <c r="K18" s="9">
        <f t="shared" si="2"/>
        <v>0.50767700000000004</v>
      </c>
      <c r="L18" s="9">
        <f t="shared" si="3"/>
        <v>0.42525285714285727</v>
      </c>
      <c r="M18" s="9">
        <f t="shared" si="0"/>
        <v>885.94345238095264</v>
      </c>
      <c r="N18" s="10">
        <f t="shared" si="4"/>
        <v>6627.317714404764</v>
      </c>
    </row>
    <row r="19" spans="7:15" x14ac:dyDescent="0.25">
      <c r="G19" s="14">
        <v>13</v>
      </c>
      <c r="H19" s="7" t="s">
        <v>15</v>
      </c>
      <c r="I19" s="41">
        <v>1.5791999999999999</v>
      </c>
      <c r="J19" s="8">
        <v>0.34</v>
      </c>
      <c r="K19" s="9">
        <f t="shared" si="2"/>
        <v>0.58430400000000005</v>
      </c>
      <c r="L19" s="9">
        <f t="shared" si="3"/>
        <v>0.34900571428571436</v>
      </c>
      <c r="M19" s="9">
        <f t="shared" si="0"/>
        <v>727.09523809523819</v>
      </c>
      <c r="N19" s="10">
        <f t="shared" si="4"/>
        <v>5439.0504704761915</v>
      </c>
    </row>
    <row r="20" spans="7:15" x14ac:dyDescent="0.25">
      <c r="G20" s="14">
        <v>14</v>
      </c>
      <c r="H20" s="7" t="s">
        <v>16</v>
      </c>
      <c r="I20" s="41">
        <v>1.3972</v>
      </c>
      <c r="J20" s="8">
        <v>0</v>
      </c>
      <c r="K20" s="9">
        <f t="shared" si="2"/>
        <v>0.51696399999999998</v>
      </c>
      <c r="L20" s="9">
        <f t="shared" si="3"/>
        <v>0.73852000000000007</v>
      </c>
      <c r="M20" s="9">
        <f t="shared" si="0"/>
        <v>1538.5833333333335</v>
      </c>
      <c r="N20" s="10">
        <f t="shared" si="4"/>
        <v>11509.403396666668</v>
      </c>
    </row>
    <row r="21" spans="7:15" x14ac:dyDescent="0.25">
      <c r="G21" s="14">
        <v>15</v>
      </c>
      <c r="H21" s="7" t="s">
        <v>17</v>
      </c>
      <c r="I21" s="41">
        <v>1.7426999999999999</v>
      </c>
      <c r="J21" s="8">
        <v>0.11</v>
      </c>
      <c r="K21" s="9">
        <f t="shared" si="2"/>
        <v>0.64479900000000001</v>
      </c>
      <c r="L21" s="9">
        <f t="shared" si="3"/>
        <v>0.76399857142857153</v>
      </c>
      <c r="M21" s="9">
        <f t="shared" si="0"/>
        <v>1591.6636904761906</v>
      </c>
      <c r="N21" s="10">
        <f t="shared" si="4"/>
        <v>11906.472069880954</v>
      </c>
    </row>
    <row r="22" spans="7:15" x14ac:dyDescent="0.25">
      <c r="G22" s="14">
        <v>16</v>
      </c>
      <c r="H22" s="7" t="s">
        <v>18</v>
      </c>
      <c r="I22" s="41">
        <v>1.5056</v>
      </c>
      <c r="J22" s="8">
        <v>0.05</v>
      </c>
      <c r="K22" s="9">
        <f t="shared" si="2"/>
        <v>0.55707200000000001</v>
      </c>
      <c r="L22" s="9">
        <f t="shared" si="3"/>
        <v>0.72438857142857138</v>
      </c>
      <c r="M22" s="9">
        <f t="shared" si="0"/>
        <v>1509.1428571428569</v>
      </c>
      <c r="N22" s="10">
        <f t="shared" si="4"/>
        <v>11289.173325714284</v>
      </c>
    </row>
    <row r="23" spans="7:15" x14ac:dyDescent="0.25">
      <c r="G23" s="14">
        <v>17</v>
      </c>
      <c r="H23" s="7" t="s">
        <v>19</v>
      </c>
      <c r="I23" s="41">
        <v>1.4490000000000001</v>
      </c>
      <c r="J23" s="8">
        <v>0.54</v>
      </c>
      <c r="K23" s="9">
        <f t="shared" si="2"/>
        <v>0.53613</v>
      </c>
      <c r="L23" s="9">
        <f t="shared" si="3"/>
        <v>-5.5285714285714859E-3</v>
      </c>
      <c r="M23" s="9">
        <f t="shared" si="0"/>
        <v>-11.517857142857261</v>
      </c>
      <c r="N23" s="10">
        <f t="shared" si="4"/>
        <v>-86.159560714286599</v>
      </c>
    </row>
    <row r="24" spans="7:15" x14ac:dyDescent="0.25">
      <c r="G24" s="14">
        <v>18</v>
      </c>
      <c r="H24" s="7" t="s">
        <v>20</v>
      </c>
      <c r="I24" s="41">
        <v>1.1154999999999999</v>
      </c>
      <c r="J24" s="8">
        <v>0.72</v>
      </c>
      <c r="K24" s="9">
        <f t="shared" si="2"/>
        <v>0.41273500000000002</v>
      </c>
      <c r="L24" s="9">
        <f t="shared" si="3"/>
        <v>-0.43894999999999995</v>
      </c>
      <c r="M24" s="9">
        <f t="shared" si="0"/>
        <v>-914.47916666666652</v>
      </c>
      <c r="N24" s="10">
        <f t="shared" si="4"/>
        <v>-6840.7796958333329</v>
      </c>
    </row>
    <row r="25" spans="7:15" x14ac:dyDescent="0.25">
      <c r="G25" s="14">
        <v>19</v>
      </c>
      <c r="H25" s="7" t="s">
        <v>21</v>
      </c>
      <c r="I25" s="41">
        <v>0.99560000000000004</v>
      </c>
      <c r="J25" s="8">
        <v>0</v>
      </c>
      <c r="K25" s="9">
        <f t="shared" si="2"/>
        <v>0.36837200000000003</v>
      </c>
      <c r="L25" s="9">
        <f t="shared" si="3"/>
        <v>0.52624571428571432</v>
      </c>
      <c r="M25" s="9">
        <f t="shared" si="0"/>
        <v>1096.3452380952381</v>
      </c>
      <c r="N25" s="10">
        <f t="shared" si="4"/>
        <v>8201.2324804761902</v>
      </c>
    </row>
    <row r="26" spans="7:15" x14ac:dyDescent="0.25">
      <c r="G26" s="14">
        <v>20</v>
      </c>
      <c r="H26" s="7" t="s">
        <v>22</v>
      </c>
      <c r="I26" s="41">
        <v>1.0381</v>
      </c>
      <c r="J26" s="8">
        <v>0.53</v>
      </c>
      <c r="K26" s="9">
        <f t="shared" si="2"/>
        <v>0.38409700000000002</v>
      </c>
      <c r="L26" s="9">
        <f t="shared" si="3"/>
        <v>-0.20843285714285717</v>
      </c>
      <c r="M26" s="9">
        <f t="shared" si="0"/>
        <v>-434.23511904761909</v>
      </c>
      <c r="N26" s="10">
        <f t="shared" si="4"/>
        <v>-3248.3044927380956</v>
      </c>
    </row>
    <row r="27" spans="7:15" x14ac:dyDescent="0.25">
      <c r="G27" s="14">
        <v>21</v>
      </c>
      <c r="H27" s="7" t="s">
        <v>23</v>
      </c>
      <c r="I27" s="41">
        <v>0.74490000000000001</v>
      </c>
      <c r="J27" s="8">
        <v>0.56000000000000005</v>
      </c>
      <c r="K27" s="9">
        <f t="shared" si="2"/>
        <v>0.275613</v>
      </c>
      <c r="L27" s="9">
        <f t="shared" si="3"/>
        <v>-0.40626714285714294</v>
      </c>
      <c r="M27" s="9">
        <f t="shared" si="0"/>
        <v>-846.38988095238119</v>
      </c>
      <c r="N27" s="10">
        <f t="shared" si="4"/>
        <v>-6331.4364322619067</v>
      </c>
    </row>
    <row r="28" spans="7:15" x14ac:dyDescent="0.25">
      <c r="G28" s="14">
        <v>22</v>
      </c>
      <c r="H28" s="7" t="s">
        <v>24</v>
      </c>
      <c r="I28" s="41">
        <v>1.0923</v>
      </c>
      <c r="J28" s="8">
        <v>0</v>
      </c>
      <c r="K28" s="9">
        <f t="shared" si="2"/>
        <v>0.40415100000000004</v>
      </c>
      <c r="L28" s="9">
        <f t="shared" si="3"/>
        <v>0.5773585714285715</v>
      </c>
      <c r="M28" s="9">
        <f t="shared" si="0"/>
        <v>1202.8303571428573</v>
      </c>
      <c r="N28" s="10">
        <f t="shared" si="4"/>
        <v>8997.7965432142882</v>
      </c>
    </row>
    <row r="29" spans="7:15" x14ac:dyDescent="0.25">
      <c r="G29" s="14">
        <v>23</v>
      </c>
      <c r="H29" s="7" t="s">
        <v>25</v>
      </c>
      <c r="I29" s="8">
        <v>0.70689999999999997</v>
      </c>
      <c r="J29" s="8">
        <v>0</v>
      </c>
      <c r="K29" s="9">
        <f t="shared" si="2"/>
        <v>0.26155300000000004</v>
      </c>
      <c r="L29" s="9">
        <f t="shared" si="3"/>
        <v>0.37364714285714296</v>
      </c>
      <c r="M29" s="9">
        <f t="shared" si="0"/>
        <v>778.43154761904782</v>
      </c>
      <c r="N29" s="10">
        <f t="shared" si="4"/>
        <v>5823.0727605952397</v>
      </c>
    </row>
    <row r="30" spans="7:15" ht="15.75" thickBot="1" x14ac:dyDescent="0.3">
      <c r="G30" s="11"/>
      <c r="H30" s="12" t="s">
        <v>30</v>
      </c>
      <c r="I30" s="13">
        <f>SUM(I7:I29)</f>
        <v>30.623700000000007</v>
      </c>
      <c r="J30" s="13">
        <f t="shared" ref="J30:N30" si="5">SUM(J7:J29)</f>
        <v>4.7100000000000009</v>
      </c>
      <c r="K30" s="13">
        <f t="shared" si="5"/>
        <v>11.330769000000002</v>
      </c>
      <c r="L30" s="13">
        <f t="shared" si="5"/>
        <v>9.4582414285714318</v>
      </c>
      <c r="M30" s="13">
        <f t="shared" si="5"/>
        <v>19704.669642857145</v>
      </c>
      <c r="N30" s="13">
        <f t="shared" si="5"/>
        <v>147401.17535678577</v>
      </c>
      <c r="O30" s="15">
        <f>N30/5</f>
        <v>29480.235071357154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topLeftCell="A3" workbookViewId="0">
      <selection activeCell="C7" sqref="C7:C10"/>
    </sheetView>
  </sheetViews>
  <sheetFormatPr defaultRowHeight="15" x14ac:dyDescent="0.25"/>
  <cols>
    <col min="1" max="1" width="30.42578125" customWidth="1"/>
    <col min="3" max="3" width="11.85546875" customWidth="1"/>
    <col min="4" max="4" width="11.140625" customWidth="1"/>
    <col min="5" max="5" width="13.140625" customWidth="1"/>
    <col min="7" max="7" width="9.28515625" bestFit="1" customWidth="1"/>
    <col min="8" max="8" width="25" customWidth="1"/>
    <col min="9" max="10" width="9.28515625" bestFit="1" customWidth="1"/>
    <col min="11" max="11" width="11.28515625" customWidth="1"/>
    <col min="12" max="12" width="9.28515625" bestFit="1" customWidth="1"/>
    <col min="13" max="15" width="10.5703125" bestFit="1" customWidth="1"/>
    <col min="16" max="16" width="9.5703125" bestFit="1" customWidth="1"/>
  </cols>
  <sheetData>
    <row r="1" spans="1:17" ht="40.5" customHeight="1" x14ac:dyDescent="0.5">
      <c r="A1" s="4" t="s">
        <v>43</v>
      </c>
    </row>
    <row r="2" spans="1:17" ht="24.95" customHeight="1" x14ac:dyDescent="0.25">
      <c r="A2" s="27" t="s">
        <v>42</v>
      </c>
      <c r="B2" s="28">
        <f>'Weekly Demand - Initial'!PF</f>
        <v>0.8</v>
      </c>
    </row>
    <row r="3" spans="1:17" ht="24.95" customHeight="1" x14ac:dyDescent="0.25">
      <c r="A3" s="27" t="s">
        <v>51</v>
      </c>
      <c r="B3" s="27">
        <f>'Weekly Demand - Initial'!yard_area</f>
        <v>25000</v>
      </c>
      <c r="C3" t="s">
        <v>28</v>
      </c>
      <c r="I3" s="26"/>
    </row>
    <row r="4" spans="1:17" ht="24.95" customHeight="1" x14ac:dyDescent="0.25">
      <c r="A4" s="27" t="s">
        <v>29</v>
      </c>
      <c r="B4" s="27">
        <f>'Weekly Demand - Initial'!Irr_Eff</f>
        <v>0.7</v>
      </c>
    </row>
    <row r="5" spans="1:17" ht="24.95" customHeight="1" x14ac:dyDescent="0.25"/>
    <row r="6" spans="1:17" ht="93.75" customHeight="1" x14ac:dyDescent="0.25">
      <c r="A6" s="34" t="s">
        <v>33</v>
      </c>
      <c r="B6" s="34" t="s">
        <v>34</v>
      </c>
      <c r="C6" s="34" t="s">
        <v>35</v>
      </c>
      <c r="D6" s="34" t="s">
        <v>50</v>
      </c>
      <c r="E6" s="34" t="s">
        <v>41</v>
      </c>
      <c r="F6" s="21"/>
      <c r="G6" s="39" t="s">
        <v>0</v>
      </c>
      <c r="H6" s="39" t="s">
        <v>1</v>
      </c>
      <c r="I6" s="39" t="s">
        <v>31</v>
      </c>
      <c r="J6" s="39" t="s">
        <v>2</v>
      </c>
      <c r="K6" s="40" t="s">
        <v>49</v>
      </c>
      <c r="L6" s="40" t="s">
        <v>26</v>
      </c>
      <c r="M6" s="40" t="s">
        <v>54</v>
      </c>
      <c r="N6" s="40" t="s">
        <v>27</v>
      </c>
    </row>
    <row r="7" spans="1:17" ht="24.95" customHeight="1" x14ac:dyDescent="0.25">
      <c r="A7" s="35" t="s">
        <v>36</v>
      </c>
      <c r="B7" s="36">
        <f>'Weekly Demand - Final'!B7</f>
        <v>0.8</v>
      </c>
      <c r="C7" s="36">
        <f>'Weekly Demand - Final'!C7</f>
        <v>6250</v>
      </c>
      <c r="D7" s="36">
        <f>'Weekly Demand - Final'!D7</f>
        <v>25</v>
      </c>
      <c r="E7" s="36">
        <f>'Weekly Demand - Final'!E7</f>
        <v>0.2</v>
      </c>
      <c r="F7" s="21"/>
      <c r="G7" s="29">
        <v>1</v>
      </c>
      <c r="H7" s="30" t="s">
        <v>44</v>
      </c>
      <c r="I7" s="31">
        <f>SUM('Weekly Demand - Final'!I8:I11)</f>
        <v>4.8906999999999998</v>
      </c>
      <c r="J7" s="31">
        <f>SUM('Weekly Demand - Final'!J8:J11)</f>
        <v>0.14000000000000001</v>
      </c>
      <c r="K7" s="31">
        <f>SUM('Weekly Demand - Final'!K8:K11)</f>
        <v>1.8095590000000001</v>
      </c>
      <c r="L7" s="31">
        <f>SUM('Weekly Demand - Final'!L8:L11)</f>
        <v>2.385084285714286</v>
      </c>
      <c r="M7" s="32">
        <f>L7/12*$B$3</f>
        <v>4968.9255952380963</v>
      </c>
      <c r="N7" s="33">
        <f>7.48052*M7</f>
        <v>37170.147293690483</v>
      </c>
    </row>
    <row r="8" spans="1:17" ht="24.95" customHeight="1" x14ac:dyDescent="0.25">
      <c r="A8" s="35" t="s">
        <v>37</v>
      </c>
      <c r="B8" s="36">
        <f>'Weekly Demand - Final'!B8</f>
        <v>0.6</v>
      </c>
      <c r="C8" s="36">
        <f>'Weekly Demand - Final'!C8</f>
        <v>0</v>
      </c>
      <c r="D8" s="36">
        <v>0</v>
      </c>
      <c r="E8" s="36">
        <f>'Weekly Demand - Final'!E8</f>
        <v>0</v>
      </c>
      <c r="F8" s="22"/>
      <c r="G8" s="14">
        <v>2</v>
      </c>
      <c r="H8" s="7" t="s">
        <v>45</v>
      </c>
      <c r="I8" s="31">
        <f>SUM('Weekly Demand - Final'!I12:I16)</f>
        <v>8.3205000000000009</v>
      </c>
      <c r="J8" s="31">
        <f>SUM('Weekly Demand - Final'!J12:J16)</f>
        <v>0.96</v>
      </c>
      <c r="K8" s="31">
        <f>SUM('Weekly Demand - Final'!K12:K16)</f>
        <v>3.0785850000000003</v>
      </c>
      <c r="L8" s="31">
        <f>SUM('Weekly Demand - Final'!L12:L16)</f>
        <v>3.0265500000000007</v>
      </c>
      <c r="M8" s="32">
        <f t="shared" ref="M8:M11" si="0">L8/12*$B$3</f>
        <v>6305.3125000000018</v>
      </c>
      <c r="N8" s="33">
        <f t="shared" ref="N8:N11" si="1">7.48052*M8</f>
        <v>47167.016262500016</v>
      </c>
    </row>
    <row r="9" spans="1:17" ht="24.95" customHeight="1" x14ac:dyDescent="0.25">
      <c r="A9" s="35" t="s">
        <v>38</v>
      </c>
      <c r="B9" s="36">
        <f>'Weekly Demand - Final'!B9</f>
        <v>0.4</v>
      </c>
      <c r="C9" s="36">
        <f>'Weekly Demand - Final'!C9</f>
        <v>2500</v>
      </c>
      <c r="D9" s="36">
        <f>'Weekly Demand - Final'!D9</f>
        <v>10</v>
      </c>
      <c r="E9" s="36">
        <f>'Weekly Demand - Final'!E9</f>
        <v>0.04</v>
      </c>
      <c r="F9" s="22"/>
      <c r="G9" s="14">
        <v>3</v>
      </c>
      <c r="H9" s="7" t="s">
        <v>46</v>
      </c>
      <c r="I9" s="31">
        <f>SUM('Weekly Demand - Final'!I17:I20)</f>
        <v>5.8970000000000002</v>
      </c>
      <c r="J9" s="31">
        <f>SUM('Weekly Demand - Final'!J17:J20)</f>
        <v>1.1000000000000001</v>
      </c>
      <c r="K9" s="31">
        <f>SUM('Weekly Demand - Final'!K17:K20)</f>
        <v>2.1818900000000001</v>
      </c>
      <c r="L9" s="31">
        <f>SUM('Weekly Demand - Final'!L17:L20)</f>
        <v>1.5455571428571431</v>
      </c>
      <c r="M9" s="32">
        <f t="shared" si="0"/>
        <v>3219.9107142857147</v>
      </c>
      <c r="N9" s="33">
        <f t="shared" si="1"/>
        <v>24086.606496428576</v>
      </c>
      <c r="P9" s="25"/>
    </row>
    <row r="10" spans="1:17" ht="24.95" customHeight="1" x14ac:dyDescent="0.25">
      <c r="A10" s="35" t="s">
        <v>39</v>
      </c>
      <c r="B10" s="36">
        <f>'Weekly Demand - Final'!B10</f>
        <v>0.2</v>
      </c>
      <c r="C10" s="36">
        <f>'Weekly Demand - Final'!C10</f>
        <v>16250</v>
      </c>
      <c r="D10" s="36">
        <f>'Weekly Demand - Final'!D10</f>
        <v>65</v>
      </c>
      <c r="E10" s="36">
        <f>'Weekly Demand - Final'!E10</f>
        <v>0.13</v>
      </c>
      <c r="F10" s="22"/>
      <c r="G10" s="14">
        <v>4</v>
      </c>
      <c r="H10" s="7" t="s">
        <v>47</v>
      </c>
      <c r="I10" s="31">
        <f>SUM('Weekly Demand - Final'!I21:I24)</f>
        <v>5.8128000000000002</v>
      </c>
      <c r="J10" s="31">
        <f>SUM('Weekly Demand - Final'!J21:J24)</f>
        <v>1.42</v>
      </c>
      <c r="K10" s="31">
        <f>SUM('Weekly Demand - Final'!K21:K24)</f>
        <v>2.1507360000000002</v>
      </c>
      <c r="L10" s="31">
        <f>SUM('Weekly Demand - Final'!L21:L24)</f>
        <v>1.0439085714285714</v>
      </c>
      <c r="M10" s="32">
        <f t="shared" si="0"/>
        <v>2174.8095238095239</v>
      </c>
      <c r="N10" s="33">
        <f t="shared" si="1"/>
        <v>16268.706139047619</v>
      </c>
      <c r="P10" s="25"/>
    </row>
    <row r="11" spans="1:17" ht="24.95" customHeight="1" x14ac:dyDescent="0.25">
      <c r="A11" s="34" t="s">
        <v>40</v>
      </c>
      <c r="B11" s="36"/>
      <c r="C11" s="35"/>
      <c r="D11" s="35"/>
      <c r="E11" s="37"/>
      <c r="F11" s="22"/>
      <c r="G11" s="14">
        <v>5</v>
      </c>
      <c r="H11" s="7" t="s">
        <v>48</v>
      </c>
      <c r="I11" s="31">
        <f>SUM('Weekly Demand - Final'!I25:I29)</f>
        <v>4.5777999999999999</v>
      </c>
      <c r="J11" s="31">
        <f>SUM('Weekly Demand - Final'!J25:J29)</f>
        <v>1.0900000000000001</v>
      </c>
      <c r="K11" s="31">
        <f>SUM('Weekly Demand - Final'!K25:K29)</f>
        <v>1.6937860000000002</v>
      </c>
      <c r="L11" s="31">
        <f>SUM('Weekly Demand - Final'!L25:L29)</f>
        <v>0.86255142857142864</v>
      </c>
      <c r="M11" s="32">
        <f t="shared" si="0"/>
        <v>1796.9821428571429</v>
      </c>
      <c r="N11" s="33">
        <f t="shared" si="1"/>
        <v>13442.360859285714</v>
      </c>
      <c r="O11" s="15"/>
      <c r="P11" s="25"/>
    </row>
    <row r="12" spans="1:17" ht="24.95" customHeight="1" thickBot="1" x14ac:dyDescent="0.3">
      <c r="F12" s="22"/>
      <c r="G12" s="11"/>
      <c r="H12" s="12" t="s">
        <v>30</v>
      </c>
      <c r="I12" s="13">
        <f>SUM(I7:I11)</f>
        <v>29.498800000000003</v>
      </c>
      <c r="J12" s="13">
        <f>SUM(J7:J11)</f>
        <v>4.71</v>
      </c>
      <c r="K12" s="13">
        <f t="shared" ref="K12:N12" si="2">SUM(K7:K11)</f>
        <v>10.914556000000001</v>
      </c>
      <c r="L12" s="13">
        <f t="shared" si="2"/>
        <v>8.8636514285714316</v>
      </c>
      <c r="M12" s="13">
        <f t="shared" si="2"/>
        <v>18465.940476190477</v>
      </c>
      <c r="N12" s="13">
        <f t="shared" si="2"/>
        <v>138134.8370509524</v>
      </c>
      <c r="O12" s="15"/>
      <c r="P12" s="25"/>
    </row>
    <row r="13" spans="1:17" x14ac:dyDescent="0.25">
      <c r="F13" s="22"/>
      <c r="P13" s="25"/>
    </row>
    <row r="14" spans="1:17" x14ac:dyDescent="0.25">
      <c r="Q14" s="2"/>
    </row>
  </sheetData>
  <pageMargins left="0.7" right="0.7" top="0.75" bottom="0.75" header="0.3" footer="0.3"/>
  <pageSetup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workbookViewId="0">
      <selection activeCell="E14" sqref="E14"/>
    </sheetView>
  </sheetViews>
  <sheetFormatPr defaultRowHeight="15" x14ac:dyDescent="0.25"/>
  <cols>
    <col min="1" max="1" width="27.7109375" bestFit="1" customWidth="1"/>
    <col min="2" max="2" width="16.85546875" customWidth="1"/>
  </cols>
  <sheetData>
    <row r="2" spans="1:3" x14ac:dyDescent="0.25">
      <c r="A2" t="s">
        <v>62</v>
      </c>
      <c r="B2" s="42" t="e">
        <f>'Weekly Demand - Initial'!O30*3/1000</f>
        <v>#VALUE!</v>
      </c>
    </row>
    <row r="3" spans="1:3" x14ac:dyDescent="0.25">
      <c r="A3" t="s">
        <v>63</v>
      </c>
      <c r="B3" s="42">
        <f>'Weekly Demand - Final'!O30*3/1000</f>
        <v>88.440705214071471</v>
      </c>
    </row>
    <row r="10" spans="1:3" x14ac:dyDescent="0.25">
      <c r="A10" s="27" t="s">
        <v>55</v>
      </c>
      <c r="B10" s="43">
        <f>SUM('Weekly Demand - Final'!C8:C10)</f>
        <v>18750</v>
      </c>
      <c r="C10" s="27" t="s">
        <v>66</v>
      </c>
    </row>
    <row r="11" spans="1:3" x14ac:dyDescent="0.25">
      <c r="A11" s="27" t="s">
        <v>56</v>
      </c>
      <c r="B11" s="44">
        <v>1</v>
      </c>
      <c r="C11" s="27" t="s">
        <v>57</v>
      </c>
    </row>
    <row r="12" spans="1:3" x14ac:dyDescent="0.25">
      <c r="A12" s="27" t="s">
        <v>58</v>
      </c>
      <c r="B12" s="43">
        <f>ROUND(B11*B10,100)</f>
        <v>18750</v>
      </c>
      <c r="C12" s="27" t="s">
        <v>57</v>
      </c>
    </row>
    <row r="13" spans="1:3" x14ac:dyDescent="0.25">
      <c r="A13" s="27" t="s">
        <v>62</v>
      </c>
      <c r="B13" s="45" t="e">
        <f>B2</f>
        <v>#VALUE!</v>
      </c>
      <c r="C13" s="27" t="s">
        <v>57</v>
      </c>
    </row>
    <row r="14" spans="1:3" x14ac:dyDescent="0.25">
      <c r="A14" s="27" t="s">
        <v>63</v>
      </c>
      <c r="B14" s="45">
        <f>B3</f>
        <v>88.440705214071471</v>
      </c>
      <c r="C14" s="27" t="s">
        <v>57</v>
      </c>
    </row>
    <row r="15" spans="1:3" x14ac:dyDescent="0.25">
      <c r="A15" s="27" t="s">
        <v>59</v>
      </c>
      <c r="B15" s="46">
        <f>1480-866</f>
        <v>614</v>
      </c>
      <c r="C15" s="27" t="s">
        <v>57</v>
      </c>
    </row>
    <row r="16" spans="1:3" x14ac:dyDescent="0.25">
      <c r="A16" s="27" t="s">
        <v>60</v>
      </c>
      <c r="B16" s="45">
        <f>B12/B15</f>
        <v>30.537459283387623</v>
      </c>
      <c r="C16" s="27" t="s">
        <v>64</v>
      </c>
    </row>
    <row r="17" spans="1:3" x14ac:dyDescent="0.25">
      <c r="A17" s="27" t="s">
        <v>61</v>
      </c>
      <c r="B17" s="47">
        <f>B16/12</f>
        <v>2.5447882736156351</v>
      </c>
      <c r="C17" s="27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Weekly Demand - Initial</vt:lpstr>
      <vt:lpstr>Monthly Demand - Initial</vt:lpstr>
      <vt:lpstr>Weekly Demand - Final</vt:lpstr>
      <vt:lpstr>Monthly Demand - Final</vt:lpstr>
      <vt:lpstr>Cost Calculations</vt:lpstr>
      <vt:lpstr>'Monthly Demand - Final'!Irr_Eff</vt:lpstr>
      <vt:lpstr>'Monthly Demand - Initial'!Irr_Eff</vt:lpstr>
      <vt:lpstr>'Weekly Demand - Final'!Irr_Eff</vt:lpstr>
      <vt:lpstr>'Weekly Demand - Initial'!Irr_Eff</vt:lpstr>
      <vt:lpstr>'Monthly Demand - Final'!PF</vt:lpstr>
      <vt:lpstr>'Monthly Demand - Initial'!PF</vt:lpstr>
      <vt:lpstr>'Weekly Demand - Final'!PF</vt:lpstr>
      <vt:lpstr>'Weekly Demand - Initial'!PF</vt:lpstr>
      <vt:lpstr>'Monthly Demand - Final'!yard_area</vt:lpstr>
      <vt:lpstr>'Monthly Demand - Initial'!yard_area</vt:lpstr>
      <vt:lpstr>'Weekly Demand - Final'!yard_area</vt:lpstr>
      <vt:lpstr>'Weekly Demand - Initial'!yard_area</vt:lpstr>
    </vt:vector>
  </TitlesOfParts>
  <Company>Colorado Mesa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Gigi Richard</dc:creator>
  <cp:lastModifiedBy>Muhammad Imran</cp:lastModifiedBy>
  <cp:lastPrinted>2015-03-03T14:58:30Z</cp:lastPrinted>
  <dcterms:created xsi:type="dcterms:W3CDTF">2014-09-03T23:53:04Z</dcterms:created>
  <dcterms:modified xsi:type="dcterms:W3CDTF">2017-04-03T03:34:16Z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eae99fbc-6ee8-4068-9054-36ef0113b996</vt:lpwstr>
  </property>
</Properties>
</file>