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092E92C0-841F-4ED8-95EF-A4394725D81D}" xr6:coauthVersionLast="47" xr6:coauthVersionMax="47" xr10:uidLastSave="{00000000-0000-0000-0000-000000000000}"/>
  <bookViews>
    <workbookView xWindow="-108" yWindow="-108" windowWidth="23256" windowHeight="12456" firstSheet="3" activeTab="4" xr2:uid="{00000000-000D-0000-FFFF-FFFF00000000}"/>
  </bookViews>
  <sheets>
    <sheet name="proforma" sheetId="16" r:id="rId1"/>
    <sheet name="Costo M.P.yMat." sheetId="9" r:id="rId2"/>
    <sheet name="Fachada tub.herr." sheetId="14" r:id="rId3"/>
    <sheet name="P-V.Corrediza" sheetId="11" r:id="rId4"/>
    <sheet name="P.Batiente" sheetId="10" r:id="rId5"/>
    <sheet name="Pano Fijo" sheetId="12" r:id="rId6"/>
    <sheet name="resumen" sheetId="3" r:id="rId7"/>
  </sheets>
  <definedNames>
    <definedName name="_xlnm.Print_Area" localSheetId="2">'Fachada tub.herr.'!$F$1:$G$48</definedName>
    <definedName name="_xlnm.Print_Area" localSheetId="4">P.Batiente!$L$1:$M$52</definedName>
    <definedName name="_xlnm.Print_Area" localSheetId="5">'Pano Fijo'!$F$1:$G$51</definedName>
    <definedName name="_xlnm.Print_Area" localSheetId="3">'P-V.Corrediza'!$G$1:$H$55</definedName>
    <definedName name="_xlnm.Print_Titles" localSheetId="2">'Fachada tub.herr.'!$A:$B</definedName>
    <definedName name="_xlnm.Print_Titles" localSheetId="4">P.Batiente!$A:$B</definedName>
    <definedName name="_xlnm.Print_Titles" localSheetId="5">'Pano Fijo'!$A:$B</definedName>
    <definedName name="_xlnm.Print_Titles" localSheetId="3">'P-V.Corrediza'!$A:$B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98" i="9" l="1"/>
  <c r="D198" i="9"/>
  <c r="E197" i="9"/>
  <c r="D197" i="9"/>
  <c r="G196" i="9"/>
  <c r="F196" i="9"/>
  <c r="E196" i="9"/>
  <c r="D196" i="9"/>
  <c r="J195" i="9"/>
  <c r="G195" i="9"/>
  <c r="F195" i="9"/>
  <c r="E195" i="9"/>
  <c r="D195" i="9"/>
  <c r="J194" i="9"/>
  <c r="G194" i="9"/>
  <c r="F194" i="9"/>
  <c r="E194" i="9"/>
  <c r="D194" i="9"/>
  <c r="J193" i="9"/>
  <c r="G193" i="9"/>
  <c r="F193" i="9"/>
  <c r="E193" i="9"/>
  <c r="D193" i="9"/>
  <c r="J192" i="9"/>
  <c r="G192" i="9"/>
  <c r="F192" i="9"/>
  <c r="E192" i="9"/>
  <c r="D192" i="9"/>
  <c r="G190" i="9"/>
  <c r="G191" i="9"/>
  <c r="F190" i="9"/>
  <c r="F191" i="9"/>
  <c r="E190" i="9"/>
  <c r="E191" i="9"/>
  <c r="D190" i="9"/>
  <c r="D191" i="9"/>
  <c r="G189" i="9"/>
  <c r="F189" i="9"/>
  <c r="E189" i="9"/>
  <c r="D189" i="9"/>
  <c r="G188" i="9"/>
  <c r="E188" i="9"/>
  <c r="F188" i="9"/>
  <c r="D188" i="9"/>
  <c r="I188" i="9"/>
  <c r="G187" i="9"/>
  <c r="E187" i="9"/>
  <c r="F187" i="9"/>
  <c r="D187" i="9"/>
  <c r="I187" i="9"/>
  <c r="F29" i="9"/>
  <c r="D29" i="9"/>
  <c r="C54" i="12"/>
  <c r="H26" i="12"/>
  <c r="H54" i="12"/>
  <c r="F34" i="9"/>
  <c r="D34" i="9"/>
  <c r="C55" i="12"/>
  <c r="H27" i="12"/>
  <c r="H55" i="12"/>
  <c r="F30" i="9"/>
  <c r="D30" i="9"/>
  <c r="C56" i="12"/>
  <c r="H28" i="12"/>
  <c r="H56" i="12"/>
  <c r="F35" i="9"/>
  <c r="D35" i="9"/>
  <c r="C57" i="12"/>
  <c r="H29" i="12"/>
  <c r="H57" i="12"/>
  <c r="D87" i="9"/>
  <c r="C58" i="12"/>
  <c r="H13" i="12"/>
  <c r="H30" i="12"/>
  <c r="H58" i="12"/>
  <c r="D7" i="9"/>
  <c r="C59" i="12"/>
  <c r="H31" i="12"/>
  <c r="H59" i="12"/>
  <c r="D9" i="9"/>
  <c r="C60" i="12"/>
  <c r="H32" i="12"/>
  <c r="H60" i="12"/>
  <c r="F101" i="9"/>
  <c r="D101" i="9"/>
  <c r="C61" i="12"/>
  <c r="H33" i="12"/>
  <c r="H61" i="12"/>
  <c r="D172" i="9"/>
  <c r="C62" i="12"/>
  <c r="H34" i="12"/>
  <c r="H62" i="12"/>
  <c r="D19" i="9"/>
  <c r="C63" i="12"/>
  <c r="H35" i="12"/>
  <c r="H63" i="12"/>
  <c r="D20" i="9"/>
  <c r="C64" i="12"/>
  <c r="H36" i="12"/>
  <c r="H64" i="12"/>
  <c r="L43" i="9"/>
  <c r="F43" i="9"/>
  <c r="D43" i="9"/>
  <c r="C65" i="12"/>
  <c r="H65" i="12"/>
  <c r="L42" i="9"/>
  <c r="F42" i="9"/>
  <c r="D42" i="9"/>
  <c r="C66" i="12"/>
  <c r="H66" i="12"/>
  <c r="C67" i="12"/>
  <c r="H67" i="12"/>
  <c r="C68" i="12"/>
  <c r="H68" i="12"/>
  <c r="C69" i="12"/>
  <c r="H69" i="12"/>
  <c r="C70" i="12"/>
  <c r="H70" i="12"/>
  <c r="F76" i="9"/>
  <c r="D76" i="9"/>
  <c r="C71" i="12"/>
  <c r="H71" i="12"/>
  <c r="F77" i="9"/>
  <c r="D77" i="9"/>
  <c r="C72" i="12"/>
  <c r="H72" i="12"/>
  <c r="F78" i="9"/>
  <c r="D78" i="9"/>
  <c r="C73" i="12"/>
  <c r="H73" i="12"/>
  <c r="F62" i="9"/>
  <c r="D62" i="9"/>
  <c r="C74" i="12"/>
  <c r="H74" i="12"/>
  <c r="F82" i="9"/>
  <c r="D82" i="9"/>
  <c r="C75" i="12"/>
  <c r="H75" i="12"/>
  <c r="F73" i="9"/>
  <c r="D73" i="9"/>
  <c r="C76" i="12"/>
  <c r="H76" i="12"/>
  <c r="F54" i="9"/>
  <c r="D54" i="9"/>
  <c r="C77" i="12"/>
  <c r="H77" i="12"/>
  <c r="H53" i="12"/>
  <c r="H12" i="12"/>
  <c r="I26" i="12"/>
  <c r="I54" i="12"/>
  <c r="I27" i="12"/>
  <c r="I55" i="12"/>
  <c r="I28" i="12"/>
  <c r="I56" i="12"/>
  <c r="I29" i="12"/>
  <c r="I57" i="12"/>
  <c r="I13" i="12"/>
  <c r="I30" i="12"/>
  <c r="I58" i="12"/>
  <c r="I31" i="12"/>
  <c r="I59" i="12"/>
  <c r="I32" i="12"/>
  <c r="I60" i="12"/>
  <c r="I33" i="12"/>
  <c r="I61" i="12"/>
  <c r="I34" i="12"/>
  <c r="I62" i="12"/>
  <c r="I35" i="12"/>
  <c r="I63" i="12"/>
  <c r="I36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53" i="12"/>
  <c r="I12" i="12"/>
  <c r="J26" i="12"/>
  <c r="J54" i="12"/>
  <c r="J27" i="12"/>
  <c r="J55" i="12"/>
  <c r="J28" i="12"/>
  <c r="J56" i="12"/>
  <c r="J29" i="12"/>
  <c r="J57" i="12"/>
  <c r="J13" i="12"/>
  <c r="J30" i="12"/>
  <c r="J58" i="12"/>
  <c r="J31" i="12"/>
  <c r="J59" i="12"/>
  <c r="J32" i="12"/>
  <c r="J60" i="12"/>
  <c r="J33" i="12"/>
  <c r="J61" i="12"/>
  <c r="J34" i="12"/>
  <c r="J62" i="12"/>
  <c r="J35" i="12"/>
  <c r="J63" i="12"/>
  <c r="J36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53" i="12"/>
  <c r="J12" i="12"/>
  <c r="K26" i="12"/>
  <c r="K54" i="12"/>
  <c r="K27" i="12"/>
  <c r="K55" i="12"/>
  <c r="K28" i="12"/>
  <c r="K56" i="12"/>
  <c r="K29" i="12"/>
  <c r="K57" i="12"/>
  <c r="K13" i="12"/>
  <c r="K30" i="12"/>
  <c r="K58" i="12"/>
  <c r="K31" i="12"/>
  <c r="K59" i="12"/>
  <c r="K32" i="12"/>
  <c r="K60" i="12"/>
  <c r="K33" i="12"/>
  <c r="K61" i="12"/>
  <c r="K34" i="12"/>
  <c r="K62" i="12"/>
  <c r="K35" i="12"/>
  <c r="K63" i="12"/>
  <c r="K36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53" i="12"/>
  <c r="K12" i="12"/>
  <c r="F12" i="12"/>
  <c r="F1" i="12"/>
  <c r="G54" i="9"/>
  <c r="E54" i="9"/>
  <c r="C104" i="12"/>
  <c r="G73" i="9"/>
  <c r="E73" i="9"/>
  <c r="C103" i="12"/>
  <c r="G82" i="9"/>
  <c r="E82" i="9"/>
  <c r="C102" i="12"/>
  <c r="G62" i="9"/>
  <c r="E62" i="9"/>
  <c r="C101" i="12"/>
  <c r="G78" i="9"/>
  <c r="E78" i="9"/>
  <c r="C100" i="12"/>
  <c r="G77" i="9"/>
  <c r="E77" i="9"/>
  <c r="C99" i="12"/>
  <c r="G76" i="9"/>
  <c r="E76" i="9"/>
  <c r="C98" i="12"/>
  <c r="C97" i="12"/>
  <c r="C96" i="12"/>
  <c r="C95" i="12"/>
  <c r="C94" i="12"/>
  <c r="G42" i="9"/>
  <c r="E42" i="9"/>
  <c r="C93" i="12"/>
  <c r="G43" i="9"/>
  <c r="E43" i="9"/>
  <c r="C92" i="12"/>
  <c r="E20" i="9"/>
  <c r="C91" i="12"/>
  <c r="E19" i="9"/>
  <c r="C90" i="12"/>
  <c r="E172" i="9"/>
  <c r="C89" i="12"/>
  <c r="C88" i="12"/>
  <c r="E9" i="9"/>
  <c r="C87" i="12"/>
  <c r="E7" i="9"/>
  <c r="C86" i="12"/>
  <c r="E87" i="9"/>
  <c r="C85" i="12"/>
  <c r="G35" i="9"/>
  <c r="E35" i="9"/>
  <c r="C84" i="12"/>
  <c r="G30" i="9"/>
  <c r="E30" i="9"/>
  <c r="C83" i="12"/>
  <c r="G34" i="9"/>
  <c r="E34" i="9"/>
  <c r="C82" i="12"/>
  <c r="G29" i="9"/>
  <c r="E29" i="9"/>
  <c r="C81" i="12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E17" i="9"/>
  <c r="C93" i="11"/>
  <c r="C92" i="11"/>
  <c r="C91" i="11"/>
  <c r="C90" i="11"/>
  <c r="C89" i="11"/>
  <c r="C88" i="11"/>
  <c r="C87" i="11"/>
  <c r="C86" i="11"/>
  <c r="C85" i="11"/>
  <c r="C81" i="11"/>
  <c r="C80" i="11"/>
  <c r="C79" i="11"/>
  <c r="C78" i="11"/>
  <c r="C77" i="11"/>
  <c r="C76" i="11"/>
  <c r="C75" i="11"/>
  <c r="L41" i="9"/>
  <c r="F41" i="9"/>
  <c r="D41" i="9"/>
  <c r="C71" i="11"/>
  <c r="C70" i="11"/>
  <c r="C69" i="11"/>
  <c r="C68" i="11"/>
  <c r="C67" i="11"/>
  <c r="D17" i="9"/>
  <c r="C66" i="11"/>
  <c r="L11" i="9"/>
  <c r="F11" i="9"/>
  <c r="D11" i="9"/>
  <c r="C65" i="11"/>
  <c r="C64" i="11"/>
  <c r="C63" i="11"/>
  <c r="C62" i="11"/>
  <c r="C61" i="11"/>
  <c r="C60" i="11"/>
  <c r="C59" i="11"/>
  <c r="C58" i="11"/>
  <c r="L53" i="11"/>
  <c r="L108" i="11"/>
  <c r="L52" i="11"/>
  <c r="L107" i="11"/>
  <c r="L51" i="11"/>
  <c r="L106" i="11"/>
  <c r="L50" i="11"/>
  <c r="L105" i="11"/>
  <c r="L104" i="11"/>
  <c r="L48" i="11"/>
  <c r="L103" i="11"/>
  <c r="L47" i="11"/>
  <c r="L102" i="11"/>
  <c r="L101" i="11"/>
  <c r="L100" i="11"/>
  <c r="L99" i="11"/>
  <c r="L43" i="11"/>
  <c r="L98" i="11"/>
  <c r="L42" i="11"/>
  <c r="L97" i="11"/>
  <c r="L41" i="11"/>
  <c r="L96" i="11"/>
  <c r="L40" i="11"/>
  <c r="L95" i="11"/>
  <c r="L39" i="11"/>
  <c r="L94" i="11"/>
  <c r="L38" i="11"/>
  <c r="L93" i="11"/>
  <c r="L37" i="11"/>
  <c r="L92" i="11"/>
  <c r="L35" i="11"/>
  <c r="L36" i="11"/>
  <c r="L91" i="11"/>
  <c r="L90" i="11"/>
  <c r="L12" i="11"/>
  <c r="L34" i="11"/>
  <c r="L89" i="11"/>
  <c r="L33" i="11"/>
  <c r="L88" i="11"/>
  <c r="L32" i="11"/>
  <c r="L87" i="11"/>
  <c r="L31" i="11"/>
  <c r="L86" i="11"/>
  <c r="L30" i="11"/>
  <c r="L85" i="11"/>
  <c r="L84" i="11"/>
  <c r="L81" i="11"/>
  <c r="L80" i="11"/>
  <c r="L79" i="11"/>
  <c r="L78" i="11"/>
  <c r="L77" i="11"/>
  <c r="L76" i="11"/>
  <c r="L75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29" i="11"/>
  <c r="L11" i="11"/>
  <c r="L14" i="11"/>
  <c r="L26" i="11"/>
  <c r="L21" i="11"/>
  <c r="L22" i="11"/>
  <c r="L23" i="11"/>
  <c r="L16" i="11"/>
  <c r="L24" i="11"/>
  <c r="L25" i="11"/>
  <c r="L17" i="11"/>
  <c r="L18" i="11"/>
  <c r="L19" i="11"/>
  <c r="L20" i="11"/>
  <c r="L15" i="11"/>
  <c r="L13" i="11"/>
  <c r="L4" i="11"/>
  <c r="L3" i="11"/>
  <c r="K53" i="11"/>
  <c r="K108" i="11"/>
  <c r="K52" i="11"/>
  <c r="K107" i="11"/>
  <c r="K51" i="11"/>
  <c r="K106" i="11"/>
  <c r="K50" i="11"/>
  <c r="K105" i="11"/>
  <c r="K104" i="11"/>
  <c r="K48" i="11"/>
  <c r="K103" i="11"/>
  <c r="K47" i="11"/>
  <c r="K102" i="11"/>
  <c r="K101" i="11"/>
  <c r="K100" i="11"/>
  <c r="K99" i="11"/>
  <c r="K43" i="11"/>
  <c r="K98" i="11"/>
  <c r="K42" i="11"/>
  <c r="K97" i="11"/>
  <c r="K41" i="11"/>
  <c r="K96" i="11"/>
  <c r="K40" i="11"/>
  <c r="K95" i="11"/>
  <c r="K39" i="11"/>
  <c r="K94" i="11"/>
  <c r="K38" i="11"/>
  <c r="K93" i="11"/>
  <c r="K37" i="11"/>
  <c r="K92" i="11"/>
  <c r="K35" i="11"/>
  <c r="K36" i="11"/>
  <c r="K91" i="11"/>
  <c r="K90" i="11"/>
  <c r="K12" i="11"/>
  <c r="K34" i="11"/>
  <c r="K89" i="11"/>
  <c r="K33" i="11"/>
  <c r="K88" i="11"/>
  <c r="K32" i="11"/>
  <c r="K87" i="11"/>
  <c r="K31" i="11"/>
  <c r="K86" i="11"/>
  <c r="K30" i="11"/>
  <c r="K85" i="11"/>
  <c r="K84" i="11"/>
  <c r="K81" i="11"/>
  <c r="K80" i="11"/>
  <c r="K79" i="11"/>
  <c r="K78" i="11"/>
  <c r="K77" i="11"/>
  <c r="K76" i="11"/>
  <c r="K75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29" i="11"/>
  <c r="K11" i="11"/>
  <c r="K14" i="11"/>
  <c r="K26" i="11"/>
  <c r="K21" i="11"/>
  <c r="K22" i="11"/>
  <c r="K23" i="11"/>
  <c r="K16" i="11"/>
  <c r="K24" i="11"/>
  <c r="K25" i="11"/>
  <c r="K17" i="11"/>
  <c r="K18" i="11"/>
  <c r="K19" i="11"/>
  <c r="K20" i="11"/>
  <c r="K15" i="11"/>
  <c r="K13" i="11"/>
  <c r="K4" i="11"/>
  <c r="K3" i="11"/>
  <c r="J53" i="11"/>
  <c r="J108" i="11"/>
  <c r="J52" i="11"/>
  <c r="J107" i="11"/>
  <c r="J51" i="11"/>
  <c r="J106" i="11"/>
  <c r="J50" i="11"/>
  <c r="J105" i="11"/>
  <c r="J49" i="11"/>
  <c r="J104" i="11"/>
  <c r="J103" i="11"/>
  <c r="J47" i="11"/>
  <c r="J102" i="11"/>
  <c r="J101" i="11"/>
  <c r="J100" i="11"/>
  <c r="J99" i="11"/>
  <c r="J43" i="11"/>
  <c r="J98" i="11"/>
  <c r="J97" i="11"/>
  <c r="J41" i="11"/>
  <c r="J96" i="11"/>
  <c r="J40" i="11"/>
  <c r="J95" i="11"/>
  <c r="J39" i="11"/>
  <c r="J94" i="11"/>
  <c r="J38" i="11"/>
  <c r="J93" i="11"/>
  <c r="J37" i="11"/>
  <c r="J92" i="11"/>
  <c r="J35" i="11"/>
  <c r="J36" i="11"/>
  <c r="J91" i="11"/>
  <c r="J90" i="11"/>
  <c r="J12" i="11"/>
  <c r="J34" i="11"/>
  <c r="J89" i="11"/>
  <c r="J33" i="11"/>
  <c r="J88" i="11"/>
  <c r="J32" i="11"/>
  <c r="J87" i="11"/>
  <c r="J31" i="11"/>
  <c r="J86" i="11"/>
  <c r="J30" i="11"/>
  <c r="J85" i="11"/>
  <c r="J84" i="11"/>
  <c r="J81" i="11"/>
  <c r="J80" i="11"/>
  <c r="J79" i="11"/>
  <c r="J78" i="11"/>
  <c r="J77" i="11"/>
  <c r="J76" i="11"/>
  <c r="J75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29" i="11"/>
  <c r="J11" i="11"/>
  <c r="J14" i="11"/>
  <c r="J26" i="11"/>
  <c r="J16" i="11"/>
  <c r="J21" i="11"/>
  <c r="J17" i="11"/>
  <c r="J22" i="11"/>
  <c r="J18" i="11"/>
  <c r="J23" i="11"/>
  <c r="J19" i="11"/>
  <c r="J24" i="11"/>
  <c r="J25" i="11"/>
  <c r="J20" i="11"/>
  <c r="J15" i="11"/>
  <c r="J13" i="11"/>
  <c r="J4" i="11"/>
  <c r="J3" i="11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25" i="12"/>
  <c r="K15" i="12"/>
  <c r="K22" i="12"/>
  <c r="K17" i="12"/>
  <c r="K18" i="12"/>
  <c r="K19" i="12"/>
  <c r="K20" i="12"/>
  <c r="K21" i="12"/>
  <c r="K16" i="12"/>
  <c r="K14" i="12"/>
  <c r="K4" i="12"/>
  <c r="K3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25" i="12"/>
  <c r="J15" i="12"/>
  <c r="J22" i="12"/>
  <c r="J17" i="12"/>
  <c r="J18" i="12"/>
  <c r="J19" i="12"/>
  <c r="J20" i="12"/>
  <c r="J21" i="12"/>
  <c r="J16" i="12"/>
  <c r="J14" i="12"/>
  <c r="J4" i="12"/>
  <c r="J3" i="12"/>
  <c r="I104" i="12"/>
  <c r="I103" i="12"/>
  <c r="I102" i="12"/>
  <c r="I101" i="12"/>
  <c r="I100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25" i="12"/>
  <c r="I15" i="12"/>
  <c r="I22" i="12"/>
  <c r="I17" i="12"/>
  <c r="I18" i="12"/>
  <c r="I19" i="12"/>
  <c r="I20" i="12"/>
  <c r="I21" i="12"/>
  <c r="I16" i="12"/>
  <c r="I14" i="12"/>
  <c r="I4" i="12"/>
  <c r="I3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25" i="12"/>
  <c r="H15" i="12"/>
  <c r="H22" i="12"/>
  <c r="H17" i="12"/>
  <c r="H18" i="12"/>
  <c r="H19" i="12"/>
  <c r="H20" i="12"/>
  <c r="H21" i="12"/>
  <c r="H16" i="12"/>
  <c r="H14" i="12"/>
  <c r="H4" i="12"/>
  <c r="H3" i="12"/>
  <c r="F72" i="9"/>
  <c r="G72" i="9"/>
  <c r="E72" i="9"/>
  <c r="C113" i="10"/>
  <c r="T113" i="10"/>
  <c r="F67" i="9"/>
  <c r="G67" i="9"/>
  <c r="E67" i="9"/>
  <c r="C112" i="10"/>
  <c r="T112" i="10"/>
  <c r="F69" i="9"/>
  <c r="G69" i="9"/>
  <c r="E69" i="9"/>
  <c r="C111" i="10"/>
  <c r="T111" i="10"/>
  <c r="F65" i="9"/>
  <c r="G65" i="9"/>
  <c r="E65" i="9"/>
  <c r="C110" i="10"/>
  <c r="T110" i="10"/>
  <c r="F64" i="9"/>
  <c r="G64" i="9"/>
  <c r="E64" i="9"/>
  <c r="C109" i="10"/>
  <c r="T109" i="10"/>
  <c r="F74" i="9"/>
  <c r="G74" i="9"/>
  <c r="E74" i="9"/>
  <c r="C108" i="10"/>
  <c r="T108" i="10"/>
  <c r="C107" i="10"/>
  <c r="T107" i="10"/>
  <c r="F63" i="9"/>
  <c r="G63" i="9"/>
  <c r="E63" i="9"/>
  <c r="C106" i="10"/>
  <c r="T106" i="10"/>
  <c r="T43" i="10"/>
  <c r="F52" i="9"/>
  <c r="G52" i="9"/>
  <c r="E52" i="9"/>
  <c r="C105" i="10"/>
  <c r="T105" i="10"/>
  <c r="T42" i="10"/>
  <c r="F53" i="9"/>
  <c r="G53" i="9"/>
  <c r="E53" i="9"/>
  <c r="C104" i="10"/>
  <c r="T104" i="10"/>
  <c r="T41" i="10"/>
  <c r="F81" i="9"/>
  <c r="G81" i="9"/>
  <c r="E81" i="9"/>
  <c r="C103" i="10"/>
  <c r="T103" i="10"/>
  <c r="T40" i="10"/>
  <c r="F79" i="9"/>
  <c r="G79" i="9"/>
  <c r="E79" i="9"/>
  <c r="C102" i="10"/>
  <c r="T102" i="10"/>
  <c r="T39" i="10"/>
  <c r="F84" i="9"/>
  <c r="G84" i="9"/>
  <c r="E84" i="9"/>
  <c r="C101" i="10"/>
  <c r="T101" i="10"/>
  <c r="T38" i="10"/>
  <c r="F55" i="9"/>
  <c r="G55" i="9"/>
  <c r="E55" i="9"/>
  <c r="C100" i="10"/>
  <c r="T100" i="10"/>
  <c r="T37" i="10"/>
  <c r="F56" i="9"/>
  <c r="G56" i="9"/>
  <c r="E56" i="9"/>
  <c r="C99" i="10"/>
  <c r="T99" i="10"/>
  <c r="C98" i="10"/>
  <c r="T98" i="10"/>
  <c r="T35" i="10"/>
  <c r="E50" i="9"/>
  <c r="C97" i="10"/>
  <c r="T97" i="10"/>
  <c r="T34" i="10"/>
  <c r="E49" i="9"/>
  <c r="C96" i="10"/>
  <c r="T96" i="10"/>
  <c r="T33" i="10"/>
  <c r="G101" i="9"/>
  <c r="E101" i="9"/>
  <c r="C95" i="10"/>
  <c r="T95" i="10"/>
  <c r="T32" i="10"/>
  <c r="C94" i="10"/>
  <c r="T94" i="10"/>
  <c r="T31" i="10"/>
  <c r="C93" i="10"/>
  <c r="T93" i="10"/>
  <c r="T30" i="10"/>
  <c r="C92" i="10"/>
  <c r="T92" i="10"/>
  <c r="T29" i="10"/>
  <c r="L10" i="9"/>
  <c r="F10" i="9"/>
  <c r="G10" i="9"/>
  <c r="E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D72" i="9"/>
  <c r="C82" i="10"/>
  <c r="T82" i="10"/>
  <c r="D67" i="9"/>
  <c r="C81" i="10"/>
  <c r="T81" i="10"/>
  <c r="D69" i="9"/>
  <c r="C80" i="10"/>
  <c r="T80" i="10"/>
  <c r="D65" i="9"/>
  <c r="C79" i="10"/>
  <c r="T79" i="10"/>
  <c r="D64" i="9"/>
  <c r="C78" i="10"/>
  <c r="T78" i="10"/>
  <c r="D74" i="9"/>
  <c r="C77" i="10"/>
  <c r="T77" i="10"/>
  <c r="C76" i="10"/>
  <c r="T76" i="10"/>
  <c r="D63" i="9"/>
  <c r="C75" i="10"/>
  <c r="T75" i="10"/>
  <c r="D52" i="9"/>
  <c r="C74" i="10"/>
  <c r="T74" i="10"/>
  <c r="D53" i="9"/>
  <c r="C73" i="10"/>
  <c r="T73" i="10"/>
  <c r="D81" i="9"/>
  <c r="C72" i="10"/>
  <c r="T72" i="10"/>
  <c r="D79" i="9"/>
  <c r="C71" i="10"/>
  <c r="T71" i="10"/>
  <c r="D84" i="9"/>
  <c r="C70" i="10"/>
  <c r="T70" i="10"/>
  <c r="D55" i="9"/>
  <c r="C69" i="10"/>
  <c r="T69" i="10"/>
  <c r="D56" i="9"/>
  <c r="C68" i="10"/>
  <c r="T68" i="10"/>
  <c r="C67" i="10"/>
  <c r="T67" i="10"/>
  <c r="D50" i="9"/>
  <c r="C66" i="10"/>
  <c r="T66" i="10"/>
  <c r="D49" i="9"/>
  <c r="C65" i="10"/>
  <c r="T65" i="10"/>
  <c r="C64" i="10"/>
  <c r="T64" i="10"/>
  <c r="C63" i="10"/>
  <c r="T63" i="10"/>
  <c r="C62" i="10"/>
  <c r="T62" i="10"/>
  <c r="C61" i="10"/>
  <c r="T61" i="10"/>
  <c r="D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G105" i="9"/>
  <c r="F105" i="9"/>
  <c r="E105" i="9"/>
  <c r="D105" i="9"/>
  <c r="G186" i="9"/>
  <c r="E186" i="9"/>
  <c r="F186" i="9"/>
  <c r="D186" i="9"/>
  <c r="I186" i="9"/>
  <c r="G185" i="9"/>
  <c r="E185" i="9"/>
  <c r="F185" i="9"/>
  <c r="D185" i="9"/>
  <c r="I185" i="9"/>
  <c r="G184" i="9"/>
  <c r="F184" i="9"/>
  <c r="E184" i="9"/>
  <c r="D184" i="9"/>
  <c r="E183" i="9"/>
  <c r="F183" i="9"/>
  <c r="D183" i="9"/>
  <c r="I183" i="9"/>
  <c r="G182" i="9"/>
  <c r="F182" i="9"/>
  <c r="E182" i="9"/>
  <c r="D182" i="9"/>
  <c r="G181" i="9"/>
  <c r="E181" i="9"/>
  <c r="F181" i="9"/>
  <c r="D181" i="9"/>
  <c r="I181" i="9"/>
  <c r="G180" i="9"/>
  <c r="E180" i="9"/>
  <c r="F180" i="9"/>
  <c r="D180" i="9"/>
  <c r="I180" i="9"/>
  <c r="G179" i="9"/>
  <c r="E179" i="9"/>
  <c r="F179" i="9"/>
  <c r="D179" i="9"/>
  <c r="I179" i="9"/>
  <c r="E178" i="9"/>
  <c r="F178" i="9"/>
  <c r="D178" i="9"/>
  <c r="I178" i="9"/>
  <c r="E177" i="9"/>
  <c r="F177" i="9"/>
  <c r="D177" i="9"/>
  <c r="I177" i="9"/>
  <c r="E176" i="9"/>
  <c r="F176" i="9"/>
  <c r="D176" i="9"/>
  <c r="I176" i="9"/>
  <c r="E175" i="9"/>
  <c r="F175" i="9"/>
  <c r="D175" i="9"/>
  <c r="I175" i="9"/>
  <c r="E174" i="9"/>
  <c r="F174" i="9"/>
  <c r="D174" i="9"/>
  <c r="I174" i="9"/>
  <c r="E173" i="9"/>
  <c r="F173" i="9"/>
  <c r="D173" i="9"/>
  <c r="I173" i="9"/>
  <c r="I172" i="9"/>
  <c r="E171" i="9"/>
  <c r="D171" i="9"/>
  <c r="I171" i="9"/>
  <c r="E170" i="9"/>
  <c r="D170" i="9"/>
  <c r="I170" i="9"/>
  <c r="E169" i="9"/>
  <c r="D169" i="9"/>
  <c r="I169" i="9"/>
  <c r="E168" i="9"/>
  <c r="F168" i="9"/>
  <c r="D168" i="9"/>
  <c r="I168" i="9"/>
  <c r="E167" i="9"/>
  <c r="D167" i="9"/>
  <c r="I167" i="9"/>
  <c r="E166" i="9"/>
  <c r="D166" i="9"/>
  <c r="I166" i="9"/>
  <c r="F165" i="9"/>
  <c r="G165" i="9"/>
  <c r="E165" i="9"/>
  <c r="D165" i="9"/>
  <c r="I165" i="9"/>
  <c r="F164" i="9"/>
  <c r="G164" i="9"/>
  <c r="E164" i="9"/>
  <c r="D164" i="9"/>
  <c r="I164" i="9"/>
  <c r="E163" i="9"/>
  <c r="D163" i="9"/>
  <c r="I163" i="9"/>
  <c r="E162" i="9"/>
  <c r="D162" i="9"/>
  <c r="I162" i="9"/>
  <c r="G161" i="9"/>
  <c r="E161" i="9"/>
  <c r="D161" i="9"/>
  <c r="I161" i="9"/>
  <c r="E160" i="9"/>
  <c r="D160" i="9"/>
  <c r="I160" i="9"/>
  <c r="E159" i="9"/>
  <c r="F159" i="9"/>
  <c r="D159" i="9"/>
  <c r="I159" i="9"/>
  <c r="E158" i="9"/>
  <c r="F158" i="9"/>
  <c r="D158" i="9"/>
  <c r="I158" i="9"/>
  <c r="E157" i="9"/>
  <c r="F157" i="9"/>
  <c r="D157" i="9"/>
  <c r="I157" i="9"/>
  <c r="E156" i="9"/>
  <c r="F156" i="9"/>
  <c r="D156" i="9"/>
  <c r="I156" i="9"/>
  <c r="E155" i="9"/>
  <c r="D155" i="9"/>
  <c r="I155" i="9"/>
  <c r="E154" i="9"/>
  <c r="F154" i="9"/>
  <c r="D154" i="9"/>
  <c r="I154" i="9"/>
  <c r="E153" i="9"/>
  <c r="F153" i="9"/>
  <c r="D153" i="9"/>
  <c r="I153" i="9"/>
  <c r="G152" i="9"/>
  <c r="E152" i="9"/>
  <c r="D152" i="9"/>
  <c r="I152" i="9"/>
  <c r="G151" i="9"/>
  <c r="E151" i="9"/>
  <c r="D151" i="9"/>
  <c r="I151" i="9"/>
  <c r="G150" i="9"/>
  <c r="E150" i="9"/>
  <c r="D150" i="9"/>
  <c r="I150" i="9"/>
  <c r="G149" i="9"/>
  <c r="E149" i="9"/>
  <c r="D149" i="9"/>
  <c r="I149" i="9"/>
  <c r="G148" i="9"/>
  <c r="E148" i="9"/>
  <c r="D148" i="9"/>
  <c r="I148" i="9"/>
  <c r="G147" i="9"/>
  <c r="E147" i="9"/>
  <c r="D147" i="9"/>
  <c r="I147" i="9"/>
  <c r="G146" i="9"/>
  <c r="E146" i="9"/>
  <c r="D146" i="9"/>
  <c r="I146" i="9"/>
  <c r="G145" i="9"/>
  <c r="E145" i="9"/>
  <c r="D145" i="9"/>
  <c r="I145" i="9"/>
  <c r="G144" i="9"/>
  <c r="E144" i="9"/>
  <c r="D144" i="9"/>
  <c r="I144" i="9"/>
  <c r="G143" i="9"/>
  <c r="E143" i="9"/>
  <c r="D143" i="9"/>
  <c r="I143" i="9"/>
  <c r="E142" i="9"/>
  <c r="F142" i="9"/>
  <c r="D142" i="9"/>
  <c r="I142" i="9"/>
  <c r="E141" i="9"/>
  <c r="F141" i="9"/>
  <c r="D141" i="9"/>
  <c r="I141" i="9"/>
  <c r="E140" i="9"/>
  <c r="F140" i="9"/>
  <c r="D140" i="9"/>
  <c r="I140" i="9"/>
  <c r="E139" i="9"/>
  <c r="F139" i="9"/>
  <c r="D139" i="9"/>
  <c r="I139" i="9"/>
  <c r="E138" i="9"/>
  <c r="F138" i="9"/>
  <c r="D138" i="9"/>
  <c r="I138" i="9"/>
  <c r="E137" i="9"/>
  <c r="F137" i="9"/>
  <c r="D137" i="9"/>
  <c r="I137" i="9"/>
  <c r="E136" i="9"/>
  <c r="F136" i="9"/>
  <c r="D136" i="9"/>
  <c r="I136" i="9"/>
  <c r="E135" i="9"/>
  <c r="F135" i="9"/>
  <c r="D135" i="9"/>
  <c r="I135" i="9"/>
  <c r="G134" i="9"/>
  <c r="E134" i="9"/>
  <c r="D134" i="9"/>
  <c r="I134" i="9"/>
  <c r="G133" i="9"/>
  <c r="E133" i="9"/>
  <c r="D133" i="9"/>
  <c r="I133" i="9"/>
  <c r="G132" i="9"/>
  <c r="E132" i="9"/>
  <c r="D132" i="9"/>
  <c r="I132" i="9"/>
  <c r="G131" i="9"/>
  <c r="E131" i="9"/>
  <c r="D131" i="9"/>
  <c r="I131" i="9"/>
  <c r="G130" i="9"/>
  <c r="E130" i="9"/>
  <c r="D130" i="9"/>
  <c r="I130" i="9"/>
  <c r="G129" i="9"/>
  <c r="E129" i="9"/>
  <c r="D129" i="9"/>
  <c r="I129" i="9"/>
  <c r="G128" i="9"/>
  <c r="E128" i="9"/>
  <c r="D128" i="9"/>
  <c r="I128" i="9"/>
  <c r="G127" i="9"/>
  <c r="E127" i="9"/>
  <c r="D127" i="9"/>
  <c r="I127" i="9"/>
  <c r="G126" i="9"/>
  <c r="E126" i="9"/>
  <c r="D126" i="9"/>
  <c r="I126" i="9"/>
  <c r="G125" i="9"/>
  <c r="E125" i="9"/>
  <c r="D125" i="9"/>
  <c r="I125" i="9"/>
  <c r="G124" i="9"/>
  <c r="E124" i="9"/>
  <c r="D124" i="9"/>
  <c r="I124" i="9"/>
  <c r="G123" i="9"/>
  <c r="E123" i="9"/>
  <c r="D123" i="9"/>
  <c r="I123" i="9"/>
  <c r="G122" i="9"/>
  <c r="E122" i="9"/>
  <c r="D122" i="9"/>
  <c r="I122" i="9"/>
  <c r="G121" i="9"/>
  <c r="E121" i="9"/>
  <c r="D121" i="9"/>
  <c r="I121" i="9"/>
  <c r="G120" i="9"/>
  <c r="E120" i="9"/>
  <c r="D120" i="9"/>
  <c r="I120" i="9"/>
  <c r="G119" i="9"/>
  <c r="E119" i="9"/>
  <c r="D119" i="9"/>
  <c r="I119" i="9"/>
  <c r="F118" i="9"/>
  <c r="G118" i="9"/>
  <c r="E118" i="9"/>
  <c r="D118" i="9"/>
  <c r="I118" i="9"/>
  <c r="E117" i="9"/>
  <c r="D117" i="9"/>
  <c r="E116" i="9"/>
  <c r="D116" i="9"/>
  <c r="E115" i="9"/>
  <c r="D115" i="9"/>
  <c r="F114" i="9"/>
  <c r="G114" i="9"/>
  <c r="E114" i="9"/>
  <c r="D114" i="9"/>
  <c r="I114" i="9"/>
  <c r="F113" i="9"/>
  <c r="G113" i="9"/>
  <c r="E113" i="9"/>
  <c r="D113" i="9"/>
  <c r="I113" i="9"/>
  <c r="F112" i="9"/>
  <c r="G112" i="9"/>
  <c r="E112" i="9"/>
  <c r="D112" i="9"/>
  <c r="I112" i="9"/>
  <c r="F111" i="9"/>
  <c r="G111" i="9"/>
  <c r="E111" i="9"/>
  <c r="D111" i="9"/>
  <c r="I111" i="9"/>
  <c r="G110" i="9"/>
  <c r="E110" i="9"/>
  <c r="F110" i="9"/>
  <c r="D110" i="9"/>
  <c r="I110" i="9"/>
  <c r="G109" i="9"/>
  <c r="E109" i="9"/>
  <c r="F109" i="9"/>
  <c r="D109" i="9"/>
  <c r="I109" i="9"/>
  <c r="G108" i="9"/>
  <c r="E108" i="9"/>
  <c r="F108" i="9"/>
  <c r="D108" i="9"/>
  <c r="I108" i="9"/>
  <c r="G107" i="9"/>
  <c r="E107" i="9"/>
  <c r="F107" i="9"/>
  <c r="D107" i="9"/>
  <c r="I107" i="9"/>
  <c r="J106" i="9"/>
  <c r="G106" i="9"/>
  <c r="E106" i="9"/>
  <c r="F106" i="9"/>
  <c r="D106" i="9"/>
  <c r="I106" i="9"/>
  <c r="J105" i="9"/>
  <c r="I105" i="9"/>
  <c r="J104" i="9"/>
  <c r="G104" i="9"/>
  <c r="E104" i="9"/>
  <c r="F104" i="9"/>
  <c r="D104" i="9"/>
  <c r="I104" i="9"/>
  <c r="G103" i="9"/>
  <c r="E103" i="9"/>
  <c r="F103" i="9"/>
  <c r="D103" i="9"/>
  <c r="I103" i="9"/>
  <c r="F102" i="9"/>
  <c r="G102" i="9"/>
  <c r="E102" i="9"/>
  <c r="D102" i="9"/>
  <c r="I102" i="9"/>
  <c r="I101" i="9"/>
  <c r="G89" i="9"/>
  <c r="E89" i="9"/>
  <c r="D89" i="9"/>
  <c r="I89" i="9"/>
  <c r="E88" i="9"/>
  <c r="D88" i="9"/>
  <c r="I88" i="9"/>
  <c r="I87" i="9"/>
  <c r="F86" i="9"/>
  <c r="G86" i="9"/>
  <c r="E86" i="9"/>
  <c r="D86" i="9"/>
  <c r="I86" i="9"/>
  <c r="F85" i="9"/>
  <c r="G85" i="9"/>
  <c r="E85" i="9"/>
  <c r="D85" i="9"/>
  <c r="I85" i="9"/>
  <c r="I84" i="9"/>
  <c r="F83" i="9"/>
  <c r="G83" i="9"/>
  <c r="E83" i="9"/>
  <c r="D83" i="9"/>
  <c r="I83" i="9"/>
  <c r="I82" i="9"/>
  <c r="I81" i="9"/>
  <c r="F80" i="9"/>
  <c r="G80" i="9"/>
  <c r="E80" i="9"/>
  <c r="D80" i="9"/>
  <c r="I80" i="9"/>
  <c r="I79" i="9"/>
  <c r="I78" i="9"/>
  <c r="I77" i="9"/>
  <c r="I76" i="9"/>
  <c r="F75" i="9"/>
  <c r="G75" i="9"/>
  <c r="E75" i="9"/>
  <c r="D75" i="9"/>
  <c r="I75" i="9"/>
  <c r="I74" i="9"/>
  <c r="I73" i="9"/>
  <c r="I72" i="9"/>
  <c r="F71" i="9"/>
  <c r="G71" i="9"/>
  <c r="E71" i="9"/>
  <c r="D71" i="9"/>
  <c r="I71" i="9"/>
  <c r="F70" i="9"/>
  <c r="G70" i="9"/>
  <c r="E70" i="9"/>
  <c r="D70" i="9"/>
  <c r="I70" i="9"/>
  <c r="I69" i="9"/>
  <c r="F68" i="9"/>
  <c r="G68" i="9"/>
  <c r="E68" i="9"/>
  <c r="D68" i="9"/>
  <c r="I68" i="9"/>
  <c r="I67" i="9"/>
  <c r="F66" i="9"/>
  <c r="G66" i="9"/>
  <c r="E66" i="9"/>
  <c r="D66" i="9"/>
  <c r="I66" i="9"/>
  <c r="I65" i="9"/>
  <c r="I64" i="9"/>
  <c r="I63" i="9"/>
  <c r="I62" i="9"/>
  <c r="F61" i="9"/>
  <c r="G61" i="9"/>
  <c r="E61" i="9"/>
  <c r="D61" i="9"/>
  <c r="I61" i="9"/>
  <c r="F60" i="9"/>
  <c r="G60" i="9"/>
  <c r="E60" i="9"/>
  <c r="D60" i="9"/>
  <c r="I60" i="9"/>
  <c r="F59" i="9"/>
  <c r="G59" i="9"/>
  <c r="E59" i="9"/>
  <c r="D59" i="9"/>
  <c r="I59" i="9"/>
  <c r="F58" i="9"/>
  <c r="G58" i="9"/>
  <c r="E58" i="9"/>
  <c r="D58" i="9"/>
  <c r="I58" i="9"/>
  <c r="F57" i="9"/>
  <c r="G57" i="9"/>
  <c r="E57" i="9"/>
  <c r="D57" i="9"/>
  <c r="I57" i="9"/>
  <c r="I56" i="9"/>
  <c r="I55" i="9"/>
  <c r="I54" i="9"/>
  <c r="I53" i="9"/>
  <c r="I52" i="9"/>
  <c r="F51" i="9"/>
  <c r="G51" i="9"/>
  <c r="E51" i="9"/>
  <c r="D51" i="9"/>
  <c r="I51" i="9"/>
  <c r="I50" i="9"/>
  <c r="I49" i="9"/>
  <c r="E48" i="9"/>
  <c r="F48" i="9"/>
  <c r="D48" i="9"/>
  <c r="I48" i="9"/>
  <c r="E47" i="9"/>
  <c r="F47" i="9"/>
  <c r="D47" i="9"/>
  <c r="I47" i="9"/>
  <c r="E46" i="9"/>
  <c r="F46" i="9"/>
  <c r="D46" i="9"/>
  <c r="I46" i="9"/>
  <c r="E45" i="9"/>
  <c r="F45" i="9"/>
  <c r="D45" i="9"/>
  <c r="I45" i="9"/>
  <c r="E44" i="9"/>
  <c r="F44" i="9"/>
  <c r="D44" i="9"/>
  <c r="I44" i="9"/>
  <c r="J43" i="9"/>
  <c r="I43" i="9"/>
  <c r="J42" i="9"/>
  <c r="I42" i="9"/>
  <c r="J41" i="9"/>
  <c r="G41" i="9"/>
  <c r="E41" i="9"/>
  <c r="I41" i="9"/>
  <c r="E40" i="9"/>
  <c r="D40" i="9"/>
  <c r="I40" i="9"/>
  <c r="E39" i="9"/>
  <c r="D39" i="9"/>
  <c r="I39" i="9"/>
  <c r="E38" i="9"/>
  <c r="D38" i="9"/>
  <c r="I38" i="9"/>
  <c r="E37" i="9"/>
  <c r="D37" i="9"/>
  <c r="I37" i="9"/>
  <c r="E36" i="9"/>
  <c r="D36" i="9"/>
  <c r="I36" i="9"/>
  <c r="K35" i="9"/>
  <c r="I35" i="9"/>
  <c r="K34" i="9"/>
  <c r="I34" i="9"/>
  <c r="E33" i="9"/>
  <c r="D33" i="9"/>
  <c r="I33" i="9"/>
  <c r="E32" i="9"/>
  <c r="D32" i="9"/>
  <c r="I32" i="9"/>
  <c r="E31" i="9"/>
  <c r="D31" i="9"/>
  <c r="I31" i="9"/>
  <c r="N30" i="9"/>
  <c r="K30" i="9"/>
  <c r="I30" i="9"/>
  <c r="N29" i="9"/>
  <c r="K29" i="9"/>
  <c r="I29" i="9"/>
  <c r="F22" i="9"/>
  <c r="G22" i="9"/>
  <c r="E22" i="9"/>
  <c r="D22" i="9"/>
  <c r="I22" i="9"/>
  <c r="E21" i="9"/>
  <c r="D21" i="9"/>
  <c r="I21" i="9"/>
  <c r="I20" i="9"/>
  <c r="I19" i="9"/>
  <c r="E18" i="9"/>
  <c r="D18" i="9"/>
  <c r="I18" i="9"/>
  <c r="I17" i="9"/>
  <c r="L16" i="9"/>
  <c r="J16" i="9"/>
  <c r="F16" i="9"/>
  <c r="G16" i="9"/>
  <c r="E16" i="9"/>
  <c r="D16" i="9"/>
  <c r="I16" i="9"/>
  <c r="L15" i="9"/>
  <c r="J15" i="9"/>
  <c r="F15" i="9"/>
  <c r="G15" i="9"/>
  <c r="E15" i="9"/>
  <c r="D15" i="9"/>
  <c r="I15" i="9"/>
  <c r="L14" i="9"/>
  <c r="J14" i="9"/>
  <c r="F14" i="9"/>
  <c r="G14" i="9"/>
  <c r="E14" i="9"/>
  <c r="D14" i="9"/>
  <c r="I14" i="9"/>
  <c r="J13" i="9"/>
  <c r="L13" i="9"/>
  <c r="F13" i="9"/>
  <c r="G13" i="9"/>
  <c r="E13" i="9"/>
  <c r="D13" i="9"/>
  <c r="I13" i="9"/>
  <c r="J12" i="9"/>
  <c r="L12" i="9"/>
  <c r="F12" i="9"/>
  <c r="G12" i="9"/>
  <c r="E12" i="9"/>
  <c r="D12" i="9"/>
  <c r="I12" i="9"/>
  <c r="J11" i="9"/>
  <c r="G11" i="9"/>
  <c r="E11" i="9"/>
  <c r="I11" i="9"/>
  <c r="J10" i="9"/>
  <c r="I10" i="9"/>
  <c r="I9" i="9"/>
  <c r="G8" i="9"/>
  <c r="E8" i="9"/>
  <c r="D8" i="9"/>
  <c r="I8" i="9"/>
  <c r="I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C60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C67" i="14"/>
  <c r="B109" i="14"/>
  <c r="B160" i="14"/>
  <c r="C68" i="14"/>
  <c r="B110" i="14"/>
  <c r="B161" i="14"/>
  <c r="I191" i="14"/>
  <c r="I190" i="14"/>
  <c r="I189" i="14"/>
  <c r="I188" i="14"/>
  <c r="I101" i="14"/>
  <c r="I166" i="14"/>
  <c r="I165" i="14"/>
  <c r="I164" i="14"/>
  <c r="I163" i="14"/>
  <c r="I152" i="14"/>
  <c r="I140" i="14"/>
  <c r="I139" i="14"/>
  <c r="I138" i="14"/>
  <c r="I137" i="14"/>
  <c r="I115" i="14"/>
  <c r="I114" i="14"/>
  <c r="I113" i="14"/>
  <c r="I112" i="14"/>
  <c r="I48" i="14"/>
  <c r="C90" i="14"/>
  <c r="I90" i="14"/>
  <c r="I46" i="14"/>
  <c r="C89" i="14"/>
  <c r="I89" i="14"/>
  <c r="I45" i="14"/>
  <c r="C88" i="14"/>
  <c r="I88" i="14"/>
  <c r="C87" i="14"/>
  <c r="I87" i="14"/>
  <c r="I43" i="14"/>
  <c r="I44" i="14"/>
  <c r="C86" i="14"/>
  <c r="I86" i="14"/>
  <c r="C85" i="14"/>
  <c r="I85" i="14"/>
  <c r="I42" i="14"/>
  <c r="C84" i="14"/>
  <c r="I84" i="14"/>
  <c r="I41" i="14"/>
  <c r="C83" i="14"/>
  <c r="I83" i="14"/>
  <c r="I40" i="14"/>
  <c r="C82" i="14"/>
  <c r="I82" i="14"/>
  <c r="I39" i="14"/>
  <c r="C81" i="14"/>
  <c r="I81" i="14"/>
  <c r="I38" i="14"/>
  <c r="C80" i="14"/>
  <c r="I80" i="14"/>
  <c r="I36" i="14"/>
  <c r="I37" i="14"/>
  <c r="C79" i="14"/>
  <c r="I79" i="14"/>
  <c r="C78" i="14"/>
  <c r="I78" i="14"/>
  <c r="I18" i="14"/>
  <c r="I35" i="14"/>
  <c r="I77" i="14"/>
  <c r="I34" i="14"/>
  <c r="C76" i="14"/>
  <c r="I76" i="14"/>
  <c r="I33" i="14"/>
  <c r="C75" i="14"/>
  <c r="I75" i="14"/>
  <c r="I32" i="14"/>
  <c r="C74" i="14"/>
  <c r="I74" i="14"/>
  <c r="I31" i="14"/>
  <c r="C73" i="14"/>
  <c r="I73" i="14"/>
  <c r="I72" i="14"/>
  <c r="C69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47" i="14"/>
  <c r="I30" i="14"/>
  <c r="I17" i="14"/>
  <c r="I20" i="14"/>
  <c r="I27" i="14"/>
  <c r="I22" i="14"/>
  <c r="I23" i="14"/>
  <c r="I24" i="14"/>
  <c r="I25" i="14"/>
  <c r="I26" i="14"/>
  <c r="I21" i="14"/>
  <c r="I19" i="14"/>
  <c r="I16" i="14"/>
  <c r="I15" i="14"/>
  <c r="I4" i="14"/>
  <c r="I3" i="14"/>
  <c r="H191" i="14"/>
  <c r="H190" i="14"/>
  <c r="H189" i="14"/>
  <c r="H188" i="14"/>
  <c r="H101" i="14"/>
  <c r="H166" i="14"/>
  <c r="H165" i="14"/>
  <c r="H164" i="14"/>
  <c r="H163" i="14"/>
  <c r="H152" i="14"/>
  <c r="H140" i="14"/>
  <c r="H139" i="14"/>
  <c r="H138" i="14"/>
  <c r="H137" i="14"/>
  <c r="H115" i="14"/>
  <c r="H114" i="14"/>
  <c r="H113" i="14"/>
  <c r="H112" i="14"/>
  <c r="H48" i="14"/>
  <c r="H90" i="14"/>
  <c r="H46" i="14"/>
  <c r="H89" i="14"/>
  <c r="H45" i="14"/>
  <c r="H88" i="14"/>
  <c r="H87" i="14"/>
  <c r="H43" i="14"/>
  <c r="H44" i="14"/>
  <c r="H86" i="14"/>
  <c r="H85" i="14"/>
  <c r="H42" i="14"/>
  <c r="H84" i="14"/>
  <c r="H41" i="14"/>
  <c r="H83" i="14"/>
  <c r="H40" i="14"/>
  <c r="H82" i="14"/>
  <c r="H39" i="14"/>
  <c r="H81" i="14"/>
  <c r="H38" i="14"/>
  <c r="H80" i="14"/>
  <c r="H36" i="14"/>
  <c r="H37" i="14"/>
  <c r="H79" i="14"/>
  <c r="H78" i="14"/>
  <c r="H18" i="14"/>
  <c r="H35" i="14"/>
  <c r="H77" i="14"/>
  <c r="H34" i="14"/>
  <c r="H76" i="14"/>
  <c r="H33" i="14"/>
  <c r="H75" i="14"/>
  <c r="H32" i="14"/>
  <c r="H74" i="14"/>
  <c r="H31" i="14"/>
  <c r="H73" i="14"/>
  <c r="H72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47" i="14"/>
  <c r="H30" i="14"/>
  <c r="H17" i="14"/>
  <c r="H20" i="14"/>
  <c r="H27" i="14"/>
  <c r="H22" i="14"/>
  <c r="H23" i="14"/>
  <c r="H24" i="14"/>
  <c r="H25" i="14"/>
  <c r="H26" i="14"/>
  <c r="H21" i="14"/>
  <c r="H19" i="14"/>
  <c r="H16" i="14"/>
  <c r="H15" i="14"/>
  <c r="H4" i="14"/>
  <c r="H3" i="14"/>
  <c r="E43" i="11"/>
  <c r="E37" i="11"/>
  <c r="D37" i="11"/>
  <c r="G46" i="11"/>
  <c r="G45" i="11"/>
  <c r="G44" i="11"/>
  <c r="I43" i="11"/>
  <c r="I71" i="11"/>
  <c r="G71" i="11"/>
  <c r="G43" i="11"/>
  <c r="D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/>
  <c r="D25" i="12"/>
  <c r="D26" i="12"/>
  <c r="D81" i="12"/>
  <c r="D27" i="12"/>
  <c r="D28" i="12"/>
  <c r="D29" i="12"/>
  <c r="D31" i="12"/>
  <c r="D32" i="12"/>
  <c r="D87" i="12"/>
  <c r="D33" i="12"/>
  <c r="F33" i="12"/>
  <c r="D34" i="12"/>
  <c r="F34" i="12"/>
  <c r="D35" i="12"/>
  <c r="F35" i="12"/>
  <c r="D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H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/>
  <c r="E2" i="11"/>
  <c r="E29" i="11"/>
  <c r="D3" i="11"/>
  <c r="E3" i="11"/>
  <c r="I3" i="11"/>
  <c r="D4" i="11"/>
  <c r="E4" i="11"/>
  <c r="I4" i="11"/>
  <c r="G7" i="11"/>
  <c r="D12" i="11"/>
  <c r="D34" i="11"/>
  <c r="E12" i="11"/>
  <c r="E34" i="11"/>
  <c r="I12" i="11"/>
  <c r="I34" i="11"/>
  <c r="G12" i="11"/>
  <c r="I29" i="11"/>
  <c r="D30" i="11"/>
  <c r="E30" i="11"/>
  <c r="I30" i="11"/>
  <c r="D31" i="11"/>
  <c r="D86" i="11"/>
  <c r="E31" i="11"/>
  <c r="I31" i="11"/>
  <c r="D32" i="11"/>
  <c r="E32" i="11"/>
  <c r="I32" i="11"/>
  <c r="G32" i="11"/>
  <c r="D33" i="11"/>
  <c r="E33" i="11"/>
  <c r="I33" i="11"/>
  <c r="G33" i="11"/>
  <c r="D35" i="11"/>
  <c r="E35" i="11"/>
  <c r="E36" i="11"/>
  <c r="I35" i="11"/>
  <c r="I36" i="11"/>
  <c r="I63" i="11"/>
  <c r="G63" i="11"/>
  <c r="I37" i="11"/>
  <c r="D38" i="11"/>
  <c r="E38" i="11"/>
  <c r="I38" i="11"/>
  <c r="G38" i="11"/>
  <c r="D39" i="11"/>
  <c r="E39" i="11"/>
  <c r="I39" i="11"/>
  <c r="D40" i="11"/>
  <c r="E40" i="11"/>
  <c r="I40" i="11"/>
  <c r="G40" i="11"/>
  <c r="D41" i="11"/>
  <c r="E41" i="11"/>
  <c r="I41" i="11"/>
  <c r="E42" i="11"/>
  <c r="I42" i="11"/>
  <c r="D47" i="11"/>
  <c r="E47" i="11"/>
  <c r="I47" i="11"/>
  <c r="E48" i="11"/>
  <c r="I48" i="11"/>
  <c r="D49" i="11"/>
  <c r="G49" i="11"/>
  <c r="D50" i="11"/>
  <c r="E50" i="11"/>
  <c r="I50" i="11"/>
  <c r="G50" i="11"/>
  <c r="D51" i="11"/>
  <c r="E51" i="11"/>
  <c r="I51" i="11"/>
  <c r="D52" i="11"/>
  <c r="E52" i="11"/>
  <c r="I52" i="11"/>
  <c r="G52" i="11"/>
  <c r="D53" i="11"/>
  <c r="E53" i="11"/>
  <c r="I53" i="11"/>
  <c r="G53" i="11"/>
  <c r="H65" i="11"/>
  <c r="H72" i="11"/>
  <c r="H73" i="11"/>
  <c r="H74" i="11"/>
  <c r="D3" i="14"/>
  <c r="D4" i="14"/>
  <c r="F7" i="14"/>
  <c r="D15" i="14"/>
  <c r="D16" i="14"/>
  <c r="D18" i="14"/>
  <c r="F18" i="14"/>
  <c r="D30" i="14"/>
  <c r="D31" i="14"/>
  <c r="F31" i="14"/>
  <c r="D32" i="14"/>
  <c r="D33" i="14"/>
  <c r="D34" i="14"/>
  <c r="D35" i="14"/>
  <c r="D36" i="14"/>
  <c r="F36" i="14"/>
  <c r="D37" i="14"/>
  <c r="F37" i="14"/>
  <c r="D38" i="14"/>
  <c r="F38" i="14"/>
  <c r="D39" i="14"/>
  <c r="F39" i="14"/>
  <c r="D40" i="14"/>
  <c r="F40" i="14"/>
  <c r="D41" i="14"/>
  <c r="F41" i="14"/>
  <c r="D42" i="14"/>
  <c r="F42" i="14"/>
  <c r="D43" i="14"/>
  <c r="F43" i="14"/>
  <c r="D44" i="14"/>
  <c r="F44" i="14"/>
  <c r="D45" i="14"/>
  <c r="F45" i="14"/>
  <c r="D46" i="14"/>
  <c r="F46" i="14"/>
  <c r="D47" i="14"/>
  <c r="F47" i="14"/>
  <c r="D48" i="14"/>
  <c r="F48" i="14"/>
  <c r="C101" i="14"/>
  <c r="D101" i="14"/>
  <c r="C152" i="14"/>
  <c r="D152" i="14"/>
  <c r="G65" i="10"/>
  <c r="H99" i="10"/>
  <c r="D69" i="14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F69" i="14"/>
  <c r="J78" i="10"/>
  <c r="J74" i="10"/>
  <c r="D74" i="10"/>
  <c r="L74" i="10"/>
  <c r="D90" i="14"/>
  <c r="D52" i="14"/>
  <c r="E76" i="11"/>
  <c r="F75" i="10"/>
  <c r="G75" i="10"/>
  <c r="H75" i="10"/>
  <c r="I75" i="10"/>
  <c r="D62" i="14"/>
  <c r="F62" i="14"/>
  <c r="D77" i="14"/>
  <c r="D54" i="14"/>
  <c r="H60" i="10"/>
  <c r="I60" i="10"/>
  <c r="D57" i="12"/>
  <c r="D63" i="12"/>
  <c r="I90" i="11"/>
  <c r="D65" i="14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I102" i="11"/>
  <c r="G102" i="11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93" i="12"/>
  <c r="D74" i="14"/>
  <c r="I55" i="10"/>
  <c r="E58" i="11"/>
  <c r="D81" i="14"/>
  <c r="I88" i="11"/>
  <c r="D59" i="11"/>
  <c r="E60" i="11"/>
  <c r="I93" i="10"/>
  <c r="I94" i="11"/>
  <c r="F88" i="14"/>
  <c r="D79" i="14"/>
  <c r="F65" i="14"/>
  <c r="F77" i="14"/>
  <c r="J87" i="10"/>
  <c r="G87" i="10"/>
  <c r="F79" i="14"/>
  <c r="E102" i="11"/>
  <c r="D63" i="11"/>
  <c r="J90" i="10"/>
  <c r="I68" i="11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68" i="14"/>
  <c r="F68" i="14"/>
  <c r="D76" i="12"/>
  <c r="B130" i="12"/>
  <c r="D55" i="12"/>
  <c r="F89" i="14"/>
  <c r="D89" i="14"/>
  <c r="F35" i="14"/>
  <c r="L104" i="10"/>
  <c r="I103" i="11"/>
  <c r="G103" i="11"/>
  <c r="D103" i="11"/>
  <c r="D85" i="12"/>
  <c r="D59" i="12"/>
  <c r="B113" i="12"/>
  <c r="I93" i="11"/>
  <c r="B118" i="12"/>
  <c r="D61" i="14"/>
  <c r="F61" i="14"/>
  <c r="G60" i="10"/>
  <c r="D60" i="10"/>
  <c r="L60" i="10"/>
  <c r="J60" i="10"/>
  <c r="E60" i="10"/>
  <c r="F60" i="10"/>
  <c r="G74" i="11"/>
  <c r="J81" i="10"/>
  <c r="D99" i="12"/>
  <c r="F60" i="14"/>
  <c r="D60" i="14"/>
  <c r="F57" i="14"/>
  <c r="D57" i="14"/>
  <c r="F78" i="14"/>
  <c r="D78" i="14"/>
  <c r="E67" i="11"/>
  <c r="I67" i="11"/>
  <c r="I23" i="11"/>
  <c r="E94" i="10"/>
  <c r="G94" i="10"/>
  <c r="H94" i="10"/>
  <c r="D94" i="10"/>
  <c r="L94" i="10"/>
  <c r="D65" i="12"/>
  <c r="F65" i="12"/>
  <c r="B119" i="12"/>
  <c r="J91" i="10"/>
  <c r="L93" i="10"/>
  <c r="L63" i="10"/>
  <c r="L89" i="10"/>
  <c r="F27" i="12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I59" i="11"/>
  <c r="G94" i="11"/>
  <c r="I8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E59" i="11"/>
  <c r="B109" i="12"/>
  <c r="B111" i="12"/>
  <c r="E86" i="10"/>
  <c r="D84" i="12"/>
  <c r="D60" i="11"/>
  <c r="E87" i="11"/>
  <c r="D36" i="11"/>
  <c r="D91" i="11"/>
  <c r="D94" i="11"/>
  <c r="D79" i="11"/>
  <c r="I76" i="11"/>
  <c r="G76" i="11"/>
  <c r="E94" i="11"/>
  <c r="D102" i="11"/>
  <c r="D68" i="11"/>
  <c r="D67" i="11"/>
  <c r="D93" i="11"/>
  <c r="D90" i="11"/>
  <c r="D80" i="11"/>
  <c r="E63" i="11"/>
  <c r="D73" i="14"/>
  <c r="F73" i="14"/>
  <c r="E85" i="11"/>
  <c r="L86" i="10"/>
  <c r="G86" i="10"/>
  <c r="H86" i="10"/>
  <c r="F54" i="14"/>
  <c r="D88" i="11"/>
  <c r="F74" i="14"/>
  <c r="F55" i="14"/>
  <c r="D55" i="14"/>
  <c r="D83" i="12"/>
  <c r="B110" i="12"/>
  <c r="D56" i="12"/>
  <c r="L55" i="10"/>
  <c r="J55" i="10"/>
  <c r="J15" i="10"/>
  <c r="G55" i="10"/>
  <c r="I58" i="11"/>
  <c r="D58" i="11"/>
  <c r="I91" i="11"/>
  <c r="I85" i="11"/>
  <c r="G15" i="10"/>
  <c r="L15" i="10"/>
  <c r="E90" i="11"/>
  <c r="D86" i="12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99" i="12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I80" i="11"/>
  <c r="E80" i="11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F87" i="14"/>
  <c r="D89" i="12"/>
  <c r="F75" i="14"/>
  <c r="D75" i="14"/>
  <c r="J86" i="10"/>
  <c r="F63" i="14"/>
  <c r="D63" i="14"/>
  <c r="F83" i="14"/>
  <c r="F82" i="14"/>
  <c r="I87" i="10"/>
  <c r="D87" i="10"/>
  <c r="F87" i="10"/>
  <c r="H87" i="10"/>
  <c r="F98" i="12"/>
  <c r="D62" i="12"/>
  <c r="B116" i="12"/>
  <c r="D64" i="14"/>
  <c r="F72" i="10"/>
  <c r="H72" i="10"/>
  <c r="E72" i="10"/>
  <c r="G72" i="10"/>
  <c r="I72" i="10"/>
  <c r="H77" i="10"/>
  <c r="G96" i="10"/>
  <c r="D53" i="14"/>
  <c r="F81" i="14"/>
  <c r="D82" i="14"/>
  <c r="E86" i="11"/>
  <c r="G86" i="11"/>
  <c r="F86" i="14"/>
  <c r="D86" i="14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F32" i="14"/>
  <c r="F33" i="14"/>
  <c r="G48" i="11"/>
  <c r="F61" i="10"/>
  <c r="F34" i="14"/>
  <c r="G51" i="11"/>
  <c r="D64" i="12"/>
  <c r="F26" i="12"/>
  <c r="C73" i="11"/>
  <c r="L57" i="10"/>
  <c r="I57" i="10"/>
  <c r="I17" i="10"/>
  <c r="L17" i="10"/>
  <c r="D22" i="14"/>
  <c r="F53" i="14"/>
  <c r="F22" i="14"/>
  <c r="D75" i="12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F66" i="14"/>
  <c r="D66" i="14"/>
  <c r="I66" i="11"/>
  <c r="E66" i="11"/>
  <c r="D66" i="11"/>
  <c r="D95" i="11"/>
  <c r="I95" i="11"/>
  <c r="G95" i="11"/>
  <c r="H96" i="10"/>
  <c r="L77" i="10"/>
  <c r="G77" i="10"/>
  <c r="E77" i="10"/>
  <c r="H61" i="10"/>
  <c r="J61" i="10"/>
  <c r="E61" i="10"/>
  <c r="D61" i="10"/>
  <c r="I61" i="10"/>
  <c r="G61" i="10"/>
  <c r="F85" i="14"/>
  <c r="E65" i="11"/>
  <c r="I65" i="11"/>
  <c r="G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E64" i="11"/>
  <c r="E91" i="11"/>
  <c r="D71" i="11"/>
  <c r="E71" i="11"/>
  <c r="G73" i="11"/>
  <c r="F64" i="12"/>
  <c r="F63" i="12"/>
  <c r="F36" i="12"/>
  <c r="F31" i="12"/>
  <c r="F30" i="12"/>
  <c r="F59" i="12"/>
  <c r="F13" i="12"/>
  <c r="F86" i="12"/>
  <c r="F87" i="12"/>
  <c r="F32" i="12"/>
  <c r="F85" i="12"/>
  <c r="G80" i="11"/>
  <c r="G42" i="11"/>
  <c r="G90" i="11"/>
  <c r="G66" i="11"/>
  <c r="G91" i="11"/>
  <c r="G68" i="11"/>
  <c r="G34" i="11"/>
  <c r="G59" i="11"/>
  <c r="G93" i="11"/>
  <c r="G30" i="11"/>
  <c r="F75" i="12"/>
  <c r="H110" i="10"/>
  <c r="F110" i="10"/>
  <c r="D110" i="10"/>
  <c r="I110" i="10"/>
  <c r="J110" i="10"/>
  <c r="E110" i="10"/>
  <c r="L110" i="10"/>
  <c r="G110" i="10"/>
  <c r="D54" i="12"/>
  <c r="D57" i="10"/>
  <c r="D17" i="10"/>
  <c r="D88" i="10"/>
  <c r="F84" i="12"/>
  <c r="F29" i="12"/>
  <c r="F57" i="12"/>
  <c r="F83" i="12"/>
  <c r="F28" i="12"/>
  <c r="E103" i="10"/>
  <c r="D103" i="10"/>
  <c r="I103" i="10"/>
  <c r="H103" i="10"/>
  <c r="L103" i="10"/>
  <c r="F103" i="10"/>
  <c r="J103" i="10"/>
  <c r="F91" i="12"/>
  <c r="L96" i="10"/>
  <c r="F96" i="10"/>
  <c r="D58" i="12"/>
  <c r="D19" i="12"/>
  <c r="F89" i="12"/>
  <c r="L99" i="10"/>
  <c r="E99" i="10"/>
  <c r="G23" i="11"/>
  <c r="G67" i="11"/>
  <c r="B108" i="12"/>
  <c r="E62" i="10"/>
  <c r="I62" i="10"/>
  <c r="G62" i="10"/>
  <c r="E79" i="11"/>
  <c r="I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D91" i="12"/>
  <c r="J77" i="10"/>
  <c r="I77" i="10"/>
  <c r="J96" i="10"/>
  <c r="E96" i="10"/>
  <c r="F69" i="10"/>
  <c r="J69" i="10"/>
  <c r="D83" i="14"/>
  <c r="B112" i="12"/>
  <c r="D69" i="10"/>
  <c r="I99" i="10"/>
  <c r="J99" i="10"/>
  <c r="D99" i="10"/>
  <c r="F52" i="14"/>
  <c r="I64" i="11"/>
  <c r="F56" i="12"/>
  <c r="I91" i="10"/>
  <c r="G91" i="10"/>
  <c r="E91" i="10"/>
  <c r="D91" i="10"/>
  <c r="F91" i="10"/>
  <c r="L91" i="10"/>
  <c r="D90" i="12"/>
  <c r="D82" i="12"/>
  <c r="L113" i="10"/>
  <c r="G103" i="10"/>
  <c r="L92" i="10"/>
  <c r="D92" i="10"/>
  <c r="F92" i="10"/>
  <c r="I92" i="10"/>
  <c r="H92" i="10"/>
  <c r="G92" i="10"/>
  <c r="B120" i="12"/>
  <c r="D66" i="12"/>
  <c r="F66" i="12"/>
  <c r="F77" i="10"/>
  <c r="I96" i="10"/>
  <c r="G99" i="10"/>
  <c r="D85" i="11"/>
  <c r="D64" i="11"/>
  <c r="I87" i="11"/>
  <c r="D87" i="11"/>
  <c r="G88" i="11"/>
  <c r="F62" i="12"/>
  <c r="F76" i="12"/>
  <c r="D76" i="14"/>
  <c r="F76" i="14"/>
  <c r="I89" i="11"/>
  <c r="G89" i="11"/>
  <c r="E89" i="11"/>
  <c r="I90" i="10"/>
  <c r="E90" i="10"/>
  <c r="E61" i="11"/>
  <c r="I61" i="11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F64" i="14"/>
  <c r="J75" i="10"/>
  <c r="L75" i="10"/>
  <c r="D75" i="10"/>
  <c r="E75" i="10"/>
  <c r="G47" i="11"/>
  <c r="E93" i="11"/>
  <c r="I60" i="11"/>
  <c r="F55" i="12"/>
  <c r="F72" i="12"/>
  <c r="E70" i="10"/>
  <c r="I82" i="10"/>
  <c r="H82" i="10"/>
  <c r="J82" i="10"/>
  <c r="F93" i="12"/>
  <c r="H70" i="10"/>
  <c r="F65" i="10"/>
  <c r="H63" i="10"/>
  <c r="I89" i="10"/>
  <c r="H89" i="10"/>
  <c r="I94" i="10"/>
  <c r="F94" i="10"/>
  <c r="F67" i="14"/>
  <c r="F90" i="14"/>
  <c r="F74" i="10"/>
  <c r="H74" i="10"/>
  <c r="G74" i="10"/>
  <c r="E74" i="10"/>
  <c r="F62" i="10"/>
  <c r="F59" i="10"/>
  <c r="G61" i="11"/>
  <c r="G36" i="11"/>
  <c r="G60" i="11"/>
  <c r="F54" i="12"/>
  <c r="I109" i="10"/>
  <c r="J109" i="10"/>
  <c r="F109" i="10"/>
  <c r="G109" i="10"/>
  <c r="D109" i="10"/>
  <c r="L109" i="10"/>
  <c r="E109" i="10"/>
  <c r="H109" i="10"/>
  <c r="B114" i="12"/>
  <c r="D60" i="12"/>
  <c r="D103" i="12"/>
  <c r="E75" i="11"/>
  <c r="I75" i="11"/>
  <c r="D75" i="11"/>
  <c r="E16" i="11"/>
  <c r="G64" i="11"/>
  <c r="I21" i="11"/>
  <c r="E106" i="11"/>
  <c r="D106" i="11"/>
  <c r="I106" i="11"/>
  <c r="D17" i="12"/>
  <c r="I16" i="11"/>
  <c r="D71" i="12"/>
  <c r="B125" i="12"/>
  <c r="E62" i="11"/>
  <c r="E18" i="11"/>
  <c r="E23" i="11"/>
  <c r="I62" i="11"/>
  <c r="I18" i="11"/>
  <c r="D62" i="11"/>
  <c r="D18" i="11"/>
  <c r="D23" i="11"/>
  <c r="F92" i="12"/>
  <c r="F82" i="12"/>
  <c r="G85" i="11"/>
  <c r="D102" i="12"/>
  <c r="D59" i="10"/>
  <c r="H59" i="10"/>
  <c r="I59" i="10"/>
  <c r="G59" i="10"/>
  <c r="J59" i="10"/>
  <c r="E59" i="10"/>
  <c r="G79" i="11"/>
  <c r="D84" i="14"/>
  <c r="F81" i="12"/>
  <c r="E98" i="10"/>
  <c r="L98" i="10"/>
  <c r="G98" i="10"/>
  <c r="J98" i="10"/>
  <c r="H98" i="10"/>
  <c r="I98" i="10"/>
  <c r="F98" i="10"/>
  <c r="D98" i="10"/>
  <c r="D56" i="14"/>
  <c r="L90" i="10"/>
  <c r="D107" i="11"/>
  <c r="E107" i="11"/>
  <c r="I107" i="11"/>
  <c r="G87" i="11"/>
  <c r="F19" i="12"/>
  <c r="F58" i="12"/>
  <c r="D58" i="14"/>
  <c r="F90" i="12"/>
  <c r="D16" i="11"/>
  <c r="G107" i="11"/>
  <c r="E81" i="11"/>
  <c r="D81" i="11"/>
  <c r="I81" i="11"/>
  <c r="B131" i="12"/>
  <c r="D77" i="12"/>
  <c r="F71" i="12"/>
  <c r="D96" i="12"/>
  <c r="D69" i="11"/>
  <c r="E69" i="11"/>
  <c r="I69" i="11"/>
  <c r="D80" i="14"/>
  <c r="D72" i="14"/>
  <c r="D20" i="14"/>
  <c r="D21" i="14"/>
  <c r="D94" i="12"/>
  <c r="E70" i="11"/>
  <c r="D70" i="11"/>
  <c r="I70" i="11"/>
  <c r="D92" i="11"/>
  <c r="E92" i="11"/>
  <c r="I92" i="11"/>
  <c r="D100" i="12"/>
  <c r="F60" i="12"/>
  <c r="E77" i="11"/>
  <c r="I77" i="11"/>
  <c r="G77" i="11"/>
  <c r="D77" i="11"/>
  <c r="D97" i="11"/>
  <c r="I97" i="11"/>
  <c r="E97" i="11"/>
  <c r="I100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I99" i="11"/>
  <c r="G99" i="11"/>
  <c r="D99" i="11"/>
  <c r="E99" i="11"/>
  <c r="I98" i="11"/>
  <c r="E98" i="11"/>
  <c r="D98" i="11"/>
  <c r="F69" i="12"/>
  <c r="D69" i="12"/>
  <c r="B123" i="12"/>
  <c r="D105" i="11"/>
  <c r="E105" i="11"/>
  <c r="I105" i="11"/>
  <c r="I104" i="11"/>
  <c r="D104" i="11"/>
  <c r="E104" i="11"/>
  <c r="G75" i="11"/>
  <c r="G16" i="10"/>
  <c r="E76" i="10"/>
  <c r="J76" i="10"/>
  <c r="L76" i="10"/>
  <c r="F76" i="10"/>
  <c r="H76" i="10"/>
  <c r="D24" i="14"/>
  <c r="E95" i="10"/>
  <c r="H95" i="10"/>
  <c r="J95" i="10"/>
  <c r="I95" i="10"/>
  <c r="D95" i="10"/>
  <c r="G95" i="10"/>
  <c r="F95" i="10"/>
  <c r="F58" i="14"/>
  <c r="F24" i="14"/>
  <c r="F56" i="14"/>
  <c r="E16" i="10"/>
  <c r="E54" i="10"/>
  <c r="E10" i="10"/>
  <c r="L59" i="10"/>
  <c r="F102" i="12"/>
  <c r="D104" i="12"/>
  <c r="D61" i="12"/>
  <c r="B115" i="12"/>
  <c r="I96" i="11"/>
  <c r="D96" i="11"/>
  <c r="E96" i="11"/>
  <c r="B121" i="12"/>
  <c r="D67" i="12"/>
  <c r="I101" i="11"/>
  <c r="D101" i="11"/>
  <c r="E101" i="11"/>
  <c r="D68" i="12"/>
  <c r="B122" i="12"/>
  <c r="D54" i="10"/>
  <c r="D10" i="10"/>
  <c r="G106" i="11"/>
  <c r="G21" i="11"/>
  <c r="E21" i="11"/>
  <c r="F103" i="12"/>
  <c r="D74" i="12"/>
  <c r="B128" i="12"/>
  <c r="B127" i="12"/>
  <c r="D73" i="12"/>
  <c r="D21" i="11"/>
  <c r="F84" i="14"/>
  <c r="J16" i="10"/>
  <c r="J54" i="10"/>
  <c r="J10" i="10"/>
  <c r="H16" i="10"/>
  <c r="H54" i="10"/>
  <c r="H10" i="10"/>
  <c r="G18" i="11"/>
  <c r="E108" i="11"/>
  <c r="I108" i="11"/>
  <c r="D108" i="11"/>
  <c r="D88" i="12"/>
  <c r="G163" i="14"/>
  <c r="D59" i="14"/>
  <c r="D23" i="14"/>
  <c r="F59" i="14"/>
  <c r="D70" i="12"/>
  <c r="B124" i="12"/>
  <c r="D95" i="12"/>
  <c r="D97" i="12"/>
  <c r="G16" i="11"/>
  <c r="F101" i="12"/>
  <c r="D101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F17" i="12"/>
  <c r="D78" i="11"/>
  <c r="E78" i="11"/>
  <c r="I78" i="11"/>
  <c r="I57" i="11"/>
  <c r="I11" i="11"/>
  <c r="G108" i="11"/>
  <c r="G81" i="11"/>
  <c r="G70" i="11"/>
  <c r="F18" i="12"/>
  <c r="G18" i="10"/>
  <c r="G19" i="10"/>
  <c r="G12" i="10"/>
  <c r="H18" i="10"/>
  <c r="H12" i="10"/>
  <c r="G164" i="14"/>
  <c r="D188" i="14"/>
  <c r="I13" i="11"/>
  <c r="C164" i="14"/>
  <c r="F95" i="12"/>
  <c r="H19" i="10"/>
  <c r="F74" i="12"/>
  <c r="B190" i="14"/>
  <c r="F165" i="14"/>
  <c r="D190" i="14"/>
  <c r="D189" i="14"/>
  <c r="C191" i="14"/>
  <c r="D138" i="14"/>
  <c r="F114" i="14"/>
  <c r="F67" i="12"/>
  <c r="G96" i="11"/>
  <c r="L16" i="10"/>
  <c r="F85" i="10"/>
  <c r="F13" i="10"/>
  <c r="F14" i="10"/>
  <c r="J85" i="10"/>
  <c r="J13" i="10"/>
  <c r="J14" i="10"/>
  <c r="D51" i="14"/>
  <c r="D17" i="14"/>
  <c r="C139" i="14"/>
  <c r="G114" i="14"/>
  <c r="G105" i="11"/>
  <c r="I54" i="10"/>
  <c r="I10" i="10"/>
  <c r="D140" i="14"/>
  <c r="D84" i="11"/>
  <c r="D14" i="11"/>
  <c r="D15" i="11"/>
  <c r="F80" i="14"/>
  <c r="F72" i="14"/>
  <c r="D17" i="11"/>
  <c r="D57" i="11"/>
  <c r="D11" i="11"/>
  <c r="F96" i="12"/>
  <c r="F88" i="12"/>
  <c r="G166" i="14"/>
  <c r="B191" i="14"/>
  <c r="C189" i="14"/>
  <c r="D191" i="14"/>
  <c r="F164" i="14"/>
  <c r="B140" i="14"/>
  <c r="C137" i="14"/>
  <c r="F68" i="12"/>
  <c r="D53" i="12"/>
  <c r="D12" i="12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F77" i="12"/>
  <c r="F97" i="12"/>
  <c r="J18" i="10"/>
  <c r="J20" i="10"/>
  <c r="J12" i="10"/>
  <c r="C190" i="14"/>
  <c r="G78" i="11"/>
  <c r="C113" i="14"/>
  <c r="G113" i="14"/>
  <c r="G115" i="14"/>
  <c r="F70" i="12"/>
  <c r="D80" i="12"/>
  <c r="D15" i="12"/>
  <c r="D16" i="12"/>
  <c r="J19" i="10"/>
  <c r="F73" i="12"/>
  <c r="G165" i="14"/>
  <c r="B188" i="14"/>
  <c r="F163" i="14"/>
  <c r="D166" i="14"/>
  <c r="F115" i="14"/>
  <c r="G101" i="11"/>
  <c r="C132" i="12"/>
  <c r="C134" i="12"/>
  <c r="C135" i="12"/>
  <c r="C136" i="12"/>
  <c r="C137" i="12"/>
  <c r="F132" i="12"/>
  <c r="D132" i="12"/>
  <c r="D134" i="12"/>
  <c r="D135" i="12"/>
  <c r="D136" i="12"/>
  <c r="D137" i="12"/>
  <c r="G132" i="12"/>
  <c r="G134" i="12"/>
  <c r="G135" i="12"/>
  <c r="G136" i="12"/>
  <c r="G137" i="12"/>
  <c r="F51" i="14"/>
  <c r="D85" i="10"/>
  <c r="D13" i="10"/>
  <c r="D14" i="10"/>
  <c r="L95" i="10"/>
  <c r="D163" i="14"/>
  <c r="D112" i="14"/>
  <c r="D114" i="14"/>
  <c r="G104" i="11"/>
  <c r="G98" i="11"/>
  <c r="G97" i="11"/>
  <c r="D113" i="14"/>
  <c r="F112" i="14"/>
  <c r="B138" i="14"/>
  <c r="C138" i="14"/>
  <c r="G92" i="11"/>
  <c r="I84" i="11"/>
  <c r="F94" i="12"/>
  <c r="I22" i="11"/>
  <c r="G69" i="11"/>
  <c r="I17" i="11"/>
  <c r="I19" i="11"/>
  <c r="F166" i="14"/>
  <c r="C188" i="14"/>
  <c r="B189" i="14"/>
  <c r="C166" i="14"/>
  <c r="D115" i="14"/>
  <c r="D20" i="10"/>
  <c r="D12" i="10"/>
  <c r="D18" i="10"/>
  <c r="D19" i="10"/>
  <c r="F61" i="12"/>
  <c r="F104" i="12"/>
  <c r="E18" i="10"/>
  <c r="E19" i="10"/>
  <c r="E12" i="10"/>
  <c r="I85" i="10"/>
  <c r="I13" i="10"/>
  <c r="I14" i="10"/>
  <c r="E85" i="10"/>
  <c r="E13" i="10"/>
  <c r="E14" i="10"/>
  <c r="D18" i="12"/>
  <c r="C140" i="14"/>
  <c r="F113" i="14"/>
  <c r="B139" i="14"/>
  <c r="B137" i="14"/>
  <c r="C165" i="14"/>
  <c r="F100" i="12"/>
  <c r="E84" i="11"/>
  <c r="E14" i="11"/>
  <c r="E15" i="11"/>
  <c r="E17" i="11"/>
  <c r="E57" i="11"/>
  <c r="E11" i="11"/>
  <c r="G19" i="11"/>
  <c r="G11" i="11"/>
  <c r="G57" i="11"/>
  <c r="E26" i="11"/>
  <c r="E13" i="11"/>
  <c r="E19" i="11"/>
  <c r="E24" i="11"/>
  <c r="F20" i="10"/>
  <c r="F18" i="10"/>
  <c r="F12" i="10"/>
  <c r="L10" i="10"/>
  <c r="E22" i="11"/>
  <c r="E20" i="11"/>
  <c r="G17" i="11"/>
  <c r="I20" i="11"/>
  <c r="G84" i="11"/>
  <c r="I14" i="11"/>
  <c r="F137" i="12"/>
  <c r="F134" i="12"/>
  <c r="F135" i="12"/>
  <c r="F136" i="12"/>
  <c r="D19" i="11"/>
  <c r="D24" i="11"/>
  <c r="D13" i="11"/>
  <c r="D26" i="11"/>
  <c r="G13" i="11"/>
  <c r="H20" i="10"/>
  <c r="G20" i="10"/>
  <c r="E20" i="10"/>
  <c r="F53" i="12"/>
  <c r="L85" i="10"/>
  <c r="D20" i="12"/>
  <c r="D21" i="12"/>
  <c r="D14" i="12"/>
  <c r="D22" i="12"/>
  <c r="F80" i="12"/>
  <c r="D22" i="11"/>
  <c r="D20" i="11"/>
  <c r="I18" i="10"/>
  <c r="I19" i="10"/>
  <c r="I20" i="10"/>
  <c r="I12" i="10"/>
  <c r="F23" i="14"/>
  <c r="I24" i="11"/>
  <c r="F19" i="10"/>
  <c r="F17" i="14"/>
  <c r="F25" i="14"/>
  <c r="F20" i="14"/>
  <c r="F21" i="14"/>
  <c r="D25" i="14"/>
  <c r="D26" i="14"/>
  <c r="D19" i="14"/>
  <c r="D27" i="14"/>
  <c r="G24" i="11"/>
  <c r="G22" i="11"/>
  <c r="G20" i="11"/>
  <c r="F19" i="14"/>
  <c r="F27" i="14"/>
  <c r="I25" i="11"/>
  <c r="D25" i="11"/>
  <c r="L13" i="10"/>
  <c r="L14" i="10"/>
  <c r="E25" i="11"/>
  <c r="L18" i="10"/>
  <c r="L19" i="10"/>
  <c r="L12" i="10"/>
  <c r="L20" i="10"/>
  <c r="F26" i="14"/>
  <c r="F15" i="12"/>
  <c r="F16" i="12"/>
  <c r="G14" i="11"/>
  <c r="I15" i="11"/>
  <c r="I26" i="11"/>
  <c r="G25" i="11"/>
  <c r="F20" i="12"/>
  <c r="F21" i="12"/>
  <c r="G15" i="11"/>
  <c r="G26" i="11"/>
  <c r="F22" i="12"/>
  <c r="F14" i="12"/>
  <c r="G27" i="11"/>
  <c r="H132" i="12"/>
  <c r="H134" i="12"/>
  <c r="H135" i="12"/>
  <c r="H136" i="12"/>
  <c r="H137" i="12"/>
  <c r="I132" i="12"/>
  <c r="I134" i="12"/>
  <c r="I135" i="12"/>
  <c r="I136" i="12"/>
  <c r="I137" i="12"/>
  <c r="J132" i="12"/>
  <c r="J134" i="12"/>
  <c r="J135" i="12"/>
  <c r="J136" i="12"/>
  <c r="J137" i="12"/>
  <c r="K132" i="12"/>
  <c r="K134" i="12"/>
  <c r="K135" i="12"/>
  <c r="K136" i="12"/>
  <c r="K137" i="12"/>
</calcChain>
</file>

<file path=xl/sharedStrings.xml><?xml version="1.0" encoding="utf-8"?>
<sst xmlns="http://schemas.openxmlformats.org/spreadsheetml/2006/main" count="1718" uniqueCount="625">
  <si>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</si>
  <si>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</si>
  <si>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</si>
  <si>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</si>
  <si>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</si>
  <si>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</si>
  <si>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</si>
  <si>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</si>
  <si>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</si>
  <si>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</si>
  <si>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</si>
  <si>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</si>
  <si>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</si>
  <si>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</si>
  <si>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</si>
  <si>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</si>
  <si>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</si>
  <si>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</si>
  <si>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</si>
  <si>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</si>
  <si>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</si>
  <si>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</si>
  <si>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</si>
  <si>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</si>
  <si>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</si>
  <si>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</si>
  <si>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</si>
  <si>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</si>
  <si>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</si>
  <si>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</si>
  <si>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</si>
  <si>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</si>
  <si>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</si>
  <si>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</si>
  <si>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</si>
  <si>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</si>
  <si>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</si>
  <si>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</si>
  <si>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</si>
  <si>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</si>
  <si>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</si>
  <si>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</si>
  <si>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</si>
  <si>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</si>
  <si>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</si>
  <si>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</si>
  <si>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</si>
  <si>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</si>
  <si>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</si>
  <si>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</si>
  <si>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</si>
  <si>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</si>
  <si>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</si>
  <si>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</si>
  <si>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</si>
  <si>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</si>
  <si>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</si>
  <si>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</si>
  <si>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</si>
  <si>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</si>
  <si>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</si>
  <si>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</si>
  <si>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</si>
  <si>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</si>
  <si>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</si>
  <si>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</si>
  <si>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</si>
  <si>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</si>
  <si>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</si>
  <si>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</si>
  <si>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</si>
  <si>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</si>
  <si>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</si>
  <si>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</si>
  <si>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</si>
  <si>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</si>
  <si>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</si>
  <si>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</si>
  <si>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</si>
  <si>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</si>
  <si>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</si>
  <si>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</si>
  <si>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</si>
  <si>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</si>
  <si>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</si>
  <si>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</si>
  <si>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</si>
  <si>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</si>
  <si>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</si>
  <si>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</si>
  <si>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</si>
  <si>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</si>
  <si>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</si>
  <si>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</si>
  <si>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</si>
  <si>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</si>
  <si>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</si>
  <si>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</si>
  <si>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</si>
  <si>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</si>
  <si>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</si>
  <si>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</si>
  <si>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</si>
  <si>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</si>
  <si>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</si>
  <si>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</si>
  <si>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</si>
  <si>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</si>
  <si>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</si>
  <si>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</si>
  <si>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</si>
  <si>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</si>
  <si>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</si>
  <si>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</si>
  <si>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</si>
  <si>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</si>
  <si>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</si>
  <si>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</si>
  <si>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</si>
  <si>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</si>
  <si>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</si>
  <si>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</si>
  <si>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</si>
  <si>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</si>
  <si>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</si>
  <si>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</si>
  <si>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</si>
  <si>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</si>
  <si>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</si>
  <si>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</si>
  <si>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</si>
  <si>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</si>
  <si>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</si>
  <si>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</si>
  <si>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</si>
  <si>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</si>
  <si>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</si>
  <si>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</si>
  <si>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</si>
  <si>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</si>
  <si>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</si>
  <si>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</si>
  <si>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</si>
  <si>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</si>
  <si>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</si>
  <si>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</si>
  <si>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</si>
  <si>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</si>
  <si>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</si>
  <si>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</si>
  <si>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</si>
  <si>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</si>
  <si>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</si>
  <si>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</si>
  <si>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</si>
  <si>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</si>
  <si>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</si>
  <si>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</si>
  <si>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</si>
  <si>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</si>
  <si>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</si>
  <si>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</si>
  <si>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</si>
  <si>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</si>
  <si>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</si>
  <si>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</si>
  <si>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</si>
  <si>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</si>
  <si>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</si>
  <si>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</si>
  <si>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</si>
  <si>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</si>
  <si>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</si>
  <si>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</si>
  <si>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</si>
  <si>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</si>
  <si>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</si>
  <si>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</si>
  <si>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</si>
  <si>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</si>
  <si>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</si>
  <si>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</si>
  <si>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</si>
  <si>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</si>
  <si>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</si>
  <si>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</si>
  <si>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</si>
  <si>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</si>
  <si>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</si>
  <si>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</si>
  <si>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</si>
  <si>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</si>
  <si>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</si>
  <si>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</si>
  <si>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</si>
  <si>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</si>
  <si>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</si>
  <si>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</si>
  <si>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</si>
  <si>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</si>
  <si>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</si>
  <si>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</si>
  <si>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</si>
  <si>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</si>
  <si>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</si>
  <si>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</si>
  <si>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</si>
  <si>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</si>
  <si>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</si>
  <si>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</si>
  <si>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</si>
  <si>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</si>
  <si>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</si>
  <si>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</si>
  <si>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</si>
  <si>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</si>
  <si>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</si>
  <si>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</si>
  <si>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</si>
  <si>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</si>
  <si>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</si>
  <si>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</si>
  <si>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</si>
  <si>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</si>
  <si>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</si>
  <si>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</si>
  <si>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</si>
  <si>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</si>
  <si>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</si>
  <si>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</si>
  <si>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</si>
  <si>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</si>
  <si>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</si>
  <si>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</si>
  <si>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</si>
  <si>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</si>
  <si>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</si>
  <si>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</si>
  <si>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</si>
  <si>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</si>
  <si>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</si>
  <si>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</si>
  <si>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</si>
  <si>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</si>
  <si>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</si>
  <si>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</si>
  <si>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</si>
  <si>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</si>
  <si>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</si>
  <si>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</si>
  <si>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</si>
  <si>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</si>
  <si>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</si>
  <si>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</si>
  <si>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</si>
  <si>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</si>
  <si>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</si>
  <si>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</si>
  <si>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</si>
  <si>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</si>
  <si>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</si>
  <si>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</si>
  <si>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</si>
  <si>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</si>
  <si>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</si>
  <si>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</si>
  <si>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</si>
  <si>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</si>
  <si>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</si>
  <si>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</si>
  <si>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</si>
  <si>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</si>
  <si>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</si>
  <si>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</si>
  <si>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</si>
  <si>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</si>
  <si>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</si>
  <si>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</si>
  <si>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</si>
  <si>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</si>
  <si>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</si>
  <si>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</si>
  <si>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</si>
  <si>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</si>
  <si>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</si>
  <si>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</si>
  <si>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</si>
  <si>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</si>
  <si>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</si>
  <si>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</si>
  <si>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</si>
  <si>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</si>
  <si>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</si>
  <si>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</si>
  <si>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</si>
  <si>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</si>
  <si>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</si>
  <si>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</si>
  <si>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</si>
  <si>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</si>
  <si>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</si>
  <si>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</si>
  <si>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</si>
  <si>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</si>
  <si>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</si>
  <si>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</si>
  <si>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</si>
  <si>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</si>
  <si>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</si>
  <si>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</si>
  <si>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</si>
  <si>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</si>
  <si>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</si>
  <si>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</si>
  <si>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</si>
  <si>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</si>
  <si>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</si>
  <si>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</si>
  <si>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</si>
  <si>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</si>
  <si>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</si>
  <si>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</si>
  <si>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</si>
  <si>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</si>
  <si>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</si>
  <si>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</si>
  <si>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</si>
  <si>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</si>
  <si>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</si>
  <si>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</si>
  <si>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</si>
  <si>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</si>
  <si>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</si>
  <si>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</si>
  <si>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</si>
  <si>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</si>
  <si>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</si>
  <si>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</si>
  <si>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</si>
  <si>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</si>
  <si>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</si>
  <si>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</si>
  <si>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</si>
  <si>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</si>
  <si>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</si>
  <si>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</si>
  <si>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</si>
  <si>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</si>
  <si>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</si>
  <si>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</si>
  <si>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</si>
  <si>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</si>
  <si>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</si>
  <si>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</si>
  <si>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</si>
  <si>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</si>
  <si>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</si>
  <si>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</si>
  <si>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</si>
  <si>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</si>
  <si>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</si>
  <si>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</si>
  <si>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</si>
  <si>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</si>
  <si>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</si>
  <si>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</si>
  <si>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</si>
  <si>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</si>
  <si>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</si>
  <si>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</si>
  <si>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</si>
  <si>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</si>
  <si>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</si>
  <si>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</si>
  <si>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</si>
  <si>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</si>
  <si>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</si>
  <si>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</si>
  <si>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</si>
  <si>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</si>
  <si>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</si>
  <si>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</si>
  <si>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</si>
  <si>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</si>
  <si>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</si>
  <si>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</si>
  <si>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</si>
  <si>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</si>
  <si>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</si>
  <si>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</si>
  <si>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</si>
  <si>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</si>
  <si>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</si>
  <si>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</si>
  <si>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</si>
  <si>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</si>
  <si>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</si>
  <si>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</si>
  <si>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</si>
  <si>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</si>
  <si>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</si>
  <si>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</si>
  <si>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</si>
  <si>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</si>
  <si>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</si>
  <si>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</si>
  <si>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</si>
  <si>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</si>
  <si>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</si>
  <si>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</si>
  <si>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</si>
  <si>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</si>
  <si>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</si>
  <si>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</si>
  <si>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</si>
  <si>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</si>
  <si>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</si>
  <si>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</si>
  <si>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</si>
  <si>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</si>
  <si>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</si>
  <si>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</si>
  <si>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</si>
  <si>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</si>
  <si>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</si>
  <si>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</si>
  <si>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</si>
  <si>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</si>
  <si>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</si>
  <si>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</si>
  <si>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</si>
  <si>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</si>
  <si>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</si>
  <si>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</si>
  <si>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</si>
  <si>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</si>
  <si>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</si>
  <si>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</si>
  <si>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</si>
  <si>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</si>
  <si>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</si>
  <si>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</si>
  <si>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</si>
  <si>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</si>
  <si>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</si>
  <si>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</si>
  <si>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</si>
  <si>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</si>
  <si>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</si>
  <si>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</si>
  <si>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</si>
  <si>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</si>
  <si>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</si>
  <si>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</si>
  <si>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</si>
  <si>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</si>
  <si>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</si>
  <si>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</si>
  <si>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</si>
  <si>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</si>
  <si>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</si>
  <si>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</si>
  <si>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</si>
  <si>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</si>
  <si>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</si>
  <si>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</si>
  <si>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</si>
  <si>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</si>
  <si>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</si>
  <si>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</si>
  <si>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</si>
  <si>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</si>
  <si>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</si>
  <si>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</si>
  <si>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</si>
  <si>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</si>
  <si>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</si>
  <si>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</si>
  <si>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</si>
  <si>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</si>
  <si>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</si>
  <si>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</si>
  <si>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</si>
  <si>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</si>
  <si>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</si>
  <si>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</si>
  <si>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</si>
  <si>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</si>
  <si>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</si>
  <si>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</si>
  <si>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</si>
  <si>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</si>
  <si>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</si>
  <si>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</si>
  <si>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</si>
  <si>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</si>
  <si>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</si>
  <si>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</si>
  <si>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</si>
  <si>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</si>
  <si>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</si>
  <si>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</si>
  <si>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</si>
  <si>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</si>
  <si>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</si>
  <si>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</si>
  <si>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</si>
  <si>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</si>
  <si>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</si>
  <si>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</si>
  <si>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</si>
  <si>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</si>
  <si>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</si>
  <si>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</si>
  <si>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</si>
  <si>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</si>
  <si>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</si>
  <si>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</si>
  <si>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</si>
  <si>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</si>
  <si>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</si>
  <si>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</si>
  <si>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</si>
  <si>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</si>
  <si>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</si>
  <si>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</si>
  <si>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</si>
  <si>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</si>
  <si>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</si>
  <si>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</si>
  <si>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</si>
  <si>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</si>
  <si>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</si>
  <si>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</si>
  <si>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</si>
  <si>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</si>
  <si>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</si>
  <si>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</si>
  <si>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</si>
  <si>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</si>
  <si>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</si>
  <si>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</si>
  <si>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</si>
  <si>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</si>
  <si>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</si>
  <si>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</si>
  <si>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</si>
  <si>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</si>
  <si>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</si>
  <si>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</si>
  <si>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</si>
  <si>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</si>
  <si>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</si>
  <si>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</si>
  <si>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</si>
  <si>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</si>
  <si>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</si>
  <si>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</si>
  <si>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</si>
  <si>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</si>
  <si>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</si>
  <si>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</si>
  <si>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</si>
  <si>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</si>
  <si>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</si>
  <si>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</si>
  <si>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</si>
  <si>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</si>
  <si>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</si>
  <si>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</si>
  <si>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</si>
  <si>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</si>
  <si>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</si>
  <si>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</si>
  <si>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</si>
  <si>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</si>
  <si>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</si>
  <si>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</si>
  <si>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</si>
  <si>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</si>
  <si>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</si>
  <si>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</si>
  <si>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</si>
  <si>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</si>
  <si>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</si>
  <si>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</si>
  <si>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</si>
  <si>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</si>
  <si>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</si>
  <si>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</si>
  <si>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</si>
  <si>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</si>
  <si>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</si>
  <si>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</si>
  <si>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</si>
  <si>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</si>
  <si>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</si>
  <si>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</si>
  <si>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</si>
  <si>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</si>
  <si>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</si>
  <si>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</si>
  <si>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</si>
  <si>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piso12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</si>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</sst>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3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94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5" fillId="7" borderId="0" xfId="0" applyFont="1" applyFill="1" applyAlignment="1">
      <alignment horizontal="lef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5" fillId="0" borderId="10" xfId="3" applyFont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jpeg"/><Relationship Id="rId1" Type="http://schemas.openxmlformats.org/officeDocument/2006/relationships/image" Target="../media/image2.jpeg"/><Relationship Id="rId5" Type="http://schemas.openxmlformats.org/officeDocument/2006/relationships/image" Target="../media/image8.jpeg"/><Relationship Id="rId4" Type="http://schemas.openxmlformats.org/officeDocument/2006/relationships/image" Target="../media/image7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500743</xdr:colOff>
      <xdr:row>0</xdr:row>
      <xdr:rowOff>54429</xdr:rowOff>
    </xdr:from>
    <xdr:to>
      <xdr:col>19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3533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3533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3533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3533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3533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3533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3533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3533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3533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3533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7150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5057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3566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5057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3566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3566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97813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160422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37</xdr:row>
      <xdr:rowOff>43119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3804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54304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54304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54304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54304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54304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54304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54304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54304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484886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25526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54304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54304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64464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30758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794512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59536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582360</xdr:colOff>
      <xdr:row>0</xdr:row>
      <xdr:rowOff>309033</xdr:rowOff>
    </xdr:from>
    <xdr:to>
      <xdr:col>21</xdr:col>
      <xdr:colOff>308261</xdr:colOff>
      <xdr:row>5</xdr:row>
      <xdr:rowOff>22860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13637960" y="309033"/>
          <a:ext cx="285518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12</xdr:col>
      <xdr:colOff>501226</xdr:colOff>
      <xdr:row>0</xdr:row>
      <xdr:rowOff>233680</xdr:rowOff>
    </xdr:from>
    <xdr:to>
      <xdr:col>16</xdr:col>
      <xdr:colOff>733434</xdr:colOff>
      <xdr:row>5</xdr:row>
      <xdr:rowOff>179309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9645226" y="233680"/>
          <a:ext cx="33614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12</xdr:col>
      <xdr:colOff>472268</xdr:colOff>
      <xdr:row>19</xdr:row>
      <xdr:rowOff>76604</xdr:rowOff>
    </xdr:from>
    <xdr:to>
      <xdr:col>17</xdr:col>
      <xdr:colOff>42186</xdr:colOff>
      <xdr:row>35</xdr:row>
      <xdr:rowOff>83819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6268" y="499404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640917</xdr:colOff>
      <xdr:row>6</xdr:row>
      <xdr:rowOff>60776</xdr:rowOff>
    </xdr:from>
    <xdr:to>
      <xdr:col>21</xdr:col>
      <xdr:colOff>460659</xdr:colOff>
      <xdr:row>18</xdr:row>
      <xdr:rowOff>131822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13696517" y="233661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426720</xdr:colOff>
      <xdr:row>6</xdr:row>
      <xdr:rowOff>132558</xdr:rowOff>
    </xdr:from>
    <xdr:to>
      <xdr:col>17</xdr:col>
      <xdr:colOff>25199</xdr:colOff>
      <xdr:row>18</xdr:row>
      <xdr:rowOff>174155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9570720" y="240839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589794</xdr:colOff>
      <xdr:row>19</xdr:row>
      <xdr:rowOff>86176</xdr:rowOff>
    </xdr:from>
    <xdr:to>
      <xdr:col>21</xdr:col>
      <xdr:colOff>459187</xdr:colOff>
      <xdr:row>35</xdr:row>
      <xdr:rowOff>51057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13645394" y="500361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416143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416143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416143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416143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416143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180614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736874" y="1231900"/>
          <a:ext cx="436155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256814" y="2139043"/>
          <a:ext cx="890815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416143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416143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416143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416143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454243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107386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760529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413671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066814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719957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550900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51497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51497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51497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51497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51497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51497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51497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51497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51497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51497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21005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65467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643572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139700</xdr:colOff>
      <xdr:row>2</xdr:row>
      <xdr:rowOff>63500</xdr:rowOff>
    </xdr:from>
    <xdr:to>
      <xdr:col>9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721677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139700</xdr:colOff>
      <xdr:row>2</xdr:row>
      <xdr:rowOff>63500</xdr:rowOff>
    </xdr:from>
    <xdr:to>
      <xdr:col>10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799782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425449</xdr:colOff>
      <xdr:row>1</xdr:row>
      <xdr:rowOff>25399</xdr:rowOff>
    </xdr:from>
    <xdr:to>
      <xdr:col>15</xdr:col>
      <xdr:colOff>523874</xdr:colOff>
      <xdr:row>8</xdr:row>
      <xdr:rowOff>114299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9064624" y="882649"/>
          <a:ext cx="3222625" cy="18700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11</xdr:col>
      <xdr:colOff>428625</xdr:colOff>
      <xdr:row>9</xdr:row>
      <xdr:rowOff>76200</xdr:rowOff>
    </xdr:from>
    <xdr:to>
      <xdr:col>15</xdr:col>
      <xdr:colOff>485775</xdr:colOff>
      <xdr:row>21</xdr:row>
      <xdr:rowOff>158115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12973050" y="2914650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topLeftCell="A5"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4" customWidth="1"/>
    <col min="14" max="14" width="19.88671875" style="184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5"/>
      <c r="J4" s="185"/>
      <c r="K4" s="185"/>
      <c r="L4" s="185"/>
      <c r="M4" s="185"/>
      <c r="N4" s="185"/>
    </row>
    <row r="5" spans="1:16" ht="25.2" x14ac:dyDescent="0.25">
      <c r="A5" s="331" t="s">
        <v>297</v>
      </c>
      <c r="B5" s="332"/>
      <c r="C5" s="332"/>
      <c r="D5" s="332"/>
      <c r="E5" s="332"/>
      <c r="F5" s="332"/>
      <c r="G5" s="332"/>
      <c r="H5" s="332"/>
      <c r="I5" s="332"/>
      <c r="J5" s="332"/>
      <c r="K5" s="332"/>
      <c r="L5" s="333"/>
      <c r="M5" s="186" t="s">
        <v>298</v>
      </c>
      <c r="N5" s="187" t="s">
        <v>299</v>
      </c>
      <c r="O5" s="188"/>
      <c r="P5" s="188"/>
    </row>
    <row r="6" spans="1:16" ht="18" x14ac:dyDescent="0.25">
      <c r="A6" s="189" t="s">
        <v>300</v>
      </c>
      <c r="B6" s="190"/>
      <c r="C6" s="190" t="s">
        <v>301</v>
      </c>
      <c r="D6" s="190"/>
      <c r="E6" s="190"/>
      <c r="F6" s="190"/>
      <c r="G6" s="190"/>
      <c r="H6" s="190"/>
      <c r="I6" s="190"/>
      <c r="J6" s="190"/>
      <c r="K6" s="191"/>
      <c r="L6" s="189" t="s">
        <v>302</v>
      </c>
      <c r="M6" s="334">
        <v>41957</v>
      </c>
      <c r="N6" s="335"/>
      <c r="O6" s="192"/>
      <c r="P6" s="192"/>
    </row>
    <row r="7" spans="1:16" ht="18" x14ac:dyDescent="0.25">
      <c r="A7" s="189" t="s">
        <v>303</v>
      </c>
      <c r="B7" s="193"/>
      <c r="C7" s="193" t="s">
        <v>304</v>
      </c>
      <c r="D7" s="190"/>
      <c r="E7" s="190"/>
      <c r="F7" s="193"/>
      <c r="G7" s="190"/>
      <c r="H7" s="190"/>
      <c r="I7" s="190"/>
      <c r="J7" s="190"/>
      <c r="K7" s="191"/>
      <c r="L7" s="194" t="s">
        <v>305</v>
      </c>
      <c r="M7" s="195"/>
      <c r="N7" s="196"/>
      <c r="O7" s="192"/>
      <c r="P7" s="192"/>
    </row>
    <row r="8" spans="1:16" ht="15.6" x14ac:dyDescent="0.3">
      <c r="A8" s="336" t="s">
        <v>306</v>
      </c>
      <c r="B8" s="338" t="s">
        <v>307</v>
      </c>
      <c r="C8" s="340" t="s">
        <v>308</v>
      </c>
      <c r="D8" s="341"/>
      <c r="E8" s="342"/>
      <c r="F8" s="340" t="s">
        <v>309</v>
      </c>
      <c r="G8" s="342"/>
      <c r="H8" s="197" t="s">
        <v>310</v>
      </c>
      <c r="I8" s="343" t="s">
        <v>311</v>
      </c>
      <c r="J8" s="343"/>
      <c r="K8" s="343"/>
      <c r="L8" s="344"/>
      <c r="M8" s="347" t="s">
        <v>312</v>
      </c>
      <c r="N8" s="348"/>
      <c r="O8" s="198"/>
      <c r="P8" s="198"/>
    </row>
    <row r="9" spans="1:16" ht="15.6" x14ac:dyDescent="0.3">
      <c r="A9" s="337"/>
      <c r="B9" s="339"/>
      <c r="C9" s="199" t="s">
        <v>313</v>
      </c>
      <c r="D9" s="197" t="s">
        <v>314</v>
      </c>
      <c r="E9" s="200" t="s">
        <v>315</v>
      </c>
      <c r="F9" s="199" t="s">
        <v>307</v>
      </c>
      <c r="G9" s="201" t="s">
        <v>316</v>
      </c>
      <c r="H9" s="202" t="s">
        <v>317</v>
      </c>
      <c r="I9" s="345"/>
      <c r="J9" s="345"/>
      <c r="K9" s="345"/>
      <c r="L9" s="346"/>
      <c r="M9" s="203" t="s">
        <v>318</v>
      </c>
      <c r="N9" s="203" t="s">
        <v>319</v>
      </c>
      <c r="O9" s="198"/>
      <c r="P9" s="198"/>
    </row>
    <row r="10" spans="1:16" ht="117" customHeight="1" x14ac:dyDescent="0.3">
      <c r="A10" s="204">
        <v>1</v>
      </c>
      <c r="B10" s="205">
        <v>1</v>
      </c>
      <c r="C10" s="206"/>
      <c r="D10" s="207"/>
      <c r="E10" s="208"/>
      <c r="F10" s="209">
        <v>269.98</v>
      </c>
      <c r="G10" s="210" t="s">
        <v>34</v>
      </c>
      <c r="H10" s="211" t="s">
        <v>320</v>
      </c>
      <c r="I10" s="349" t="s">
        <v>321</v>
      </c>
      <c r="J10" s="349"/>
      <c r="K10" s="349"/>
      <c r="L10" s="350"/>
      <c r="M10" s="212">
        <f>+N10/F10</f>
        <v>70.597673901770492</v>
      </c>
      <c r="N10" s="212">
        <v>19059.96</v>
      </c>
      <c r="O10" s="213"/>
      <c r="P10" s="213"/>
    </row>
    <row r="11" spans="1:16" ht="117" customHeight="1" x14ac:dyDescent="0.3">
      <c r="A11" s="214">
        <v>2</v>
      </c>
      <c r="B11" s="215">
        <v>1</v>
      </c>
      <c r="C11" s="216"/>
      <c r="D11" s="217"/>
      <c r="E11" s="218"/>
      <c r="F11" s="219">
        <v>55.92</v>
      </c>
      <c r="G11" s="220" t="s">
        <v>34</v>
      </c>
      <c r="H11" s="221" t="s">
        <v>322</v>
      </c>
      <c r="I11" s="351" t="s">
        <v>323</v>
      </c>
      <c r="J11" s="351"/>
      <c r="K11" s="351"/>
      <c r="L11" s="352"/>
      <c r="M11" s="222">
        <f>+N11/F11</f>
        <v>89.521638054363379</v>
      </c>
      <c r="N11" s="222">
        <v>5006.05</v>
      </c>
      <c r="O11" s="213"/>
      <c r="P11" s="213"/>
    </row>
    <row r="12" spans="1:16" ht="117" customHeight="1" x14ac:dyDescent="0.3">
      <c r="A12" s="204">
        <v>3</v>
      </c>
      <c r="B12" s="205">
        <v>1</v>
      </c>
      <c r="C12" s="206"/>
      <c r="D12" s="207"/>
      <c r="E12" s="208"/>
      <c r="F12" s="209">
        <v>18.52</v>
      </c>
      <c r="G12" s="210" t="s">
        <v>34</v>
      </c>
      <c r="H12" s="211" t="s">
        <v>322</v>
      </c>
      <c r="I12" s="349" t="s">
        <v>324</v>
      </c>
      <c r="J12" s="349"/>
      <c r="K12" s="349"/>
      <c r="L12" s="350"/>
      <c r="M12" s="212">
        <f>+N12/F12</f>
        <v>51.467062634989198</v>
      </c>
      <c r="N12" s="212">
        <v>953.17</v>
      </c>
      <c r="O12" s="213"/>
      <c r="P12" s="213"/>
    </row>
    <row r="13" spans="1:16" ht="117" customHeight="1" x14ac:dyDescent="0.3">
      <c r="A13" s="214">
        <v>4</v>
      </c>
      <c r="B13" s="215">
        <v>1</v>
      </c>
      <c r="C13" s="223"/>
      <c r="D13" s="217"/>
      <c r="E13" s="224"/>
      <c r="F13" s="219">
        <v>67.98</v>
      </c>
      <c r="G13" s="220" t="s">
        <v>34</v>
      </c>
      <c r="H13" s="221" t="s">
        <v>325</v>
      </c>
      <c r="I13" s="353" t="s">
        <v>326</v>
      </c>
      <c r="J13" s="351"/>
      <c r="K13" s="351"/>
      <c r="L13" s="352"/>
      <c r="M13" s="222">
        <f>+N13/F13</f>
        <v>53.781259193880551</v>
      </c>
      <c r="N13" s="222">
        <v>3656.05</v>
      </c>
      <c r="O13" s="213"/>
      <c r="P13" s="213"/>
    </row>
    <row r="14" spans="1:16" ht="117" customHeight="1" x14ac:dyDescent="0.3">
      <c r="A14" s="204">
        <v>5</v>
      </c>
      <c r="B14" s="205">
        <v>1</v>
      </c>
      <c r="C14" s="225"/>
      <c r="D14" s="207"/>
      <c r="E14" s="226"/>
      <c r="F14" s="209">
        <v>16.97</v>
      </c>
      <c r="G14" s="210" t="s">
        <v>34</v>
      </c>
      <c r="H14" s="211" t="s">
        <v>327</v>
      </c>
      <c r="I14" s="354" t="s">
        <v>328</v>
      </c>
      <c r="J14" s="349"/>
      <c r="K14" s="349"/>
      <c r="L14" s="350"/>
      <c r="M14" s="212">
        <f>+N14/F14</f>
        <v>85.923983500294653</v>
      </c>
      <c r="N14" s="212">
        <v>1458.13</v>
      </c>
      <c r="O14" s="213"/>
      <c r="P14" s="213"/>
    </row>
    <row r="15" spans="1:16" ht="17.399999999999999" x14ac:dyDescent="0.3">
      <c r="A15" s="214"/>
      <c r="B15" s="215"/>
      <c r="C15" s="227"/>
      <c r="D15" s="228"/>
      <c r="E15" s="229"/>
      <c r="F15" s="219"/>
      <c r="G15" s="220"/>
      <c r="H15" s="221"/>
      <c r="I15" s="325"/>
      <c r="J15" s="326"/>
      <c r="K15" s="326"/>
      <c r="L15" s="327"/>
      <c r="M15" s="222"/>
      <c r="N15" s="222"/>
      <c r="O15" s="213"/>
      <c r="P15" s="213"/>
    </row>
    <row r="16" spans="1:16" ht="17.399999999999999" x14ac:dyDescent="0.3">
      <c r="A16" s="204"/>
      <c r="B16" s="205"/>
      <c r="C16" s="230"/>
      <c r="D16" s="207"/>
      <c r="E16" s="231"/>
      <c r="F16" s="209"/>
      <c r="G16" s="210"/>
      <c r="H16" s="211"/>
      <c r="I16" s="328"/>
      <c r="J16" s="329"/>
      <c r="K16" s="329"/>
      <c r="L16" s="330"/>
      <c r="M16" s="212"/>
      <c r="N16" s="212"/>
      <c r="O16" s="213"/>
      <c r="P16" s="213"/>
    </row>
    <row r="17" spans="1:16" ht="18" x14ac:dyDescent="0.25">
      <c r="A17" s="355" t="s">
        <v>329</v>
      </c>
      <c r="B17" s="356"/>
      <c r="C17" s="356"/>
      <c r="D17" s="356"/>
      <c r="E17" s="357"/>
      <c r="F17" s="232">
        <f>SUM(F10:F16)</f>
        <v>429.37</v>
      </c>
      <c r="G17" s="233" t="s">
        <v>34</v>
      </c>
      <c r="H17" s="355" t="s">
        <v>330</v>
      </c>
      <c r="I17" s="356"/>
      <c r="J17" s="356"/>
      <c r="K17" s="356"/>
      <c r="L17" s="234" t="s">
        <v>331</v>
      </c>
      <c r="M17" s="235">
        <f>+N17/F17</f>
        <v>70.180403847497487</v>
      </c>
      <c r="N17" s="235">
        <f>SUM(N10:N16)</f>
        <v>30133.359999999997</v>
      </c>
      <c r="O17" s="236"/>
      <c r="P17" s="236"/>
    </row>
    <row r="18" spans="1:16" ht="15.6" x14ac:dyDescent="0.3">
      <c r="A18" s="237" t="s">
        <v>332</v>
      </c>
      <c r="B18" s="238"/>
      <c r="C18" s="238"/>
      <c r="D18" s="238"/>
      <c r="E18" s="238" t="s">
        <v>333</v>
      </c>
      <c r="F18" s="238"/>
      <c r="G18" s="238"/>
      <c r="H18" s="238"/>
      <c r="I18" s="239"/>
      <c r="J18" s="358" t="s">
        <v>334</v>
      </c>
      <c r="K18" s="359"/>
      <c r="L18" s="359"/>
      <c r="M18" s="359"/>
      <c r="N18" s="360"/>
      <c r="O18" s="240"/>
      <c r="P18" s="240"/>
    </row>
    <row r="19" spans="1:16" ht="15.6" x14ac:dyDescent="0.3">
      <c r="A19" s="241"/>
      <c r="B19" s="198"/>
      <c r="C19" s="198"/>
      <c r="D19" s="198"/>
      <c r="E19" s="198" t="s">
        <v>335</v>
      </c>
      <c r="F19" s="198"/>
      <c r="G19" s="198"/>
      <c r="H19" s="198"/>
      <c r="I19" s="242"/>
      <c r="J19" s="361"/>
      <c r="K19" s="362"/>
      <c r="L19" s="362"/>
      <c r="M19" s="362"/>
      <c r="N19" s="363"/>
      <c r="O19" s="240"/>
      <c r="P19" s="240"/>
    </row>
    <row r="20" spans="1:16" ht="15" x14ac:dyDescent="0.25">
      <c r="A20" s="243"/>
      <c r="B20" s="240"/>
      <c r="C20" s="240"/>
      <c r="D20" s="240"/>
      <c r="E20" s="240"/>
      <c r="F20" s="240"/>
      <c r="G20" s="240"/>
      <c r="H20" s="240"/>
      <c r="I20" s="244"/>
      <c r="J20" s="364"/>
      <c r="K20" s="365"/>
      <c r="L20" s="365"/>
      <c r="M20" s="365"/>
      <c r="N20" s="366"/>
      <c r="O20" s="240"/>
      <c r="P20" s="240"/>
    </row>
    <row r="21" spans="1:16" ht="15.6" x14ac:dyDescent="0.3">
      <c r="A21" s="237" t="s">
        <v>336</v>
      </c>
      <c r="B21" s="238"/>
      <c r="C21" s="238"/>
      <c r="D21" s="238"/>
      <c r="E21" s="238" t="s">
        <v>337</v>
      </c>
      <c r="F21" s="238"/>
      <c r="G21" s="238"/>
      <c r="H21" s="238"/>
      <c r="I21" s="239"/>
      <c r="J21" s="245"/>
      <c r="K21" s="246"/>
      <c r="L21" s="246"/>
      <c r="M21" s="247"/>
      <c r="N21" s="248"/>
      <c r="O21" s="240"/>
      <c r="P21" s="240"/>
    </row>
    <row r="22" spans="1:16" ht="15.6" x14ac:dyDescent="0.3">
      <c r="A22" s="243"/>
      <c r="B22" s="240"/>
      <c r="C22" s="240"/>
      <c r="D22" s="198"/>
      <c r="E22" s="198" t="s">
        <v>338</v>
      </c>
      <c r="F22" s="240"/>
      <c r="G22" s="198"/>
      <c r="H22" s="198"/>
      <c r="I22" s="244"/>
      <c r="J22" s="243"/>
      <c r="K22" s="249"/>
      <c r="L22" s="249"/>
      <c r="M22" s="250"/>
      <c r="N22" s="251"/>
      <c r="O22" s="240"/>
      <c r="P22" s="240"/>
    </row>
    <row r="23" spans="1:16" ht="15.6" x14ac:dyDescent="0.3">
      <c r="A23" s="252"/>
      <c r="B23" s="249"/>
      <c r="C23" s="249"/>
      <c r="D23" s="253"/>
      <c r="E23" s="253" t="s">
        <v>339</v>
      </c>
      <c r="F23" s="249"/>
      <c r="G23" s="253"/>
      <c r="H23" s="253"/>
      <c r="I23" s="254"/>
      <c r="J23" s="367" t="s">
        <v>340</v>
      </c>
      <c r="K23" s="368"/>
      <c r="L23" s="368"/>
      <c r="M23" s="368"/>
      <c r="N23" s="369"/>
      <c r="O23" s="240"/>
      <c r="P23" s="240"/>
    </row>
    <row r="24" spans="1:16" ht="15.6" x14ac:dyDescent="0.3">
      <c r="A24" s="255" t="s">
        <v>341</v>
      </c>
      <c r="B24" s="253"/>
      <c r="C24" s="253"/>
      <c r="D24" s="253"/>
      <c r="E24" s="253" t="s">
        <v>342</v>
      </c>
      <c r="F24" s="253"/>
      <c r="G24" s="253"/>
      <c r="H24" s="253"/>
      <c r="I24" s="256"/>
      <c r="J24" s="370" t="s">
        <v>343</v>
      </c>
      <c r="K24" s="371"/>
      <c r="L24" s="371"/>
      <c r="M24" s="371"/>
      <c r="N24" s="372"/>
      <c r="O24" s="240"/>
      <c r="P24" s="240"/>
    </row>
  </sheetData>
  <mergeCells count="20">
    <mergeCell ref="A17:E17"/>
    <mergeCell ref="H17:K17"/>
    <mergeCell ref="J18:N20"/>
    <mergeCell ref="J23:N23"/>
    <mergeCell ref="J24:N24"/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</mergeCells>
  <pageMargins left="0.7" right="0.7" top="0.75" bottom="0.75" header="0.3" footer="0.3"/>
  <pageSetup scale="53" orientation="portrait" horizontalDpi="4294967293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topLeftCell="A15" zoomScale="70" zoomScaleNormal="70" workbookViewId="0">
      <selection activeCell="I192" sqref="I192"/>
    </sheetView>
  </sheetViews>
  <sheetFormatPr baseColWidth="10" defaultRowHeight="15.6" x14ac:dyDescent="0.3"/>
  <cols>
    <col min="1" max="1" width="8.6640625" bestFit="1" customWidth="1"/>
    <col min="2" max="2" width="57.6640625" style="2" customWidth="1"/>
    <col min="3" max="3" width="8.44140625" style="1" customWidth="1"/>
    <col min="4" max="5" width="11.6640625" style="2" bestFit="1" customWidth="1"/>
    <col min="6" max="7" width="11.44140625" style="3" bestFit="1" customWidth="1"/>
    <col min="8" max="8" width="31" style="4" customWidth="1"/>
    <col min="9" max="9" width="9.33203125" style="5" bestFit="1" customWidth="1"/>
    <col min="10" max="10" width="11.44140625" style="3" customWidth="1"/>
  </cols>
  <sheetData>
    <row r="1" spans="1:14" s="138" customFormat="1" ht="18" x14ac:dyDescent="0.35">
      <c r="B1" s="135" t="s">
        <v>0</v>
      </c>
      <c r="C1" s="136"/>
      <c r="D1" s="137"/>
      <c r="E1" s="137"/>
      <c r="H1" s="139"/>
      <c r="I1" s="5"/>
    </row>
    <row r="2" spans="1:14" s="138" customFormat="1" ht="7.5" customHeight="1" thickBot="1" x14ac:dyDescent="0.4">
      <c r="B2" s="135"/>
      <c r="C2" s="136"/>
      <c r="D2" s="137"/>
      <c r="E2" s="137"/>
      <c r="H2" s="139"/>
      <c r="I2" s="5"/>
    </row>
    <row r="3" spans="1:14" s="138" customFormat="1" x14ac:dyDescent="0.3">
      <c r="A3" s="140" t="s">
        <v>404</v>
      </c>
      <c r="B3" s="140" t="s">
        <v>1</v>
      </c>
      <c r="C3" s="141" t="s">
        <v>2</v>
      </c>
      <c r="D3" s="142" t="s">
        <v>3</v>
      </c>
      <c r="E3" s="142" t="s">
        <v>3</v>
      </c>
      <c r="F3" s="373" t="s">
        <v>4</v>
      </c>
      <c r="G3" s="374"/>
      <c r="H3" s="143" t="s">
        <v>5</v>
      </c>
      <c r="I3" s="5"/>
    </row>
    <row r="4" spans="1:14" s="138" customFormat="1" x14ac:dyDescent="0.3">
      <c r="A4" s="144"/>
      <c r="B4" s="144"/>
      <c r="C4" s="145"/>
      <c r="D4" s="146" t="s">
        <v>6</v>
      </c>
      <c r="E4" s="146" t="s">
        <v>7</v>
      </c>
      <c r="F4" s="147" t="s">
        <v>8</v>
      </c>
      <c r="G4" s="148" t="s">
        <v>9</v>
      </c>
      <c r="H4" s="149"/>
      <c r="I4" s="5"/>
    </row>
    <row r="5" spans="1:14" s="138" customFormat="1" ht="16.2" thickBot="1" x14ac:dyDescent="0.35">
      <c r="A5" s="150"/>
      <c r="B5" s="150"/>
      <c r="C5" s="151"/>
      <c r="D5" s="152" t="s">
        <v>10</v>
      </c>
      <c r="E5" s="152" t="s">
        <v>10</v>
      </c>
      <c r="F5" s="153" t="s">
        <v>10</v>
      </c>
      <c r="G5" s="154" t="s">
        <v>10</v>
      </c>
      <c r="H5" s="155"/>
      <c r="I5" s="5"/>
    </row>
    <row r="6" spans="1:14" s="138" customFormat="1" ht="16.2" thickBot="1" x14ac:dyDescent="0.35">
      <c r="A6" s="178"/>
      <c r="B6" s="156" t="s">
        <v>11</v>
      </c>
      <c r="C6" s="151"/>
      <c r="D6" s="152"/>
      <c r="E6" s="152"/>
      <c r="F6" s="153"/>
      <c r="G6" s="154"/>
      <c r="H6" s="155"/>
      <c r="I6" s="5"/>
    </row>
    <row r="7" spans="1:14" s="138" customFormat="1" ht="16.2" thickBot="1" x14ac:dyDescent="0.35">
      <c r="A7" s="319" t="s">
        <v>405</v>
      </c>
      <c r="B7" s="309" t="s">
        <v>12</v>
      </c>
      <c r="C7" s="310" t="s">
        <v>13</v>
      </c>
      <c r="D7" s="311">
        <f>ROUNDUP(F7*0.87*1.1/0.84,2)</f>
        <v>3.3099999999999996</v>
      </c>
      <c r="E7" s="311">
        <f>ROUNDUP(G7*1.1,2)</f>
        <v>3.19</v>
      </c>
      <c r="F7" s="315">
        <v>2.9</v>
      </c>
      <c r="G7" s="318">
        <v>2.9</v>
      </c>
      <c r="H7" s="163" t="s">
        <v>399</v>
      </c>
      <c r="I7" s="314">
        <f>(-E7+D7)/D7</f>
        <v>3.6253776435045217E-2</v>
      </c>
      <c r="J7" s="313"/>
      <c r="K7" s="313"/>
      <c r="L7" s="313"/>
      <c r="M7" s="313"/>
      <c r="N7" s="313"/>
    </row>
    <row r="8" spans="1:14" s="138" customFormat="1" ht="16.2" thickBot="1" x14ac:dyDescent="0.35">
      <c r="A8" s="319" t="s">
        <v>406</v>
      </c>
      <c r="B8" s="309" t="s">
        <v>14</v>
      </c>
      <c r="C8" s="310" t="s">
        <v>13</v>
      </c>
      <c r="D8" s="311">
        <f t="shared" ref="D8:D22" si="0">ROUNDUP(F8*0.87*1.1/0.84,2)</f>
        <v>7.1099999999999994</v>
      </c>
      <c r="E8" s="311">
        <f t="shared" ref="E8:E22" si="1">ROUNDUP(G8*1.1,2)</f>
        <v>6.59</v>
      </c>
      <c r="F8" s="315">
        <v>6.24</v>
      </c>
      <c r="G8" s="318">
        <f>+F8*0.96</f>
        <v>5.9904000000000002</v>
      </c>
      <c r="H8" s="163" t="s">
        <v>399</v>
      </c>
      <c r="I8" s="314">
        <f t="shared" ref="I8:I22" si="2">(-E8+D8)/D8</f>
        <v>7.3136427566807258E-2</v>
      </c>
      <c r="J8" s="313"/>
      <c r="K8" s="313"/>
      <c r="L8" s="313"/>
      <c r="M8" s="313"/>
      <c r="N8" s="313"/>
    </row>
    <row r="9" spans="1:14" s="138" customFormat="1" ht="16.2" thickBot="1" x14ac:dyDescent="0.35">
      <c r="A9" s="319" t="s">
        <v>407</v>
      </c>
      <c r="B9" s="157" t="s">
        <v>15</v>
      </c>
      <c r="C9" s="158" t="s">
        <v>16</v>
      </c>
      <c r="D9" s="159">
        <f t="shared" si="0"/>
        <v>0.75</v>
      </c>
      <c r="E9" s="159">
        <f t="shared" si="1"/>
        <v>0.72</v>
      </c>
      <c r="F9" s="160">
        <v>0.65</v>
      </c>
      <c r="G9" s="160">
        <v>0.65</v>
      </c>
      <c r="H9" s="162" t="s">
        <v>17</v>
      </c>
      <c r="I9" s="5">
        <f t="shared" si="2"/>
        <v>4.0000000000000036E-2</v>
      </c>
    </row>
    <row r="10" spans="1:14" s="138" customFormat="1" ht="16.2" thickBot="1" x14ac:dyDescent="0.35">
      <c r="A10" s="319" t="s">
        <v>408</v>
      </c>
      <c r="B10" s="309" t="s">
        <v>18</v>
      </c>
      <c r="C10" s="310" t="s">
        <v>19</v>
      </c>
      <c r="D10" s="311">
        <f t="shared" si="0"/>
        <v>0.9</v>
      </c>
      <c r="E10" s="311">
        <f t="shared" si="1"/>
        <v>0.87</v>
      </c>
      <c r="F10" s="315">
        <f>+L10/6</f>
        <v>0.78583333333333316</v>
      </c>
      <c r="G10" s="315">
        <f>+F10</f>
        <v>0.78583333333333316</v>
      </c>
      <c r="H10" s="163" t="s">
        <v>388</v>
      </c>
      <c r="I10" s="314">
        <f t="shared" si="2"/>
        <v>3.3333333333333361E-2</v>
      </c>
      <c r="J10" s="316">
        <f>6*0.159</f>
        <v>0.95399999999999996</v>
      </c>
      <c r="K10" s="317" t="s">
        <v>273</v>
      </c>
      <c r="L10" s="173">
        <f>4.1*1.15</f>
        <v>4.714999999999999</v>
      </c>
      <c r="M10" s="313" t="s">
        <v>257</v>
      </c>
      <c r="N10" s="313" t="s">
        <v>390</v>
      </c>
    </row>
    <row r="11" spans="1:14" s="138" customFormat="1" ht="16.2" thickBot="1" x14ac:dyDescent="0.35">
      <c r="A11" s="319" t="s">
        <v>409</v>
      </c>
      <c r="B11" s="309" t="s">
        <v>296</v>
      </c>
      <c r="C11" s="310" t="s">
        <v>19</v>
      </c>
      <c r="D11" s="311">
        <f t="shared" si="0"/>
        <v>1.29</v>
      </c>
      <c r="E11" s="311">
        <f t="shared" si="1"/>
        <v>1.25</v>
      </c>
      <c r="F11" s="315">
        <f t="shared" ref="F11:F16" si="3">+L11/6</f>
        <v>1.1308333333333334</v>
      </c>
      <c r="G11" s="315">
        <f>+F11</f>
        <v>1.1308333333333334</v>
      </c>
      <c r="H11" s="163" t="s">
        <v>389</v>
      </c>
      <c r="I11" s="314">
        <f t="shared" si="2"/>
        <v>3.1007751937984523E-2</v>
      </c>
      <c r="J11" s="316">
        <f>6*0.2</f>
        <v>1.2000000000000002</v>
      </c>
      <c r="K11" s="317" t="s">
        <v>273</v>
      </c>
      <c r="L11" s="173">
        <f>5.9*1.15</f>
        <v>6.7850000000000001</v>
      </c>
      <c r="M11" s="313" t="s">
        <v>257</v>
      </c>
      <c r="N11" s="313" t="s">
        <v>391</v>
      </c>
    </row>
    <row r="12" spans="1:14" s="138" customFormat="1" ht="16.2" thickBot="1" x14ac:dyDescent="0.35">
      <c r="A12" s="319" t="s">
        <v>410</v>
      </c>
      <c r="B12" s="157" t="s">
        <v>21</v>
      </c>
      <c r="C12" s="158" t="s">
        <v>19</v>
      </c>
      <c r="D12" s="159">
        <f t="shared" si="0"/>
        <v>9.15</v>
      </c>
      <c r="E12" s="159">
        <f t="shared" si="1"/>
        <v>8.48</v>
      </c>
      <c r="F12" s="160">
        <f t="shared" si="3"/>
        <v>8.0258614999999995</v>
      </c>
      <c r="G12" s="160">
        <f>0.96*F12</f>
        <v>7.7048270399999996</v>
      </c>
      <c r="H12" s="163" t="s">
        <v>272</v>
      </c>
      <c r="I12" s="5">
        <f t="shared" si="2"/>
        <v>7.3224043715846981E-2</v>
      </c>
      <c r="J12" s="115">
        <f>6*1.037</f>
        <v>6.2219999999999995</v>
      </c>
      <c r="K12" t="s">
        <v>273</v>
      </c>
      <c r="L12" s="164">
        <f>6.73*1.15*J12</f>
        <v>48.155168999999994</v>
      </c>
      <c r="M12" s="138" t="s">
        <v>257</v>
      </c>
    </row>
    <row r="13" spans="1:14" s="138" customFormat="1" ht="16.2" thickBot="1" x14ac:dyDescent="0.35">
      <c r="A13" s="319" t="s">
        <v>411</v>
      </c>
      <c r="B13" s="157" t="s">
        <v>22</v>
      </c>
      <c r="C13" s="158" t="s">
        <v>19</v>
      </c>
      <c r="D13" s="159">
        <f t="shared" si="0"/>
        <v>5.51</v>
      </c>
      <c r="E13" s="159">
        <f t="shared" si="1"/>
        <v>5.0999999999999996</v>
      </c>
      <c r="F13" s="160">
        <f t="shared" si="3"/>
        <v>4.8294479999999993</v>
      </c>
      <c r="G13" s="160">
        <f>0.96*F13</f>
        <v>4.6362700799999992</v>
      </c>
      <c r="H13" s="163" t="s">
        <v>272</v>
      </c>
      <c r="I13" s="5">
        <f t="shared" si="2"/>
        <v>7.4410163339382968E-2</v>
      </c>
      <c r="J13" s="115">
        <f>6*0.624</f>
        <v>3.7439999999999998</v>
      </c>
      <c r="K13" t="s">
        <v>273</v>
      </c>
      <c r="L13" s="164">
        <f>6.73*1.15*J13</f>
        <v>28.976687999999996</v>
      </c>
      <c r="M13" s="138" t="s">
        <v>257</v>
      </c>
    </row>
    <row r="14" spans="1:14" s="138" customFormat="1" ht="16.2" thickBot="1" x14ac:dyDescent="0.35">
      <c r="A14" s="319" t="s">
        <v>412</v>
      </c>
      <c r="B14" s="309" t="s">
        <v>23</v>
      </c>
      <c r="C14" s="310" t="s">
        <v>19</v>
      </c>
      <c r="D14" s="311">
        <f t="shared" si="0"/>
        <v>5.97</v>
      </c>
      <c r="E14" s="311">
        <f t="shared" si="1"/>
        <v>5.76</v>
      </c>
      <c r="F14" s="315">
        <f t="shared" si="3"/>
        <v>5.2324999999999999</v>
      </c>
      <c r="G14" s="315">
        <f>+F14</f>
        <v>5.2324999999999999</v>
      </c>
      <c r="H14" s="163" t="s">
        <v>397</v>
      </c>
      <c r="I14" s="314">
        <f t="shared" si="2"/>
        <v>3.5175879396984917E-2</v>
      </c>
      <c r="J14" s="316">
        <f>6*0.948</f>
        <v>5.6879999999999997</v>
      </c>
      <c r="K14" s="317" t="s">
        <v>273</v>
      </c>
      <c r="L14" s="173">
        <f>27.3*1.15</f>
        <v>31.395</v>
      </c>
      <c r="M14" s="313" t="s">
        <v>257</v>
      </c>
      <c r="N14" s="313" t="s">
        <v>395</v>
      </c>
    </row>
    <row r="15" spans="1:14" s="138" customFormat="1" ht="16.2" thickBot="1" x14ac:dyDescent="0.35">
      <c r="A15" s="319" t="s">
        <v>413</v>
      </c>
      <c r="B15" s="309" t="s">
        <v>24</v>
      </c>
      <c r="C15" s="310" t="s">
        <v>19</v>
      </c>
      <c r="D15" s="311">
        <f t="shared" si="0"/>
        <v>4.0199999999999996</v>
      </c>
      <c r="E15" s="311">
        <f t="shared" si="1"/>
        <v>3.88</v>
      </c>
      <c r="F15" s="315">
        <f t="shared" si="3"/>
        <v>3.526666666666666</v>
      </c>
      <c r="G15" s="315">
        <f>+F15</f>
        <v>3.526666666666666</v>
      </c>
      <c r="H15" s="163" t="s">
        <v>398</v>
      </c>
      <c r="I15" s="314">
        <f t="shared" si="2"/>
        <v>3.4825870646766094E-2</v>
      </c>
      <c r="J15" s="316">
        <f>6*0.705</f>
        <v>4.2299999999999995</v>
      </c>
      <c r="K15" s="317" t="s">
        <v>273</v>
      </c>
      <c r="L15" s="173">
        <f>18.4*1.15</f>
        <v>21.159999999999997</v>
      </c>
      <c r="M15" s="313" t="s">
        <v>257</v>
      </c>
      <c r="N15" s="313" t="s">
        <v>393</v>
      </c>
    </row>
    <row r="16" spans="1:14" s="138" customFormat="1" ht="16.2" thickBot="1" x14ac:dyDescent="0.35">
      <c r="A16" s="319" t="s">
        <v>414</v>
      </c>
      <c r="B16" s="309" t="s">
        <v>392</v>
      </c>
      <c r="C16" s="310" t="s">
        <v>19</v>
      </c>
      <c r="D16" s="311">
        <f t="shared" si="0"/>
        <v>8.2999999999999989</v>
      </c>
      <c r="E16" s="311">
        <f t="shared" si="1"/>
        <v>8.02</v>
      </c>
      <c r="F16" s="315">
        <f t="shared" si="3"/>
        <v>7.2833333333333323</v>
      </c>
      <c r="G16" s="315">
        <f>+F16</f>
        <v>7.2833333333333323</v>
      </c>
      <c r="H16" s="163" t="s">
        <v>396</v>
      </c>
      <c r="I16" s="314">
        <f t="shared" si="2"/>
        <v>3.3734939759036069E-2</v>
      </c>
      <c r="J16" s="316">
        <f>6*0.786</f>
        <v>4.7160000000000002</v>
      </c>
      <c r="K16" s="317" t="s">
        <v>273</v>
      </c>
      <c r="L16" s="173">
        <f>38*1.15</f>
        <v>43.699999999999996</v>
      </c>
      <c r="M16" s="313" t="s">
        <v>257</v>
      </c>
      <c r="N16" s="313" t="s">
        <v>394</v>
      </c>
    </row>
    <row r="17" spans="1:15" s="138" customFormat="1" ht="16.2" thickBot="1" x14ac:dyDescent="0.35">
      <c r="A17" s="319" t="s">
        <v>415</v>
      </c>
      <c r="B17" s="157" t="s">
        <v>25</v>
      </c>
      <c r="C17" s="158" t="s">
        <v>19</v>
      </c>
      <c r="D17" s="159">
        <f t="shared" si="0"/>
        <v>0.18000000000000002</v>
      </c>
      <c r="E17" s="159">
        <f t="shared" si="1"/>
        <v>0.17</v>
      </c>
      <c r="F17" s="160">
        <v>0.15</v>
      </c>
      <c r="G17" s="161">
        <v>0.15</v>
      </c>
      <c r="H17" s="162" t="s">
        <v>20</v>
      </c>
      <c r="I17" s="5">
        <f t="shared" si="2"/>
        <v>5.5555555555555601E-2</v>
      </c>
      <c r="J17" s="3"/>
      <c r="K17"/>
    </row>
    <row r="18" spans="1:15" s="138" customFormat="1" ht="16.2" thickBot="1" x14ac:dyDescent="0.35">
      <c r="A18" s="319" t="s">
        <v>416</v>
      </c>
      <c r="B18" s="157" t="s">
        <v>26</v>
      </c>
      <c r="C18" s="158" t="s">
        <v>27</v>
      </c>
      <c r="D18" s="159">
        <f t="shared" si="0"/>
        <v>0.04</v>
      </c>
      <c r="E18" s="159">
        <f t="shared" si="1"/>
        <v>0.04</v>
      </c>
      <c r="F18" s="160">
        <v>0.03</v>
      </c>
      <c r="G18" s="160">
        <v>0.03</v>
      </c>
      <c r="H18" s="162" t="s">
        <v>28</v>
      </c>
      <c r="I18" s="5">
        <f t="shared" si="2"/>
        <v>0</v>
      </c>
    </row>
    <row r="19" spans="1:15" s="138" customFormat="1" ht="16.2" thickBot="1" x14ac:dyDescent="0.35">
      <c r="A19" s="319" t="s">
        <v>417</v>
      </c>
      <c r="B19" s="157" t="s">
        <v>29</v>
      </c>
      <c r="C19" s="158" t="s">
        <v>27</v>
      </c>
      <c r="D19" s="159">
        <f t="shared" si="0"/>
        <v>0.04</v>
      </c>
      <c r="E19" s="159">
        <f t="shared" si="1"/>
        <v>0.04</v>
      </c>
      <c r="F19" s="160">
        <v>0.03</v>
      </c>
      <c r="G19" s="160">
        <v>0.03</v>
      </c>
      <c r="H19" s="162" t="s">
        <v>28</v>
      </c>
      <c r="I19" s="5">
        <f t="shared" si="2"/>
        <v>0</v>
      </c>
    </row>
    <row r="20" spans="1:15" s="138" customFormat="1" ht="16.2" thickBot="1" x14ac:dyDescent="0.35">
      <c r="A20" s="319" t="s">
        <v>418</v>
      </c>
      <c r="B20" s="157" t="s">
        <v>30</v>
      </c>
      <c r="C20" s="158" t="s">
        <v>27</v>
      </c>
      <c r="D20" s="159">
        <f t="shared" si="0"/>
        <v>0.04</v>
      </c>
      <c r="E20" s="159">
        <f t="shared" si="1"/>
        <v>0.04</v>
      </c>
      <c r="F20" s="160">
        <v>0.03</v>
      </c>
      <c r="G20" s="160">
        <v>0.03</v>
      </c>
      <c r="H20" s="162" t="s">
        <v>28</v>
      </c>
      <c r="I20" s="5">
        <f t="shared" si="2"/>
        <v>0</v>
      </c>
    </row>
    <row r="21" spans="1:15" s="138" customFormat="1" ht="16.2" thickBot="1" x14ac:dyDescent="0.35">
      <c r="A21" s="319" t="s">
        <v>419</v>
      </c>
      <c r="B21" s="157" t="s">
        <v>31</v>
      </c>
      <c r="C21" s="158" t="s">
        <v>27</v>
      </c>
      <c r="D21" s="159">
        <f t="shared" si="0"/>
        <v>0.03</v>
      </c>
      <c r="E21" s="159">
        <f t="shared" si="1"/>
        <v>0.03</v>
      </c>
      <c r="F21" s="165">
        <v>0.02</v>
      </c>
      <c r="G21" s="165">
        <v>0.02</v>
      </c>
      <c r="H21" s="162" t="s">
        <v>28</v>
      </c>
      <c r="I21" s="5">
        <f t="shared" si="2"/>
        <v>0</v>
      </c>
    </row>
    <row r="22" spans="1:15" s="138" customFormat="1" ht="16.2" thickBot="1" x14ac:dyDescent="0.35">
      <c r="A22" s="319" t="s">
        <v>420</v>
      </c>
      <c r="B22" s="156" t="s">
        <v>254</v>
      </c>
      <c r="C22" s="166" t="s">
        <v>19</v>
      </c>
      <c r="D22" s="159">
        <f t="shared" si="0"/>
        <v>29.91</v>
      </c>
      <c r="E22" s="159">
        <f t="shared" si="1"/>
        <v>27.72</v>
      </c>
      <c r="F22" s="167">
        <f>150*1.05/6</f>
        <v>26.25</v>
      </c>
      <c r="G22" s="167">
        <f>+F22*0.96</f>
        <v>25.2</v>
      </c>
      <c r="H22" s="168" t="s">
        <v>255</v>
      </c>
      <c r="I22" s="5">
        <f t="shared" si="2"/>
        <v>7.3219658976930835E-2</v>
      </c>
    </row>
    <row r="23" spans="1:15" s="138" customFormat="1" ht="16.2" thickBot="1" x14ac:dyDescent="0.35">
      <c r="A23" s="319" t="s">
        <v>421</v>
      </c>
      <c r="B23" s="156"/>
      <c r="C23" s="166"/>
      <c r="D23" s="159"/>
      <c r="E23" s="159"/>
      <c r="F23" s="165"/>
      <c r="G23" s="167"/>
      <c r="H23" s="169"/>
      <c r="I23" s="5"/>
    </row>
    <row r="24" spans="1:15" s="138" customFormat="1" ht="16.2" thickBot="1" x14ac:dyDescent="0.35">
      <c r="A24" s="319" t="s">
        <v>422</v>
      </c>
      <c r="B24" s="156"/>
      <c r="C24" s="166"/>
      <c r="D24" s="159"/>
      <c r="E24" s="159"/>
      <c r="F24" s="165"/>
      <c r="G24" s="167"/>
      <c r="H24" s="169"/>
      <c r="I24" s="5"/>
    </row>
    <row r="25" spans="1:15" s="138" customFormat="1" ht="16.2" thickBot="1" x14ac:dyDescent="0.35">
      <c r="A25" s="319" t="s">
        <v>423</v>
      </c>
      <c r="B25" s="156"/>
      <c r="C25" s="166"/>
      <c r="D25" s="159"/>
      <c r="E25" s="159"/>
      <c r="F25" s="165"/>
      <c r="G25" s="167"/>
      <c r="H25" s="169"/>
      <c r="I25" s="5"/>
    </row>
    <row r="26" spans="1:15" s="138" customFormat="1" ht="16.2" thickBot="1" x14ac:dyDescent="0.35">
      <c r="A26" s="319" t="s">
        <v>424</v>
      </c>
      <c r="B26" s="156"/>
      <c r="C26" s="166"/>
      <c r="D26" s="159"/>
      <c r="E26" s="159"/>
      <c r="F26" s="165"/>
      <c r="G26" s="167"/>
      <c r="H26" s="169"/>
      <c r="I26" s="5"/>
    </row>
    <row r="27" spans="1:15" s="138" customFormat="1" ht="16.2" thickBot="1" x14ac:dyDescent="0.35">
      <c r="A27" s="319"/>
      <c r="B27" s="156"/>
      <c r="C27" s="166"/>
      <c r="D27" s="159"/>
      <c r="E27" s="159"/>
      <c r="F27" s="165"/>
      <c r="G27" s="167"/>
      <c r="H27" s="169"/>
      <c r="I27" s="5"/>
    </row>
    <row r="28" spans="1:15" s="138" customFormat="1" ht="21.6" thickBot="1" x14ac:dyDescent="0.45">
      <c r="A28" s="178"/>
      <c r="B28" s="170" t="s">
        <v>32</v>
      </c>
      <c r="C28" s="151"/>
      <c r="D28" s="159"/>
      <c r="E28" s="159"/>
      <c r="F28" s="171"/>
      <c r="G28" s="172"/>
      <c r="H28" s="155"/>
      <c r="I28" s="5"/>
      <c r="L28" s="138" t="s">
        <v>600</v>
      </c>
      <c r="N28" s="138" t="s">
        <v>601</v>
      </c>
    </row>
    <row r="29" spans="1:15" s="138" customFormat="1" ht="16.2" thickBot="1" x14ac:dyDescent="0.35">
      <c r="A29" s="319" t="s">
        <v>425</v>
      </c>
      <c r="B29" s="309" t="s">
        <v>33</v>
      </c>
      <c r="C29" s="310" t="s">
        <v>34</v>
      </c>
      <c r="D29" s="311">
        <f t="shared" ref="D29:D89" si="4">ROUNDUP(F29*0.87*1.1/0.84,2)</f>
        <v>35.89</v>
      </c>
      <c r="E29" s="311">
        <f t="shared" ref="E29:E89" si="5">ROUNDUP(G29*1.1,2)</f>
        <v>34.65</v>
      </c>
      <c r="F29" s="312">
        <f>30*1.05</f>
        <v>31.5</v>
      </c>
      <c r="G29" s="312">
        <f>30*1.05</f>
        <v>31.5</v>
      </c>
      <c r="H29" s="163" t="s">
        <v>358</v>
      </c>
      <c r="I29" s="314">
        <f t="shared" ref="I29:I89" si="6">(-E29+D29)/D29</f>
        <v>3.4550013931457284E-2</v>
      </c>
      <c r="J29" s="313"/>
      <c r="K29" s="320">
        <f>ROUNDUP(L29/6.97,2)</f>
        <v>25.830000000000002</v>
      </c>
      <c r="L29" s="313">
        <v>180</v>
      </c>
      <c r="M29" s="313" t="s">
        <v>598</v>
      </c>
      <c r="N29" s="173">
        <f>+O29*6.97</f>
        <v>209.1</v>
      </c>
      <c r="O29" s="173">
        <v>30</v>
      </c>
    </row>
    <row r="30" spans="1:15" s="138" customFormat="1" ht="16.2" thickBot="1" x14ac:dyDescent="0.35">
      <c r="A30" s="319" t="s">
        <v>426</v>
      </c>
      <c r="B30" s="309" t="s">
        <v>36</v>
      </c>
      <c r="C30" s="310" t="s">
        <v>34</v>
      </c>
      <c r="D30" s="311">
        <f t="shared" si="4"/>
        <v>34.699999999999996</v>
      </c>
      <c r="E30" s="311">
        <f t="shared" si="5"/>
        <v>33.5</v>
      </c>
      <c r="F30" s="312">
        <f>29*1.05</f>
        <v>30.450000000000003</v>
      </c>
      <c r="G30" s="312">
        <f>29*1.05</f>
        <v>30.450000000000003</v>
      </c>
      <c r="H30" s="163" t="s">
        <v>359</v>
      </c>
      <c r="I30" s="314">
        <f t="shared" si="6"/>
        <v>3.4582132564841377E-2</v>
      </c>
      <c r="J30" s="313"/>
      <c r="K30" s="320">
        <f>ROUNDUP(L30/6.97,2)</f>
        <v>25.110000000000003</v>
      </c>
      <c r="L30" s="313">
        <v>175</v>
      </c>
      <c r="M30" s="313" t="s">
        <v>376</v>
      </c>
      <c r="N30" s="173">
        <f>+O30*6.97</f>
        <v>202.13</v>
      </c>
      <c r="O30" s="173">
        <v>29</v>
      </c>
    </row>
    <row r="31" spans="1:15" s="138" customFormat="1" ht="16.2" thickBot="1" x14ac:dyDescent="0.35">
      <c r="A31" s="319" t="s">
        <v>427</v>
      </c>
      <c r="B31" s="157" t="s">
        <v>37</v>
      </c>
      <c r="C31" s="158" t="s">
        <v>34</v>
      </c>
      <c r="D31" s="159">
        <f t="shared" si="4"/>
        <v>29.630000000000003</v>
      </c>
      <c r="E31" s="159">
        <f t="shared" si="5"/>
        <v>27.5</v>
      </c>
      <c r="F31" s="8">
        <v>26</v>
      </c>
      <c r="G31" s="9">
        <v>25</v>
      </c>
      <c r="H31" s="162" t="s">
        <v>35</v>
      </c>
      <c r="I31" s="5">
        <f t="shared" si="6"/>
        <v>7.1886601417482363E-2</v>
      </c>
    </row>
    <row r="32" spans="1:15" s="138" customFormat="1" ht="16.2" thickBot="1" x14ac:dyDescent="0.35">
      <c r="A32" s="319" t="s">
        <v>428</v>
      </c>
      <c r="B32" s="157" t="s">
        <v>38</v>
      </c>
      <c r="C32" s="158" t="s">
        <v>34</v>
      </c>
      <c r="D32" s="159">
        <f t="shared" si="4"/>
        <v>27.35</v>
      </c>
      <c r="E32" s="159">
        <f t="shared" si="5"/>
        <v>26.4</v>
      </c>
      <c r="F32" s="8">
        <v>24</v>
      </c>
      <c r="G32" s="9">
        <v>24</v>
      </c>
      <c r="H32" s="162" t="s">
        <v>35</v>
      </c>
      <c r="I32" s="5">
        <f t="shared" si="6"/>
        <v>3.4734917733089683E-2</v>
      </c>
    </row>
    <row r="33" spans="1:14" s="138" customFormat="1" ht="16.2" thickBot="1" x14ac:dyDescent="0.35">
      <c r="A33" s="319" t="s">
        <v>429</v>
      </c>
      <c r="B33" s="157" t="s">
        <v>39</v>
      </c>
      <c r="C33" s="158" t="s">
        <v>34</v>
      </c>
      <c r="D33" s="159">
        <f t="shared" si="4"/>
        <v>23.930000000000003</v>
      </c>
      <c r="E33" s="159">
        <f t="shared" si="5"/>
        <v>23.1</v>
      </c>
      <c r="F33" s="8">
        <v>21</v>
      </c>
      <c r="G33" s="9">
        <v>21</v>
      </c>
      <c r="H33" s="162" t="s">
        <v>35</v>
      </c>
      <c r="I33" s="5">
        <f t="shared" si="6"/>
        <v>3.4684496447973327E-2</v>
      </c>
    </row>
    <row r="34" spans="1:14" s="138" customFormat="1" ht="16.2" thickBot="1" x14ac:dyDescent="0.35">
      <c r="A34" s="319" t="s">
        <v>430</v>
      </c>
      <c r="B34" s="309" t="s">
        <v>40</v>
      </c>
      <c r="C34" s="310" t="s">
        <v>34</v>
      </c>
      <c r="D34" s="311">
        <f t="shared" si="4"/>
        <v>46.66</v>
      </c>
      <c r="E34" s="311">
        <f t="shared" si="5"/>
        <v>45.05</v>
      </c>
      <c r="F34" s="312">
        <f>39*1.05</f>
        <v>40.950000000000003</v>
      </c>
      <c r="G34" s="312">
        <f>39*1.05</f>
        <v>40.950000000000003</v>
      </c>
      <c r="H34" s="163" t="s">
        <v>360</v>
      </c>
      <c r="I34" s="314">
        <f t="shared" si="6"/>
        <v>3.4504929275610795E-2</v>
      </c>
      <c r="J34" s="313"/>
      <c r="K34" s="313">
        <f>+L34/6.96</f>
        <v>38.793103448275865</v>
      </c>
      <c r="L34" s="313">
        <v>270</v>
      </c>
    </row>
    <row r="35" spans="1:14" s="138" customFormat="1" ht="16.2" thickBot="1" x14ac:dyDescent="0.35">
      <c r="A35" s="319" t="s">
        <v>431</v>
      </c>
      <c r="B35" s="309" t="s">
        <v>41</v>
      </c>
      <c r="C35" s="310" t="s">
        <v>34</v>
      </c>
      <c r="D35" s="311">
        <f t="shared" si="4"/>
        <v>45.46</v>
      </c>
      <c r="E35" s="311">
        <f t="shared" si="5"/>
        <v>43.89</v>
      </c>
      <c r="F35" s="312">
        <f>38*1.05</f>
        <v>39.9</v>
      </c>
      <c r="G35" s="312">
        <f>38*1.05</f>
        <v>39.9</v>
      </c>
      <c r="H35" s="163" t="s">
        <v>361</v>
      </c>
      <c r="I35" s="314">
        <f t="shared" si="6"/>
        <v>3.4535855697316327E-2</v>
      </c>
      <c r="J35" s="313"/>
      <c r="K35" s="313">
        <f>+L35/6.96</f>
        <v>37.356321839080458</v>
      </c>
      <c r="L35" s="313">
        <v>260</v>
      </c>
    </row>
    <row r="36" spans="1:14" s="138" customFormat="1" ht="16.2" thickBot="1" x14ac:dyDescent="0.35">
      <c r="A36" s="319" t="s">
        <v>432</v>
      </c>
      <c r="B36" s="157" t="s">
        <v>42</v>
      </c>
      <c r="C36" s="158" t="s">
        <v>34</v>
      </c>
      <c r="D36" s="159">
        <f t="shared" si="4"/>
        <v>47.85</v>
      </c>
      <c r="E36" s="159">
        <f t="shared" si="5"/>
        <v>44</v>
      </c>
      <c r="F36" s="8">
        <v>42</v>
      </c>
      <c r="G36" s="9">
        <v>40</v>
      </c>
      <c r="H36" s="162" t="s">
        <v>35</v>
      </c>
      <c r="I36" s="5">
        <f t="shared" si="6"/>
        <v>8.0459770114942555E-2</v>
      </c>
    </row>
    <row r="37" spans="1:14" s="138" customFormat="1" ht="16.2" thickBot="1" x14ac:dyDescent="0.35">
      <c r="A37" s="319" t="s">
        <v>433</v>
      </c>
      <c r="B37" s="157" t="s">
        <v>43</v>
      </c>
      <c r="C37" s="158" t="s">
        <v>34</v>
      </c>
      <c r="D37" s="159">
        <f t="shared" si="4"/>
        <v>45.58</v>
      </c>
      <c r="E37" s="159">
        <f t="shared" si="5"/>
        <v>41.8</v>
      </c>
      <c r="F37" s="160">
        <v>40</v>
      </c>
      <c r="G37" s="161">
        <v>38</v>
      </c>
      <c r="H37" s="162" t="s">
        <v>35</v>
      </c>
      <c r="I37" s="5">
        <f t="shared" si="6"/>
        <v>8.2931110136024597E-2</v>
      </c>
    </row>
    <row r="38" spans="1:14" s="138" customFormat="1" ht="16.2" thickBot="1" x14ac:dyDescent="0.35">
      <c r="A38" s="319" t="s">
        <v>434</v>
      </c>
      <c r="B38" s="157" t="s">
        <v>44</v>
      </c>
      <c r="C38" s="158" t="s">
        <v>34</v>
      </c>
      <c r="D38" s="159">
        <f t="shared" si="4"/>
        <v>43.3</v>
      </c>
      <c r="E38" s="159">
        <f t="shared" si="5"/>
        <v>39.6</v>
      </c>
      <c r="F38" s="160">
        <v>38</v>
      </c>
      <c r="G38" s="161">
        <v>36</v>
      </c>
      <c r="H38" s="162" t="s">
        <v>35</v>
      </c>
      <c r="I38" s="5">
        <f t="shared" si="6"/>
        <v>8.5450346420323231E-2</v>
      </c>
    </row>
    <row r="39" spans="1:14" s="138" customFormat="1" ht="16.2" thickBot="1" x14ac:dyDescent="0.35">
      <c r="A39" s="319" t="s">
        <v>435</v>
      </c>
      <c r="B39" s="157" t="s">
        <v>45</v>
      </c>
      <c r="C39" s="158" t="s">
        <v>34</v>
      </c>
      <c r="D39" s="159">
        <f t="shared" si="4"/>
        <v>50.129999999999995</v>
      </c>
      <c r="E39" s="159">
        <f t="shared" si="5"/>
        <v>48.4</v>
      </c>
      <c r="F39" s="161">
        <v>44</v>
      </c>
      <c r="G39" s="161">
        <v>44</v>
      </c>
      <c r="H39" s="162" t="s">
        <v>35</v>
      </c>
      <c r="I39" s="5">
        <f t="shared" si="6"/>
        <v>3.4510273289447377E-2</v>
      </c>
    </row>
    <row r="40" spans="1:14" s="138" customFormat="1" ht="16.2" thickBot="1" x14ac:dyDescent="0.35">
      <c r="A40" s="319" t="s">
        <v>436</v>
      </c>
      <c r="B40" s="157" t="s">
        <v>46</v>
      </c>
      <c r="C40" s="158" t="s">
        <v>34</v>
      </c>
      <c r="D40" s="159">
        <f t="shared" si="4"/>
        <v>52.41</v>
      </c>
      <c r="E40" s="159">
        <f t="shared" si="5"/>
        <v>50.6</v>
      </c>
      <c r="F40" s="161">
        <v>46</v>
      </c>
      <c r="G40" s="161">
        <v>46</v>
      </c>
      <c r="H40" s="162" t="s">
        <v>35</v>
      </c>
      <c r="I40" s="5">
        <f t="shared" si="6"/>
        <v>3.4535394008776858E-2</v>
      </c>
      <c r="N40" s="138" t="s">
        <v>377</v>
      </c>
    </row>
    <row r="41" spans="1:14" s="138" customFormat="1" ht="16.2" thickBot="1" x14ac:dyDescent="0.35">
      <c r="A41" s="319" t="s">
        <v>437</v>
      </c>
      <c r="B41" s="309" t="s">
        <v>378</v>
      </c>
      <c r="C41" s="310" t="s">
        <v>605</v>
      </c>
      <c r="D41" s="311">
        <f t="shared" si="4"/>
        <v>10.799999999999999</v>
      </c>
      <c r="E41" s="311">
        <f t="shared" si="5"/>
        <v>10.43</v>
      </c>
      <c r="F41" s="315">
        <f>+L41/6</f>
        <v>9.4779166666666672</v>
      </c>
      <c r="G41" s="315">
        <f>+F41</f>
        <v>9.4779166666666672</v>
      </c>
      <c r="H41" s="163" t="s">
        <v>379</v>
      </c>
      <c r="I41" s="314">
        <f t="shared" si="6"/>
        <v>3.4259259259259191E-2</v>
      </c>
      <c r="J41" s="316">
        <f>6*1.998</f>
        <v>11.988</v>
      </c>
      <c r="K41" s="317" t="s">
        <v>380</v>
      </c>
      <c r="L41" s="173">
        <f>49.45*1.15</f>
        <v>56.8675</v>
      </c>
      <c r="M41" s="313" t="s">
        <v>257</v>
      </c>
      <c r="N41" s="313" t="s">
        <v>381</v>
      </c>
    </row>
    <row r="42" spans="1:14" s="138" customFormat="1" ht="16.2" thickBot="1" x14ac:dyDescent="0.35">
      <c r="A42" s="319" t="s">
        <v>438</v>
      </c>
      <c r="B42" s="309" t="s">
        <v>383</v>
      </c>
      <c r="C42" s="310" t="s">
        <v>47</v>
      </c>
      <c r="D42" s="311">
        <f t="shared" si="4"/>
        <v>9.83</v>
      </c>
      <c r="E42" s="311">
        <f t="shared" si="5"/>
        <v>9.49</v>
      </c>
      <c r="F42" s="315">
        <f>+L42</f>
        <v>8.625</v>
      </c>
      <c r="G42" s="318">
        <f>+F42</f>
        <v>8.625</v>
      </c>
      <c r="H42" s="163" t="s">
        <v>385</v>
      </c>
      <c r="I42" s="314">
        <f t="shared" si="6"/>
        <v>3.4587995930823991E-2</v>
      </c>
      <c r="J42" s="316">
        <f>6*0.257</f>
        <v>1.542</v>
      </c>
      <c r="K42" s="317" t="s">
        <v>273</v>
      </c>
      <c r="L42" s="173">
        <f>7.5*1.15</f>
        <v>8.625</v>
      </c>
      <c r="M42" s="313" t="s">
        <v>257</v>
      </c>
      <c r="N42" s="313" t="s">
        <v>387</v>
      </c>
    </row>
    <row r="43" spans="1:14" s="138" customFormat="1" ht="16.2" thickBot="1" x14ac:dyDescent="0.35">
      <c r="A43" s="319" t="s">
        <v>439</v>
      </c>
      <c r="B43" s="309" t="s">
        <v>382</v>
      </c>
      <c r="C43" s="310" t="s">
        <v>47</v>
      </c>
      <c r="D43" s="311">
        <f t="shared" si="4"/>
        <v>5.8999999999999995</v>
      </c>
      <c r="E43" s="311">
        <f t="shared" si="5"/>
        <v>5.7</v>
      </c>
      <c r="F43" s="315">
        <f>+L43</f>
        <v>5.1749999999999998</v>
      </c>
      <c r="G43" s="318">
        <f>+F43</f>
        <v>5.1749999999999998</v>
      </c>
      <c r="H43" s="163" t="s">
        <v>384</v>
      </c>
      <c r="I43" s="314">
        <f t="shared" si="6"/>
        <v>3.3898305084745645E-2</v>
      </c>
      <c r="J43" s="316">
        <f>6*0.151</f>
        <v>0.90599999999999992</v>
      </c>
      <c r="K43" s="317" t="s">
        <v>273</v>
      </c>
      <c r="L43" s="173">
        <f>4.5*1.15</f>
        <v>5.1749999999999998</v>
      </c>
      <c r="M43" s="313" t="s">
        <v>257</v>
      </c>
      <c r="N43" s="313" t="s">
        <v>386</v>
      </c>
    </row>
    <row r="44" spans="1:14" s="138" customFormat="1" ht="16.2" thickBot="1" x14ac:dyDescent="0.35">
      <c r="A44" s="319" t="s">
        <v>440</v>
      </c>
      <c r="B44" s="157" t="s">
        <v>49</v>
      </c>
      <c r="C44" s="158" t="s">
        <v>47</v>
      </c>
      <c r="D44" s="159">
        <f t="shared" si="4"/>
        <v>5.99</v>
      </c>
      <c r="E44" s="159">
        <f t="shared" si="5"/>
        <v>5.5</v>
      </c>
      <c r="F44" s="160">
        <f t="shared" ref="F44:F48" si="7">+G44*1.05</f>
        <v>5.25</v>
      </c>
      <c r="G44" s="161">
        <v>5</v>
      </c>
      <c r="H44" s="162" t="s">
        <v>48</v>
      </c>
      <c r="I44" s="5">
        <f t="shared" si="6"/>
        <v>8.1803005008347279E-2</v>
      </c>
    </row>
    <row r="45" spans="1:14" s="138" customFormat="1" ht="16.2" thickBot="1" x14ac:dyDescent="0.35">
      <c r="A45" s="319" t="s">
        <v>441</v>
      </c>
      <c r="B45" s="157" t="s">
        <v>50</v>
      </c>
      <c r="C45" s="158" t="s">
        <v>47</v>
      </c>
      <c r="D45" s="159">
        <f t="shared" si="4"/>
        <v>5.99</v>
      </c>
      <c r="E45" s="159">
        <f t="shared" si="5"/>
        <v>5.5</v>
      </c>
      <c r="F45" s="160">
        <f t="shared" si="7"/>
        <v>5.25</v>
      </c>
      <c r="G45" s="161">
        <v>5</v>
      </c>
      <c r="H45" s="162" t="s">
        <v>48</v>
      </c>
      <c r="I45" s="5">
        <f t="shared" si="6"/>
        <v>8.1803005008347279E-2</v>
      </c>
    </row>
    <row r="46" spans="1:14" s="138" customFormat="1" ht="16.2" thickBot="1" x14ac:dyDescent="0.35">
      <c r="A46" s="319" t="s">
        <v>442</v>
      </c>
      <c r="B46" s="157" t="s">
        <v>51</v>
      </c>
      <c r="C46" s="158" t="s">
        <v>47</v>
      </c>
      <c r="D46" s="159">
        <f t="shared" si="4"/>
        <v>5.99</v>
      </c>
      <c r="E46" s="159">
        <f t="shared" si="5"/>
        <v>5.5</v>
      </c>
      <c r="F46" s="160">
        <f t="shared" si="7"/>
        <v>5.25</v>
      </c>
      <c r="G46" s="161">
        <v>5</v>
      </c>
      <c r="H46" s="162" t="s">
        <v>48</v>
      </c>
      <c r="I46" s="5">
        <f t="shared" si="6"/>
        <v>8.1803005008347279E-2</v>
      </c>
    </row>
    <row r="47" spans="1:14" s="138" customFormat="1" ht="16.2" thickBot="1" x14ac:dyDescent="0.35">
      <c r="A47" s="319" t="s">
        <v>443</v>
      </c>
      <c r="B47" s="157" t="s">
        <v>52</v>
      </c>
      <c r="C47" s="158" t="s">
        <v>47</v>
      </c>
      <c r="D47" s="159">
        <f t="shared" si="4"/>
        <v>5.99</v>
      </c>
      <c r="E47" s="159">
        <f t="shared" si="5"/>
        <v>5.5</v>
      </c>
      <c r="F47" s="160">
        <f t="shared" si="7"/>
        <v>5.25</v>
      </c>
      <c r="G47" s="161">
        <v>5</v>
      </c>
      <c r="H47" s="162" t="s">
        <v>48</v>
      </c>
      <c r="I47" s="5">
        <f t="shared" si="6"/>
        <v>8.1803005008347279E-2</v>
      </c>
    </row>
    <row r="48" spans="1:14" s="138" customFormat="1" ht="16.2" thickBot="1" x14ac:dyDescent="0.35">
      <c r="A48" s="319" t="s">
        <v>444</v>
      </c>
      <c r="B48" s="157" t="s">
        <v>53</v>
      </c>
      <c r="C48" s="158" t="s">
        <v>27</v>
      </c>
      <c r="D48" s="159">
        <f t="shared" si="4"/>
        <v>101.69000000000001</v>
      </c>
      <c r="E48" s="159">
        <f t="shared" si="5"/>
        <v>93.5</v>
      </c>
      <c r="F48" s="160">
        <f t="shared" si="7"/>
        <v>89.25</v>
      </c>
      <c r="G48" s="161">
        <v>85</v>
      </c>
      <c r="H48" s="162" t="s">
        <v>48</v>
      </c>
      <c r="I48" s="5">
        <f t="shared" si="6"/>
        <v>8.0538892713147917E-2</v>
      </c>
    </row>
    <row r="49" spans="1:12" s="138" customFormat="1" ht="16.2" thickBot="1" x14ac:dyDescent="0.35">
      <c r="A49" s="319" t="s">
        <v>445</v>
      </c>
      <c r="B49" s="157" t="s">
        <v>54</v>
      </c>
      <c r="C49" s="158" t="s">
        <v>27</v>
      </c>
      <c r="D49" s="159">
        <f t="shared" si="4"/>
        <v>79.75</v>
      </c>
      <c r="E49" s="159">
        <f t="shared" si="5"/>
        <v>77</v>
      </c>
      <c r="F49" s="160">
        <v>70</v>
      </c>
      <c r="G49" s="161">
        <v>70</v>
      </c>
      <c r="H49" s="162" t="s">
        <v>55</v>
      </c>
      <c r="I49" s="5">
        <f t="shared" si="6"/>
        <v>3.4482758620689655E-2</v>
      </c>
    </row>
    <row r="50" spans="1:12" s="138" customFormat="1" ht="16.2" thickBot="1" x14ac:dyDescent="0.35">
      <c r="A50" s="319" t="s">
        <v>446</v>
      </c>
      <c r="B50" s="157" t="s">
        <v>56</v>
      </c>
      <c r="C50" s="158" t="s">
        <v>27</v>
      </c>
      <c r="D50" s="159">
        <f t="shared" si="4"/>
        <v>3.42</v>
      </c>
      <c r="E50" s="159">
        <f t="shared" si="5"/>
        <v>3.3</v>
      </c>
      <c r="F50" s="160">
        <v>3</v>
      </c>
      <c r="G50" s="161">
        <v>3</v>
      </c>
      <c r="H50" s="162" t="s">
        <v>35</v>
      </c>
      <c r="I50" s="5">
        <f t="shared" si="6"/>
        <v>3.5087719298245647E-2</v>
      </c>
    </row>
    <row r="51" spans="1:12" s="138" customFormat="1" ht="16.2" thickBot="1" x14ac:dyDescent="0.35">
      <c r="A51" s="319" t="s">
        <v>447</v>
      </c>
      <c r="B51" s="309" t="s">
        <v>57</v>
      </c>
      <c r="C51" s="310" t="s">
        <v>27</v>
      </c>
      <c r="D51" s="311">
        <f t="shared" si="4"/>
        <v>2.9099999999999997</v>
      </c>
      <c r="E51" s="311">
        <f t="shared" si="5"/>
        <v>2.8099999999999996</v>
      </c>
      <c r="F51" s="315">
        <f>+K51+0.15</f>
        <v>2.5499999999999998</v>
      </c>
      <c r="G51" s="318">
        <f>+F51</f>
        <v>2.5499999999999998</v>
      </c>
      <c r="H51" s="163" t="s">
        <v>402</v>
      </c>
      <c r="I51" s="314">
        <f t="shared" si="6"/>
        <v>3.4364261168384917E-2</v>
      </c>
      <c r="J51" s="313"/>
      <c r="K51" s="173">
        <v>2.4</v>
      </c>
      <c r="L51" s="313" t="s">
        <v>401</v>
      </c>
    </row>
    <row r="52" spans="1:12" s="138" customFormat="1" ht="16.2" thickBot="1" x14ac:dyDescent="0.35">
      <c r="A52" s="319" t="s">
        <v>448</v>
      </c>
      <c r="B52" s="309" t="s">
        <v>58</v>
      </c>
      <c r="C52" s="310" t="s">
        <v>27</v>
      </c>
      <c r="D52" s="311">
        <f t="shared" si="4"/>
        <v>3.59</v>
      </c>
      <c r="E52" s="311">
        <f t="shared" si="5"/>
        <v>3.4699999999999998</v>
      </c>
      <c r="F52" s="315">
        <f t="shared" ref="F52:F86" si="8">+K52+0.15</f>
        <v>3.15</v>
      </c>
      <c r="G52" s="318">
        <f t="shared" ref="G52:G86" si="9">+F52</f>
        <v>3.15</v>
      </c>
      <c r="H52" s="163" t="s">
        <v>402</v>
      </c>
      <c r="I52" s="314">
        <f t="shared" si="6"/>
        <v>3.3426183844011172E-2</v>
      </c>
      <c r="J52" s="313"/>
      <c r="K52" s="173">
        <v>3</v>
      </c>
      <c r="L52" s="313" t="s">
        <v>401</v>
      </c>
    </row>
    <row r="53" spans="1:12" s="138" customFormat="1" ht="16.2" thickBot="1" x14ac:dyDescent="0.35">
      <c r="A53" s="319" t="s">
        <v>449</v>
      </c>
      <c r="B53" s="309" t="s">
        <v>59</v>
      </c>
      <c r="C53" s="310" t="s">
        <v>27</v>
      </c>
      <c r="D53" s="311">
        <f t="shared" si="4"/>
        <v>1.32</v>
      </c>
      <c r="E53" s="311">
        <f t="shared" si="5"/>
        <v>1.27</v>
      </c>
      <c r="F53" s="315">
        <f t="shared" si="8"/>
        <v>1.1499999999999999</v>
      </c>
      <c r="G53" s="318">
        <f t="shared" si="9"/>
        <v>1.1499999999999999</v>
      </c>
      <c r="H53" s="163" t="s">
        <v>402</v>
      </c>
      <c r="I53" s="314">
        <f t="shared" si="6"/>
        <v>3.7878787878787908E-2</v>
      </c>
      <c r="J53" s="313"/>
      <c r="K53" s="173">
        <v>1</v>
      </c>
      <c r="L53" s="313" t="s">
        <v>401</v>
      </c>
    </row>
    <row r="54" spans="1:12" s="138" customFormat="1" ht="16.2" thickBot="1" x14ac:dyDescent="0.35">
      <c r="A54" s="319" t="s">
        <v>450</v>
      </c>
      <c r="B54" s="309" t="s">
        <v>60</v>
      </c>
      <c r="C54" s="310" t="s">
        <v>27</v>
      </c>
      <c r="D54" s="311">
        <f t="shared" si="4"/>
        <v>1.32</v>
      </c>
      <c r="E54" s="311">
        <f t="shared" si="5"/>
        <v>1.27</v>
      </c>
      <c r="F54" s="315">
        <f t="shared" si="8"/>
        <v>1.1499999999999999</v>
      </c>
      <c r="G54" s="318">
        <f t="shared" si="9"/>
        <v>1.1499999999999999</v>
      </c>
      <c r="H54" s="163" t="s">
        <v>402</v>
      </c>
      <c r="I54" s="314">
        <f t="shared" si="6"/>
        <v>3.7878787878787908E-2</v>
      </c>
      <c r="J54" s="313"/>
      <c r="K54" s="173">
        <v>1</v>
      </c>
      <c r="L54" s="313" t="s">
        <v>401</v>
      </c>
    </row>
    <row r="55" spans="1:12" s="138" customFormat="1" ht="16.2" thickBot="1" x14ac:dyDescent="0.35">
      <c r="A55" s="319" t="s">
        <v>451</v>
      </c>
      <c r="B55" s="309" t="s">
        <v>61</v>
      </c>
      <c r="C55" s="310" t="s">
        <v>27</v>
      </c>
      <c r="D55" s="311">
        <f t="shared" si="4"/>
        <v>8.7200000000000006</v>
      </c>
      <c r="E55" s="311">
        <f t="shared" si="5"/>
        <v>8.42</v>
      </c>
      <c r="F55" s="315">
        <f t="shared" si="8"/>
        <v>7.65</v>
      </c>
      <c r="G55" s="318">
        <f t="shared" si="9"/>
        <v>7.65</v>
      </c>
      <c r="H55" s="163" t="s">
        <v>402</v>
      </c>
      <c r="I55" s="314">
        <f t="shared" si="6"/>
        <v>3.440366972477072E-2</v>
      </c>
      <c r="J55" s="313"/>
      <c r="K55" s="173">
        <v>7.5</v>
      </c>
      <c r="L55" s="313" t="s">
        <v>401</v>
      </c>
    </row>
    <row r="56" spans="1:12" s="138" customFormat="1" ht="16.2" thickBot="1" x14ac:dyDescent="0.35">
      <c r="A56" s="319" t="s">
        <v>452</v>
      </c>
      <c r="B56" s="309" t="s">
        <v>62</v>
      </c>
      <c r="C56" s="310" t="s">
        <v>27</v>
      </c>
      <c r="D56" s="311">
        <f t="shared" si="4"/>
        <v>9.86</v>
      </c>
      <c r="E56" s="311">
        <f t="shared" si="5"/>
        <v>9.52</v>
      </c>
      <c r="F56" s="315">
        <f t="shared" si="8"/>
        <v>8.65</v>
      </c>
      <c r="G56" s="318">
        <f t="shared" si="9"/>
        <v>8.65</v>
      </c>
      <c r="H56" s="163" t="s">
        <v>402</v>
      </c>
      <c r="I56" s="314">
        <f t="shared" si="6"/>
        <v>3.4482758620689641E-2</v>
      </c>
      <c r="J56" s="313"/>
      <c r="K56" s="173">
        <v>8.5</v>
      </c>
      <c r="L56" s="313" t="s">
        <v>401</v>
      </c>
    </row>
    <row r="57" spans="1:12" s="138" customFormat="1" ht="16.2" thickBot="1" x14ac:dyDescent="0.35">
      <c r="A57" s="319" t="s">
        <v>453</v>
      </c>
      <c r="B57" s="309" t="s">
        <v>63</v>
      </c>
      <c r="C57" s="310" t="s">
        <v>27</v>
      </c>
      <c r="D57" s="311">
        <f t="shared" si="4"/>
        <v>7.92</v>
      </c>
      <c r="E57" s="311">
        <f t="shared" si="5"/>
        <v>7.6499999999999995</v>
      </c>
      <c r="F57" s="315">
        <f t="shared" si="8"/>
        <v>6.95</v>
      </c>
      <c r="G57" s="318">
        <f t="shared" si="9"/>
        <v>6.95</v>
      </c>
      <c r="H57" s="163" t="s">
        <v>402</v>
      </c>
      <c r="I57" s="314">
        <f t="shared" si="6"/>
        <v>3.4090909090909151E-2</v>
      </c>
      <c r="J57" s="313"/>
      <c r="K57" s="313">
        <v>6.8</v>
      </c>
      <c r="L57" s="313" t="s">
        <v>401</v>
      </c>
    </row>
    <row r="58" spans="1:12" s="138" customFormat="1" ht="16.2" thickBot="1" x14ac:dyDescent="0.35">
      <c r="A58" s="319" t="s">
        <v>454</v>
      </c>
      <c r="B58" s="309" t="s">
        <v>64</v>
      </c>
      <c r="C58" s="310" t="s">
        <v>27</v>
      </c>
      <c r="D58" s="311">
        <f t="shared" si="4"/>
        <v>7.92</v>
      </c>
      <c r="E58" s="311">
        <f t="shared" si="5"/>
        <v>7.6499999999999995</v>
      </c>
      <c r="F58" s="315">
        <f t="shared" si="8"/>
        <v>6.95</v>
      </c>
      <c r="G58" s="318">
        <f t="shared" si="9"/>
        <v>6.95</v>
      </c>
      <c r="H58" s="163" t="s">
        <v>402</v>
      </c>
      <c r="I58" s="314">
        <f t="shared" si="6"/>
        <v>3.4090909090909151E-2</v>
      </c>
      <c r="J58" s="313"/>
      <c r="K58" s="313">
        <v>6.8</v>
      </c>
      <c r="L58" s="313" t="s">
        <v>401</v>
      </c>
    </row>
    <row r="59" spans="1:12" s="138" customFormat="1" ht="16.2" thickBot="1" x14ac:dyDescent="0.35">
      <c r="A59" s="319" t="s">
        <v>455</v>
      </c>
      <c r="B59" s="309" t="s">
        <v>65</v>
      </c>
      <c r="C59" s="310" t="s">
        <v>27</v>
      </c>
      <c r="D59" s="311">
        <f t="shared" si="4"/>
        <v>24.1</v>
      </c>
      <c r="E59" s="311">
        <f t="shared" si="5"/>
        <v>23.270000000000003</v>
      </c>
      <c r="F59" s="315">
        <f t="shared" si="8"/>
        <v>21.15</v>
      </c>
      <c r="G59" s="318">
        <f t="shared" si="9"/>
        <v>21.15</v>
      </c>
      <c r="H59" s="163" t="s">
        <v>402</v>
      </c>
      <c r="I59" s="314">
        <f t="shared" si="6"/>
        <v>3.4439834024896192E-2</v>
      </c>
      <c r="J59" s="313"/>
      <c r="K59" s="313">
        <v>21</v>
      </c>
      <c r="L59" s="313" t="s">
        <v>401</v>
      </c>
    </row>
    <row r="60" spans="1:12" s="138" customFormat="1" ht="16.2" thickBot="1" x14ac:dyDescent="0.35">
      <c r="A60" s="319" t="s">
        <v>456</v>
      </c>
      <c r="B60" s="309" t="s">
        <v>66</v>
      </c>
      <c r="C60" s="310" t="s">
        <v>27</v>
      </c>
      <c r="D60" s="311">
        <f t="shared" si="4"/>
        <v>4.16</v>
      </c>
      <c r="E60" s="311">
        <f t="shared" si="5"/>
        <v>4.0199999999999996</v>
      </c>
      <c r="F60" s="315">
        <f t="shared" si="8"/>
        <v>3.65</v>
      </c>
      <c r="G60" s="318">
        <f t="shared" si="9"/>
        <v>3.65</v>
      </c>
      <c r="H60" s="163" t="s">
        <v>402</v>
      </c>
      <c r="I60" s="314">
        <f t="shared" si="6"/>
        <v>3.3653846153846291E-2</v>
      </c>
      <c r="J60" s="313"/>
      <c r="K60" s="313">
        <v>3.5</v>
      </c>
      <c r="L60" s="313" t="s">
        <v>401</v>
      </c>
    </row>
    <row r="61" spans="1:12" s="138" customFormat="1" ht="16.2" thickBot="1" x14ac:dyDescent="0.35">
      <c r="A61" s="319" t="s">
        <v>457</v>
      </c>
      <c r="B61" s="309" t="s">
        <v>67</v>
      </c>
      <c r="C61" s="310" t="s">
        <v>27</v>
      </c>
      <c r="D61" s="311">
        <f t="shared" si="4"/>
        <v>0.8</v>
      </c>
      <c r="E61" s="311">
        <f t="shared" si="5"/>
        <v>0.77</v>
      </c>
      <c r="F61" s="315">
        <f t="shared" si="8"/>
        <v>0.70000000000000007</v>
      </c>
      <c r="G61" s="318">
        <f t="shared" si="9"/>
        <v>0.70000000000000007</v>
      </c>
      <c r="H61" s="163" t="s">
        <v>402</v>
      </c>
      <c r="I61" s="314">
        <f t="shared" si="6"/>
        <v>3.7500000000000033E-2</v>
      </c>
      <c r="J61" s="313"/>
      <c r="K61" s="313">
        <v>0.55000000000000004</v>
      </c>
      <c r="L61" s="313" t="s">
        <v>401</v>
      </c>
    </row>
    <row r="62" spans="1:12" s="138" customFormat="1" ht="16.2" thickBot="1" x14ac:dyDescent="0.35">
      <c r="A62" s="319" t="s">
        <v>458</v>
      </c>
      <c r="B62" s="309" t="s">
        <v>68</v>
      </c>
      <c r="C62" s="310" t="s">
        <v>27</v>
      </c>
      <c r="D62" s="311">
        <f t="shared" si="4"/>
        <v>2.6799999999999997</v>
      </c>
      <c r="E62" s="311">
        <f t="shared" si="5"/>
        <v>2.59</v>
      </c>
      <c r="F62" s="315">
        <f t="shared" si="8"/>
        <v>2.35</v>
      </c>
      <c r="G62" s="318">
        <f t="shared" si="9"/>
        <v>2.35</v>
      </c>
      <c r="H62" s="163" t="s">
        <v>402</v>
      </c>
      <c r="I62" s="314">
        <f t="shared" si="6"/>
        <v>3.3582089552238757E-2</v>
      </c>
      <c r="J62" s="313"/>
      <c r="K62" s="313">
        <v>2.2000000000000002</v>
      </c>
      <c r="L62" s="313" t="s">
        <v>401</v>
      </c>
    </row>
    <row r="63" spans="1:12" s="138" customFormat="1" ht="16.2" thickBot="1" x14ac:dyDescent="0.35">
      <c r="A63" s="319" t="s">
        <v>459</v>
      </c>
      <c r="B63" s="309" t="s">
        <v>69</v>
      </c>
      <c r="C63" s="310" t="s">
        <v>27</v>
      </c>
      <c r="D63" s="311">
        <f t="shared" si="4"/>
        <v>1.77</v>
      </c>
      <c r="E63" s="311">
        <f t="shared" si="5"/>
        <v>1.71</v>
      </c>
      <c r="F63" s="315">
        <f t="shared" si="8"/>
        <v>1.5499999999999998</v>
      </c>
      <c r="G63" s="318">
        <f t="shared" si="9"/>
        <v>1.5499999999999998</v>
      </c>
      <c r="H63" s="163" t="s">
        <v>402</v>
      </c>
      <c r="I63" s="314">
        <f t="shared" si="6"/>
        <v>3.389830508474579E-2</v>
      </c>
      <c r="J63" s="313"/>
      <c r="K63" s="313">
        <v>1.4</v>
      </c>
      <c r="L63" s="313" t="s">
        <v>401</v>
      </c>
    </row>
    <row r="64" spans="1:12" s="138" customFormat="1" ht="16.2" thickBot="1" x14ac:dyDescent="0.35">
      <c r="A64" s="319" t="s">
        <v>460</v>
      </c>
      <c r="B64" s="309" t="s">
        <v>70</v>
      </c>
      <c r="C64" s="310" t="s">
        <v>27</v>
      </c>
      <c r="D64" s="311">
        <f t="shared" si="4"/>
        <v>10.43</v>
      </c>
      <c r="E64" s="311">
        <f t="shared" si="5"/>
        <v>10.07</v>
      </c>
      <c r="F64" s="315">
        <f t="shared" si="8"/>
        <v>9.15</v>
      </c>
      <c r="G64" s="318">
        <f t="shared" si="9"/>
        <v>9.15</v>
      </c>
      <c r="H64" s="163" t="s">
        <v>402</v>
      </c>
      <c r="I64" s="314">
        <f t="shared" si="6"/>
        <v>3.4515819750719025E-2</v>
      </c>
      <c r="J64" s="313"/>
      <c r="K64" s="313">
        <v>9</v>
      </c>
      <c r="L64" s="313" t="s">
        <v>401</v>
      </c>
    </row>
    <row r="65" spans="1:12" s="138" customFormat="1" ht="16.2" thickBot="1" x14ac:dyDescent="0.35">
      <c r="A65" s="319" t="s">
        <v>461</v>
      </c>
      <c r="B65" s="309" t="s">
        <v>71</v>
      </c>
      <c r="C65" s="310" t="s">
        <v>27</v>
      </c>
      <c r="D65" s="311">
        <f t="shared" si="4"/>
        <v>12.709999999999999</v>
      </c>
      <c r="E65" s="311">
        <f t="shared" si="5"/>
        <v>12.27</v>
      </c>
      <c r="F65" s="315">
        <f t="shared" si="8"/>
        <v>11.15</v>
      </c>
      <c r="G65" s="318">
        <f t="shared" si="9"/>
        <v>11.15</v>
      </c>
      <c r="H65" s="163" t="s">
        <v>402</v>
      </c>
      <c r="I65" s="314">
        <f t="shared" si="6"/>
        <v>3.4618410700235996E-2</v>
      </c>
      <c r="J65" s="313"/>
      <c r="K65" s="313">
        <v>11</v>
      </c>
      <c r="L65" s="313" t="s">
        <v>401</v>
      </c>
    </row>
    <row r="66" spans="1:12" s="138" customFormat="1" ht="16.2" thickBot="1" x14ac:dyDescent="0.35">
      <c r="A66" s="319" t="s">
        <v>462</v>
      </c>
      <c r="B66" s="309" t="s">
        <v>72</v>
      </c>
      <c r="C66" s="310" t="s">
        <v>27</v>
      </c>
      <c r="D66" s="311">
        <f t="shared" si="4"/>
        <v>3.3699999999999997</v>
      </c>
      <c r="E66" s="311">
        <f t="shared" si="5"/>
        <v>3.25</v>
      </c>
      <c r="F66" s="315">
        <f t="shared" si="8"/>
        <v>2.9499999999999997</v>
      </c>
      <c r="G66" s="318">
        <f t="shared" si="9"/>
        <v>2.9499999999999997</v>
      </c>
      <c r="H66" s="163" t="s">
        <v>402</v>
      </c>
      <c r="I66" s="314">
        <f t="shared" si="6"/>
        <v>3.560830860534115E-2</v>
      </c>
      <c r="J66" s="313"/>
      <c r="K66" s="313">
        <v>2.8</v>
      </c>
      <c r="L66" s="313" t="s">
        <v>401</v>
      </c>
    </row>
    <row r="67" spans="1:12" s="138" customFormat="1" ht="16.2" thickBot="1" x14ac:dyDescent="0.35">
      <c r="A67" s="319" t="s">
        <v>463</v>
      </c>
      <c r="B67" s="309" t="s">
        <v>73</v>
      </c>
      <c r="C67" s="310" t="s">
        <v>27</v>
      </c>
      <c r="D67" s="311">
        <f t="shared" si="4"/>
        <v>4.16</v>
      </c>
      <c r="E67" s="311">
        <f t="shared" si="5"/>
        <v>4.0199999999999996</v>
      </c>
      <c r="F67" s="315">
        <f t="shared" si="8"/>
        <v>3.65</v>
      </c>
      <c r="G67" s="318">
        <f t="shared" si="9"/>
        <v>3.65</v>
      </c>
      <c r="H67" s="163" t="s">
        <v>402</v>
      </c>
      <c r="I67" s="314">
        <f t="shared" si="6"/>
        <v>3.3653846153846291E-2</v>
      </c>
      <c r="J67" s="313"/>
      <c r="K67" s="313">
        <v>3.5</v>
      </c>
      <c r="L67" s="313" t="s">
        <v>401</v>
      </c>
    </row>
    <row r="68" spans="1:12" s="138" customFormat="1" ht="16.2" thickBot="1" x14ac:dyDescent="0.35">
      <c r="A68" s="319" t="s">
        <v>464</v>
      </c>
      <c r="B68" s="309" t="s">
        <v>74</v>
      </c>
      <c r="C68" s="310" t="s">
        <v>27</v>
      </c>
      <c r="D68" s="311">
        <f t="shared" si="4"/>
        <v>6.4399999999999995</v>
      </c>
      <c r="E68" s="311">
        <f t="shared" si="5"/>
        <v>6.22</v>
      </c>
      <c r="F68" s="315">
        <f t="shared" si="8"/>
        <v>5.65</v>
      </c>
      <c r="G68" s="318">
        <f t="shared" si="9"/>
        <v>5.65</v>
      </c>
      <c r="H68" s="163" t="s">
        <v>402</v>
      </c>
      <c r="I68" s="314">
        <f t="shared" si="6"/>
        <v>3.4161490683229781E-2</v>
      </c>
      <c r="J68" s="313"/>
      <c r="K68" s="313">
        <v>5.5</v>
      </c>
      <c r="L68" s="313" t="s">
        <v>401</v>
      </c>
    </row>
    <row r="69" spans="1:12" s="138" customFormat="1" ht="16.2" thickBot="1" x14ac:dyDescent="0.35">
      <c r="A69" s="319" t="s">
        <v>465</v>
      </c>
      <c r="B69" s="309" t="s">
        <v>75</v>
      </c>
      <c r="C69" s="310" t="s">
        <v>27</v>
      </c>
      <c r="D69" s="311">
        <f t="shared" si="4"/>
        <v>8.15</v>
      </c>
      <c r="E69" s="311">
        <f t="shared" si="5"/>
        <v>7.87</v>
      </c>
      <c r="F69" s="315">
        <f t="shared" si="8"/>
        <v>7.15</v>
      </c>
      <c r="G69" s="318">
        <f t="shared" si="9"/>
        <v>7.15</v>
      </c>
      <c r="H69" s="163" t="s">
        <v>402</v>
      </c>
      <c r="I69" s="314">
        <f t="shared" si="6"/>
        <v>3.4355828220858926E-2</v>
      </c>
      <c r="J69" s="313"/>
      <c r="K69" s="313">
        <v>7</v>
      </c>
      <c r="L69" s="313" t="s">
        <v>401</v>
      </c>
    </row>
    <row r="70" spans="1:12" s="138" customFormat="1" ht="16.2" thickBot="1" x14ac:dyDescent="0.35">
      <c r="A70" s="319" t="s">
        <v>466</v>
      </c>
      <c r="B70" s="309" t="s">
        <v>76</v>
      </c>
      <c r="C70" s="310" t="s">
        <v>27</v>
      </c>
      <c r="D70" s="311">
        <f t="shared" si="4"/>
        <v>10.199999999999999</v>
      </c>
      <c r="E70" s="311">
        <f t="shared" si="5"/>
        <v>9.85</v>
      </c>
      <c r="F70" s="315">
        <f t="shared" si="8"/>
        <v>8.9500000000000011</v>
      </c>
      <c r="G70" s="318">
        <f t="shared" si="9"/>
        <v>8.9500000000000011</v>
      </c>
      <c r="H70" s="163" t="s">
        <v>402</v>
      </c>
      <c r="I70" s="314">
        <f t="shared" si="6"/>
        <v>3.4313725490196047E-2</v>
      </c>
      <c r="J70" s="313"/>
      <c r="K70" s="313">
        <v>8.8000000000000007</v>
      </c>
      <c r="L70" s="313" t="s">
        <v>401</v>
      </c>
    </row>
    <row r="71" spans="1:12" s="138" customFormat="1" ht="16.2" thickBot="1" x14ac:dyDescent="0.35">
      <c r="A71" s="319" t="s">
        <v>467</v>
      </c>
      <c r="B71" s="309" t="s">
        <v>77</v>
      </c>
      <c r="C71" s="310" t="s">
        <v>27</v>
      </c>
      <c r="D71" s="311">
        <f t="shared" si="4"/>
        <v>22.96</v>
      </c>
      <c r="E71" s="311">
        <f t="shared" si="5"/>
        <v>22.17</v>
      </c>
      <c r="F71" s="315">
        <f t="shared" si="8"/>
        <v>20.149999999999999</v>
      </c>
      <c r="G71" s="318">
        <f t="shared" si="9"/>
        <v>20.149999999999999</v>
      </c>
      <c r="H71" s="163" t="s">
        <v>402</v>
      </c>
      <c r="I71" s="314">
        <f t="shared" si="6"/>
        <v>3.4407665505226441E-2</v>
      </c>
      <c r="J71" s="313"/>
      <c r="K71" s="313">
        <v>20</v>
      </c>
      <c r="L71" s="313" t="s">
        <v>401</v>
      </c>
    </row>
    <row r="72" spans="1:12" s="138" customFormat="1" ht="16.2" thickBot="1" x14ac:dyDescent="0.35">
      <c r="A72" s="319" t="s">
        <v>468</v>
      </c>
      <c r="B72" s="309" t="s">
        <v>78</v>
      </c>
      <c r="C72" s="310" t="s">
        <v>27</v>
      </c>
      <c r="D72" s="311">
        <f t="shared" si="4"/>
        <v>4.16</v>
      </c>
      <c r="E72" s="311">
        <f t="shared" si="5"/>
        <v>4.0199999999999996</v>
      </c>
      <c r="F72" s="315">
        <f t="shared" si="8"/>
        <v>3.65</v>
      </c>
      <c r="G72" s="318">
        <f t="shared" si="9"/>
        <v>3.65</v>
      </c>
      <c r="H72" s="163" t="s">
        <v>402</v>
      </c>
      <c r="I72" s="314">
        <f t="shared" si="6"/>
        <v>3.3653846153846291E-2</v>
      </c>
      <c r="J72" s="313"/>
      <c r="K72" s="313">
        <v>3.5</v>
      </c>
      <c r="L72" s="313" t="s">
        <v>401</v>
      </c>
    </row>
    <row r="73" spans="1:12" s="138" customFormat="1" ht="16.2" thickBot="1" x14ac:dyDescent="0.35">
      <c r="A73" s="319" t="s">
        <v>469</v>
      </c>
      <c r="B73" s="309" t="s">
        <v>79</v>
      </c>
      <c r="C73" s="310" t="s">
        <v>27</v>
      </c>
      <c r="D73" s="311">
        <f t="shared" si="4"/>
        <v>5.87</v>
      </c>
      <c r="E73" s="311">
        <f t="shared" si="5"/>
        <v>5.67</v>
      </c>
      <c r="F73" s="315">
        <f t="shared" si="8"/>
        <v>5.15</v>
      </c>
      <c r="G73" s="318">
        <f t="shared" si="9"/>
        <v>5.15</v>
      </c>
      <c r="H73" s="163" t="s">
        <v>402</v>
      </c>
      <c r="I73" s="314">
        <f t="shared" si="6"/>
        <v>3.4071550255536653E-2</v>
      </c>
      <c r="J73" s="313"/>
      <c r="K73" s="313">
        <v>5</v>
      </c>
      <c r="L73" s="313" t="s">
        <v>401</v>
      </c>
    </row>
    <row r="74" spans="1:12" s="138" customFormat="1" ht="16.2" thickBot="1" x14ac:dyDescent="0.35">
      <c r="A74" s="319" t="s">
        <v>470</v>
      </c>
      <c r="B74" s="309" t="s">
        <v>80</v>
      </c>
      <c r="C74" s="310" t="s">
        <v>27</v>
      </c>
      <c r="D74" s="311">
        <f t="shared" si="4"/>
        <v>5.3</v>
      </c>
      <c r="E74" s="311">
        <f t="shared" si="5"/>
        <v>5.12</v>
      </c>
      <c r="F74" s="315">
        <f t="shared" si="8"/>
        <v>4.6500000000000004</v>
      </c>
      <c r="G74" s="318">
        <f t="shared" si="9"/>
        <v>4.6500000000000004</v>
      </c>
      <c r="H74" s="163" t="s">
        <v>402</v>
      </c>
      <c r="I74" s="314">
        <f t="shared" si="6"/>
        <v>3.3962264150943347E-2</v>
      </c>
      <c r="J74" s="313"/>
      <c r="K74" s="313">
        <v>4.5</v>
      </c>
      <c r="L74" s="313" t="s">
        <v>401</v>
      </c>
    </row>
    <row r="75" spans="1:12" s="138" customFormat="1" ht="16.2" thickBot="1" x14ac:dyDescent="0.35">
      <c r="A75" s="319" t="s">
        <v>471</v>
      </c>
      <c r="B75" s="309" t="s">
        <v>81</v>
      </c>
      <c r="C75" s="310" t="s">
        <v>27</v>
      </c>
      <c r="D75" s="311">
        <f t="shared" si="4"/>
        <v>2.23</v>
      </c>
      <c r="E75" s="311">
        <f t="shared" si="5"/>
        <v>2.15</v>
      </c>
      <c r="F75" s="315">
        <f t="shared" si="8"/>
        <v>1.95</v>
      </c>
      <c r="G75" s="318">
        <f t="shared" si="9"/>
        <v>1.95</v>
      </c>
      <c r="H75" s="163" t="s">
        <v>402</v>
      </c>
      <c r="I75" s="314">
        <f t="shared" si="6"/>
        <v>3.5874439461883442E-2</v>
      </c>
      <c r="J75" s="313"/>
      <c r="K75" s="313">
        <v>1.8</v>
      </c>
      <c r="L75" s="313" t="s">
        <v>401</v>
      </c>
    </row>
    <row r="76" spans="1:12" s="138" customFormat="1" ht="16.2" thickBot="1" x14ac:dyDescent="0.35">
      <c r="A76" s="319" t="s">
        <v>472</v>
      </c>
      <c r="B76" s="309" t="s">
        <v>82</v>
      </c>
      <c r="C76" s="310" t="s">
        <v>27</v>
      </c>
      <c r="D76" s="311">
        <f t="shared" si="4"/>
        <v>20.680000000000003</v>
      </c>
      <c r="E76" s="311">
        <f t="shared" si="5"/>
        <v>19.970000000000002</v>
      </c>
      <c r="F76" s="315">
        <f t="shared" si="8"/>
        <v>18.149999999999999</v>
      </c>
      <c r="G76" s="318">
        <f t="shared" si="9"/>
        <v>18.149999999999999</v>
      </c>
      <c r="H76" s="163" t="s">
        <v>402</v>
      </c>
      <c r="I76" s="314">
        <f t="shared" si="6"/>
        <v>3.4332688588007775E-2</v>
      </c>
      <c r="J76" s="313"/>
      <c r="K76" s="313">
        <v>18</v>
      </c>
      <c r="L76" s="313" t="s">
        <v>401</v>
      </c>
    </row>
    <row r="77" spans="1:12" s="138" customFormat="1" ht="16.2" thickBot="1" x14ac:dyDescent="0.35">
      <c r="A77" s="319" t="s">
        <v>473</v>
      </c>
      <c r="B77" s="309" t="s">
        <v>83</v>
      </c>
      <c r="C77" s="310" t="s">
        <v>27</v>
      </c>
      <c r="D77" s="311">
        <f t="shared" si="4"/>
        <v>11</v>
      </c>
      <c r="E77" s="311">
        <f t="shared" si="5"/>
        <v>10.62</v>
      </c>
      <c r="F77" s="315">
        <f t="shared" si="8"/>
        <v>9.65</v>
      </c>
      <c r="G77" s="318">
        <f t="shared" si="9"/>
        <v>9.65</v>
      </c>
      <c r="H77" s="163" t="s">
        <v>402</v>
      </c>
      <c r="I77" s="314">
        <f t="shared" si="6"/>
        <v>3.4545454545454615E-2</v>
      </c>
      <c r="J77" s="313"/>
      <c r="K77" s="313">
        <v>9.5</v>
      </c>
      <c r="L77" s="313" t="s">
        <v>401</v>
      </c>
    </row>
    <row r="78" spans="1:12" s="138" customFormat="1" ht="16.2" thickBot="1" x14ac:dyDescent="0.35">
      <c r="A78" s="319" t="s">
        <v>474</v>
      </c>
      <c r="B78" s="309" t="s">
        <v>84</v>
      </c>
      <c r="C78" s="310" t="s">
        <v>27</v>
      </c>
      <c r="D78" s="311">
        <f t="shared" si="4"/>
        <v>2.4499999999999997</v>
      </c>
      <c r="E78" s="311">
        <f t="shared" si="5"/>
        <v>2.3699999999999997</v>
      </c>
      <c r="F78" s="315">
        <f t="shared" si="8"/>
        <v>2.15</v>
      </c>
      <c r="G78" s="318">
        <f t="shared" si="9"/>
        <v>2.15</v>
      </c>
      <c r="H78" s="163" t="s">
        <v>402</v>
      </c>
      <c r="I78" s="314">
        <f t="shared" si="6"/>
        <v>3.2653061224489827E-2</v>
      </c>
      <c r="J78" s="313"/>
      <c r="K78" s="313">
        <v>2</v>
      </c>
      <c r="L78" s="313" t="s">
        <v>401</v>
      </c>
    </row>
    <row r="79" spans="1:12" s="138" customFormat="1" ht="16.2" thickBot="1" x14ac:dyDescent="0.35">
      <c r="A79" s="319" t="s">
        <v>475</v>
      </c>
      <c r="B79" s="309" t="s">
        <v>85</v>
      </c>
      <c r="C79" s="310" t="s">
        <v>27</v>
      </c>
      <c r="D79" s="311">
        <f t="shared" si="4"/>
        <v>16.130000000000003</v>
      </c>
      <c r="E79" s="311">
        <f t="shared" si="5"/>
        <v>15.57</v>
      </c>
      <c r="F79" s="315">
        <f t="shared" si="8"/>
        <v>14.15</v>
      </c>
      <c r="G79" s="318">
        <f t="shared" si="9"/>
        <v>14.15</v>
      </c>
      <c r="H79" s="163" t="s">
        <v>402</v>
      </c>
      <c r="I79" s="314">
        <f t="shared" si="6"/>
        <v>3.4717916924984639E-2</v>
      </c>
      <c r="J79" s="313"/>
      <c r="K79" s="313">
        <v>14</v>
      </c>
      <c r="L79" s="313" t="s">
        <v>401</v>
      </c>
    </row>
    <row r="80" spans="1:12" s="138" customFormat="1" ht="16.2" thickBot="1" x14ac:dyDescent="0.35">
      <c r="A80" s="319" t="s">
        <v>476</v>
      </c>
      <c r="B80" s="309" t="s">
        <v>86</v>
      </c>
      <c r="C80" s="310" t="s">
        <v>27</v>
      </c>
      <c r="D80" s="311">
        <f t="shared" si="4"/>
        <v>7.01</v>
      </c>
      <c r="E80" s="311">
        <f t="shared" si="5"/>
        <v>6.77</v>
      </c>
      <c r="F80" s="315">
        <f t="shared" si="8"/>
        <v>6.15</v>
      </c>
      <c r="G80" s="318">
        <f t="shared" si="9"/>
        <v>6.15</v>
      </c>
      <c r="H80" s="163" t="s">
        <v>402</v>
      </c>
      <c r="I80" s="314">
        <f t="shared" si="6"/>
        <v>3.4236804564907304E-2</v>
      </c>
      <c r="J80" s="313"/>
      <c r="K80" s="313">
        <v>6</v>
      </c>
      <c r="L80" s="313" t="s">
        <v>401</v>
      </c>
    </row>
    <row r="81" spans="1:12" s="138" customFormat="1" ht="16.2" thickBot="1" x14ac:dyDescent="0.35">
      <c r="A81" s="319" t="s">
        <v>477</v>
      </c>
      <c r="B81" s="309" t="s">
        <v>87</v>
      </c>
      <c r="C81" s="310" t="s">
        <v>27</v>
      </c>
      <c r="D81" s="311">
        <f t="shared" si="4"/>
        <v>7.01</v>
      </c>
      <c r="E81" s="311">
        <f t="shared" si="5"/>
        <v>6.77</v>
      </c>
      <c r="F81" s="315">
        <f t="shared" si="8"/>
        <v>6.15</v>
      </c>
      <c r="G81" s="318">
        <f t="shared" si="9"/>
        <v>6.15</v>
      </c>
      <c r="H81" s="163" t="s">
        <v>402</v>
      </c>
      <c r="I81" s="314">
        <f t="shared" si="6"/>
        <v>3.4236804564907304E-2</v>
      </c>
      <c r="J81" s="313"/>
      <c r="K81" s="313">
        <v>6</v>
      </c>
      <c r="L81" s="313" t="s">
        <v>401</v>
      </c>
    </row>
    <row r="82" spans="1:12" s="138" customFormat="1" ht="16.2" thickBot="1" x14ac:dyDescent="0.35">
      <c r="A82" s="319" t="s">
        <v>478</v>
      </c>
      <c r="B82" s="309" t="s">
        <v>88</v>
      </c>
      <c r="C82" s="310" t="s">
        <v>27</v>
      </c>
      <c r="D82" s="311">
        <f t="shared" si="4"/>
        <v>2.4499999999999997</v>
      </c>
      <c r="E82" s="311">
        <f t="shared" si="5"/>
        <v>2.3699999999999997</v>
      </c>
      <c r="F82" s="315">
        <f t="shared" si="8"/>
        <v>2.15</v>
      </c>
      <c r="G82" s="318">
        <f t="shared" si="9"/>
        <v>2.15</v>
      </c>
      <c r="H82" s="163" t="s">
        <v>402</v>
      </c>
      <c r="I82" s="314">
        <f t="shared" si="6"/>
        <v>3.2653061224489827E-2</v>
      </c>
      <c r="J82" s="313"/>
      <c r="K82" s="313">
        <v>2</v>
      </c>
      <c r="L82" s="313" t="s">
        <v>401</v>
      </c>
    </row>
    <row r="83" spans="1:12" s="138" customFormat="1" ht="16.2" thickBot="1" x14ac:dyDescent="0.35">
      <c r="A83" s="319" t="s">
        <v>479</v>
      </c>
      <c r="B83" s="309" t="s">
        <v>89</v>
      </c>
      <c r="C83" s="310" t="s">
        <v>27</v>
      </c>
      <c r="D83" s="311">
        <f t="shared" si="4"/>
        <v>2.6799999999999997</v>
      </c>
      <c r="E83" s="311">
        <f t="shared" si="5"/>
        <v>2.59</v>
      </c>
      <c r="F83" s="315">
        <f t="shared" si="8"/>
        <v>2.35</v>
      </c>
      <c r="G83" s="318">
        <f t="shared" si="9"/>
        <v>2.35</v>
      </c>
      <c r="H83" s="163" t="s">
        <v>402</v>
      </c>
      <c r="I83" s="314">
        <f t="shared" si="6"/>
        <v>3.3582089552238757E-2</v>
      </c>
      <c r="J83" s="313"/>
      <c r="K83" s="313">
        <v>2.2000000000000002</v>
      </c>
      <c r="L83" s="313" t="s">
        <v>401</v>
      </c>
    </row>
    <row r="84" spans="1:12" s="138" customFormat="1" ht="16.2" thickBot="1" x14ac:dyDescent="0.35">
      <c r="A84" s="319" t="s">
        <v>480</v>
      </c>
      <c r="B84" s="309" t="s">
        <v>90</v>
      </c>
      <c r="C84" s="310" t="s">
        <v>27</v>
      </c>
      <c r="D84" s="311">
        <f t="shared" si="4"/>
        <v>3.82</v>
      </c>
      <c r="E84" s="311">
        <f t="shared" si="5"/>
        <v>3.69</v>
      </c>
      <c r="F84" s="315">
        <f t="shared" si="8"/>
        <v>3.35</v>
      </c>
      <c r="G84" s="318">
        <f t="shared" si="9"/>
        <v>3.35</v>
      </c>
      <c r="H84" s="163" t="s">
        <v>402</v>
      </c>
      <c r="I84" s="314">
        <f t="shared" si="6"/>
        <v>3.4031413612565418E-2</v>
      </c>
      <c r="J84" s="313"/>
      <c r="K84" s="313">
        <v>3.2</v>
      </c>
      <c r="L84" s="313" t="s">
        <v>401</v>
      </c>
    </row>
    <row r="85" spans="1:12" s="138" customFormat="1" ht="16.2" thickBot="1" x14ac:dyDescent="0.35">
      <c r="A85" s="319" t="s">
        <v>481</v>
      </c>
      <c r="B85" s="309" t="s">
        <v>91</v>
      </c>
      <c r="C85" s="310" t="s">
        <v>27</v>
      </c>
      <c r="D85" s="311">
        <f t="shared" si="4"/>
        <v>7.24</v>
      </c>
      <c r="E85" s="311">
        <f t="shared" si="5"/>
        <v>6.99</v>
      </c>
      <c r="F85" s="315">
        <f t="shared" si="8"/>
        <v>6.3500000000000005</v>
      </c>
      <c r="G85" s="318">
        <f t="shared" si="9"/>
        <v>6.3500000000000005</v>
      </c>
      <c r="H85" s="163" t="s">
        <v>402</v>
      </c>
      <c r="I85" s="314">
        <f t="shared" si="6"/>
        <v>3.4530386740331494E-2</v>
      </c>
      <c r="J85" s="313"/>
      <c r="K85" s="313">
        <v>6.2</v>
      </c>
      <c r="L85" s="313" t="s">
        <v>401</v>
      </c>
    </row>
    <row r="86" spans="1:12" s="138" customFormat="1" ht="16.2" thickBot="1" x14ac:dyDescent="0.35">
      <c r="A86" s="319" t="s">
        <v>482</v>
      </c>
      <c r="B86" s="309" t="s">
        <v>92</v>
      </c>
      <c r="C86" s="310" t="s">
        <v>27</v>
      </c>
      <c r="D86" s="311">
        <f t="shared" si="4"/>
        <v>8.15</v>
      </c>
      <c r="E86" s="311">
        <f t="shared" si="5"/>
        <v>7.87</v>
      </c>
      <c r="F86" s="315">
        <f t="shared" si="8"/>
        <v>7.15</v>
      </c>
      <c r="G86" s="318">
        <f t="shared" si="9"/>
        <v>7.15</v>
      </c>
      <c r="H86" s="163" t="s">
        <v>402</v>
      </c>
      <c r="I86" s="314">
        <f t="shared" si="6"/>
        <v>3.4355828220858926E-2</v>
      </c>
      <c r="J86" s="313"/>
      <c r="K86" s="313">
        <v>7</v>
      </c>
      <c r="L86" s="313" t="s">
        <v>401</v>
      </c>
    </row>
    <row r="87" spans="1:12" s="138" customFormat="1" ht="16.2" thickBot="1" x14ac:dyDescent="0.35">
      <c r="A87" s="319" t="s">
        <v>483</v>
      </c>
      <c r="B87" s="309" t="s">
        <v>93</v>
      </c>
      <c r="C87" s="310" t="s">
        <v>34</v>
      </c>
      <c r="D87" s="311">
        <f t="shared" si="4"/>
        <v>11.4</v>
      </c>
      <c r="E87" s="311">
        <f t="shared" si="5"/>
        <v>11</v>
      </c>
      <c r="F87" s="315">
        <v>10</v>
      </c>
      <c r="G87" s="318">
        <v>10</v>
      </c>
      <c r="H87" s="163" t="s">
        <v>599</v>
      </c>
      <c r="I87" s="314">
        <f t="shared" si="6"/>
        <v>3.5087719298245647E-2</v>
      </c>
      <c r="J87" s="313"/>
      <c r="K87" s="313">
        <v>8</v>
      </c>
      <c r="L87" s="313" t="s">
        <v>400</v>
      </c>
    </row>
    <row r="88" spans="1:12" s="138" customFormat="1" ht="16.2" thickBot="1" x14ac:dyDescent="0.35">
      <c r="A88" s="319" t="s">
        <v>484</v>
      </c>
      <c r="B88" s="156" t="s">
        <v>252</v>
      </c>
      <c r="C88" s="158" t="s">
        <v>27</v>
      </c>
      <c r="D88" s="159">
        <f t="shared" si="4"/>
        <v>68.36</v>
      </c>
      <c r="E88" s="159">
        <f t="shared" si="5"/>
        <v>66</v>
      </c>
      <c r="F88" s="160">
        <v>60</v>
      </c>
      <c r="G88" s="161">
        <v>60</v>
      </c>
      <c r="H88" s="174" t="s">
        <v>595</v>
      </c>
      <c r="I88" s="5">
        <f t="shared" si="6"/>
        <v>3.4523112931538903E-2</v>
      </c>
    </row>
    <row r="89" spans="1:12" s="138" customFormat="1" ht="16.2" thickBot="1" x14ac:dyDescent="0.35">
      <c r="A89" s="319" t="s">
        <v>485</v>
      </c>
      <c r="B89" s="156" t="s">
        <v>251</v>
      </c>
      <c r="C89" s="158" t="s">
        <v>27</v>
      </c>
      <c r="D89" s="159">
        <f t="shared" si="4"/>
        <v>22.790000000000003</v>
      </c>
      <c r="E89" s="159">
        <f t="shared" si="5"/>
        <v>21.12</v>
      </c>
      <c r="F89" s="160">
        <v>20</v>
      </c>
      <c r="G89" s="161">
        <f>+F89*0.96</f>
        <v>19.2</v>
      </c>
      <c r="H89" s="174" t="s">
        <v>606</v>
      </c>
      <c r="I89" s="5">
        <f t="shared" si="6"/>
        <v>7.3277753400614376E-2</v>
      </c>
    </row>
    <row r="90" spans="1:12" s="138" customFormat="1" ht="16.2" thickBot="1" x14ac:dyDescent="0.35">
      <c r="A90" s="319" t="s">
        <v>486</v>
      </c>
      <c r="B90" s="156"/>
      <c r="C90" s="158"/>
      <c r="D90" s="159"/>
      <c r="E90" s="159"/>
      <c r="F90" s="160"/>
      <c r="G90" s="161"/>
      <c r="H90" s="174"/>
      <c r="I90" s="5"/>
    </row>
    <row r="91" spans="1:12" s="138" customFormat="1" ht="16.2" thickBot="1" x14ac:dyDescent="0.35">
      <c r="A91" s="319" t="s">
        <v>487</v>
      </c>
      <c r="B91" s="156"/>
      <c r="C91" s="158"/>
      <c r="D91" s="159"/>
      <c r="E91" s="159"/>
      <c r="F91" s="160"/>
      <c r="G91" s="161"/>
      <c r="H91" s="174"/>
      <c r="I91" s="5"/>
    </row>
    <row r="92" spans="1:12" s="138" customFormat="1" ht="16.2" thickBot="1" x14ac:dyDescent="0.35">
      <c r="A92" s="319" t="s">
        <v>488</v>
      </c>
      <c r="B92" s="156"/>
      <c r="C92" s="158"/>
      <c r="D92" s="159"/>
      <c r="E92" s="159"/>
      <c r="F92" s="160"/>
      <c r="G92" s="161"/>
      <c r="H92" s="174"/>
      <c r="I92" s="5"/>
    </row>
    <row r="93" spans="1:12" s="138" customFormat="1" ht="16.2" thickBot="1" x14ac:dyDescent="0.35">
      <c r="A93" s="319" t="s">
        <v>489</v>
      </c>
      <c r="B93" s="156"/>
      <c r="C93" s="158"/>
      <c r="D93" s="159"/>
      <c r="E93" s="159"/>
      <c r="F93" s="160"/>
      <c r="G93" s="161"/>
      <c r="H93" s="174"/>
      <c r="I93" s="5"/>
    </row>
    <row r="94" spans="1:12" s="138" customFormat="1" ht="16.2" thickBot="1" x14ac:dyDescent="0.35">
      <c r="A94" s="319" t="s">
        <v>490</v>
      </c>
      <c r="B94" s="156"/>
      <c r="C94" s="158"/>
      <c r="D94" s="159"/>
      <c r="E94" s="159"/>
      <c r="F94" s="160"/>
      <c r="G94" s="161"/>
      <c r="H94" s="174"/>
      <c r="I94" s="5"/>
    </row>
    <row r="95" spans="1:12" s="138" customFormat="1" ht="16.2" thickBot="1" x14ac:dyDescent="0.35">
      <c r="A95" s="319" t="s">
        <v>491</v>
      </c>
      <c r="B95" s="156"/>
      <c r="C95" s="158"/>
      <c r="D95" s="159"/>
      <c r="E95" s="159"/>
      <c r="F95" s="160"/>
      <c r="G95" s="161"/>
      <c r="H95" s="174"/>
      <c r="I95" s="5"/>
    </row>
    <row r="96" spans="1:12" s="138" customFormat="1" ht="16.2" thickBot="1" x14ac:dyDescent="0.35">
      <c r="A96" s="319" t="s">
        <v>492</v>
      </c>
      <c r="B96" s="156"/>
      <c r="C96" s="158"/>
      <c r="D96" s="159"/>
      <c r="E96" s="159"/>
      <c r="F96" s="160"/>
      <c r="G96" s="161"/>
      <c r="H96" s="174"/>
      <c r="I96" s="5"/>
    </row>
    <row r="97" spans="1:10" s="138" customFormat="1" ht="16.2" thickBot="1" x14ac:dyDescent="0.35">
      <c r="A97" s="319" t="s">
        <v>493</v>
      </c>
      <c r="B97" s="156"/>
      <c r="C97" s="158"/>
      <c r="D97" s="159"/>
      <c r="E97" s="159"/>
      <c r="F97" s="160"/>
      <c r="G97" s="161"/>
      <c r="H97" s="174"/>
      <c r="I97" s="5"/>
    </row>
    <row r="98" spans="1:10" s="138" customFormat="1" ht="16.2" thickBot="1" x14ac:dyDescent="0.35">
      <c r="A98" s="319" t="s">
        <v>494</v>
      </c>
      <c r="B98" s="156"/>
      <c r="C98" s="158"/>
      <c r="D98" s="159"/>
      <c r="E98" s="159"/>
      <c r="F98" s="160"/>
      <c r="G98" s="161"/>
      <c r="H98" s="174"/>
      <c r="I98" s="5"/>
    </row>
    <row r="99" spans="1:10" s="138" customFormat="1" ht="16.2" thickBot="1" x14ac:dyDescent="0.35">
      <c r="A99" s="319"/>
      <c r="B99" s="156"/>
      <c r="C99" s="158"/>
      <c r="D99" s="159"/>
      <c r="E99" s="159"/>
      <c r="F99" s="160"/>
      <c r="G99" s="161"/>
      <c r="H99" s="162"/>
      <c r="I99" s="5"/>
    </row>
    <row r="100" spans="1:10" s="138" customFormat="1" ht="21.6" thickBot="1" x14ac:dyDescent="0.45">
      <c r="A100" s="178"/>
      <c r="B100" s="170" t="s">
        <v>94</v>
      </c>
      <c r="C100" s="158"/>
      <c r="D100" s="159"/>
      <c r="E100" s="159"/>
      <c r="F100" s="160"/>
      <c r="G100" s="161"/>
      <c r="H100" s="162"/>
      <c r="I100" s="5"/>
    </row>
    <row r="101" spans="1:10" s="138" customFormat="1" ht="16.2" thickBot="1" x14ac:dyDescent="0.35">
      <c r="A101" s="319" t="s">
        <v>495</v>
      </c>
      <c r="B101" s="157" t="s">
        <v>95</v>
      </c>
      <c r="C101" s="158" t="s">
        <v>96</v>
      </c>
      <c r="D101" s="159">
        <f>ROUNDUP(F101*0.87*1.1/0.84,2)</f>
        <v>8.82</v>
      </c>
      <c r="E101" s="159">
        <f>ROUNDUP(G101*1.1,2)</f>
        <v>8.18</v>
      </c>
      <c r="F101" s="160">
        <f>6.73*1.15</f>
        <v>7.7394999999999996</v>
      </c>
      <c r="G101" s="160">
        <f>0.96*F101</f>
        <v>7.4299199999999992</v>
      </c>
      <c r="H101" s="163" t="s">
        <v>272</v>
      </c>
      <c r="I101" s="5">
        <f t="shared" ref="I101:I114" si="10">(-E101+D101)/D101</f>
        <v>7.2562358276644048E-2</v>
      </c>
    </row>
    <row r="102" spans="1:10" s="138" customFormat="1" ht="16.2" thickBot="1" x14ac:dyDescent="0.35">
      <c r="A102" s="319" t="s">
        <v>496</v>
      </c>
      <c r="B102" s="157" t="s">
        <v>97</v>
      </c>
      <c r="C102" s="158" t="s">
        <v>96</v>
      </c>
      <c r="D102" s="159">
        <f>ROUNDUP(F102*0.87*1.1/0.84,2)</f>
        <v>8.82</v>
      </c>
      <c r="E102" s="159">
        <f>ROUNDUP(G102*1.1,2)</f>
        <v>8.18</v>
      </c>
      <c r="F102" s="160">
        <f>6.73*1.15</f>
        <v>7.7394999999999996</v>
      </c>
      <c r="G102" s="160">
        <f>0.96*F102</f>
        <v>7.4299199999999992</v>
      </c>
      <c r="H102" s="163" t="s">
        <v>272</v>
      </c>
      <c r="I102" s="5">
        <f t="shared" si="10"/>
        <v>7.2562358276644048E-2</v>
      </c>
    </row>
    <row r="103" spans="1:10" s="138" customFormat="1" ht="16.2" thickBot="1" x14ac:dyDescent="0.35">
      <c r="A103" s="319" t="s">
        <v>497</v>
      </c>
      <c r="B103" s="157" t="s">
        <v>98</v>
      </c>
      <c r="C103" s="158" t="s">
        <v>34</v>
      </c>
      <c r="D103" s="159">
        <f t="shared" ref="D103:D166" si="11">ROUNDUP(F103*0.87*1.1/0.84,2)</f>
        <v>10.07</v>
      </c>
      <c r="E103" s="159">
        <f t="shared" ref="E103:E166" si="12">ROUNDUP(G103*1.1,2)</f>
        <v>9.7200000000000006</v>
      </c>
      <c r="F103" s="161">
        <f>7.68*1.15</f>
        <v>8.831999999999999</v>
      </c>
      <c r="G103" s="161">
        <f>7.68*1.15</f>
        <v>8.831999999999999</v>
      </c>
      <c r="H103" s="175" t="s">
        <v>274</v>
      </c>
      <c r="I103" s="5">
        <f t="shared" si="10"/>
        <v>3.4756703078450808E-2</v>
      </c>
    </row>
    <row r="104" spans="1:10" s="138" customFormat="1" ht="16.2" thickBot="1" x14ac:dyDescent="0.35">
      <c r="A104" s="319" t="s">
        <v>498</v>
      </c>
      <c r="B104" s="157" t="s">
        <v>99</v>
      </c>
      <c r="C104" s="158" t="s">
        <v>34</v>
      </c>
      <c r="D104" s="159">
        <f t="shared" si="11"/>
        <v>12.43</v>
      </c>
      <c r="E104" s="159">
        <f t="shared" si="12"/>
        <v>12</v>
      </c>
      <c r="F104" s="161">
        <f>9.48*1.15</f>
        <v>10.901999999999999</v>
      </c>
      <c r="G104" s="161">
        <f>9.48*1.15</f>
        <v>10.901999999999999</v>
      </c>
      <c r="H104" s="175" t="s">
        <v>275</v>
      </c>
      <c r="I104" s="5">
        <f t="shared" si="10"/>
        <v>3.4593724859211562E-2</v>
      </c>
      <c r="J104" s="138">
        <f>74/(3.66*2.134)</f>
        <v>9.4744982356947887</v>
      </c>
    </row>
    <row r="105" spans="1:10" s="138" customFormat="1" ht="16.2" thickBot="1" x14ac:dyDescent="0.35">
      <c r="A105" s="319" t="s">
        <v>499</v>
      </c>
      <c r="B105" s="157" t="s">
        <v>100</v>
      </c>
      <c r="C105" s="158" t="s">
        <v>34</v>
      </c>
      <c r="D105" s="159">
        <f t="shared" si="11"/>
        <v>14.1</v>
      </c>
      <c r="E105" s="159">
        <f t="shared" si="12"/>
        <v>13.62</v>
      </c>
      <c r="F105" s="161">
        <f>10.76*1.15</f>
        <v>12.373999999999999</v>
      </c>
      <c r="G105" s="161">
        <f>10.76*1.15</f>
        <v>12.373999999999999</v>
      </c>
      <c r="H105" s="175" t="s">
        <v>276</v>
      </c>
      <c r="I105" s="5">
        <f t="shared" si="10"/>
        <v>3.404255319148939E-2</v>
      </c>
      <c r="J105" s="138">
        <f>84/(3.66*2.134)</f>
        <v>10.754835835113003</v>
      </c>
    </row>
    <row r="106" spans="1:10" s="138" customFormat="1" ht="16.2" thickBot="1" x14ac:dyDescent="0.35">
      <c r="A106" s="319" t="s">
        <v>500</v>
      </c>
      <c r="B106" s="157" t="s">
        <v>101</v>
      </c>
      <c r="C106" s="158" t="s">
        <v>34</v>
      </c>
      <c r="D106" s="159">
        <f t="shared" si="11"/>
        <v>18.740000000000002</v>
      </c>
      <c r="E106" s="159">
        <f t="shared" si="12"/>
        <v>18.09</v>
      </c>
      <c r="F106" s="161">
        <f>14.3*1.15</f>
        <v>16.445</v>
      </c>
      <c r="G106" s="161">
        <f>14.3*1.15</f>
        <v>16.445</v>
      </c>
      <c r="H106" s="175" t="s">
        <v>277</v>
      </c>
      <c r="I106" s="5">
        <f t="shared" si="10"/>
        <v>3.4685165421558271E-2</v>
      </c>
      <c r="J106" s="138">
        <f>110/(3.66*2.134)</f>
        <v>14.083713593600361</v>
      </c>
    </row>
    <row r="107" spans="1:10" s="138" customFormat="1" ht="16.2" thickBot="1" x14ac:dyDescent="0.35">
      <c r="A107" s="319" t="s">
        <v>501</v>
      </c>
      <c r="B107" s="157" t="s">
        <v>102</v>
      </c>
      <c r="C107" s="158" t="s">
        <v>34</v>
      </c>
      <c r="D107" s="159">
        <f t="shared" si="11"/>
        <v>13.22</v>
      </c>
      <c r="E107" s="159">
        <f t="shared" si="12"/>
        <v>12.77</v>
      </c>
      <c r="F107" s="161">
        <f>10.09*1.15</f>
        <v>11.603499999999999</v>
      </c>
      <c r="G107" s="161">
        <f>10.09*1.15</f>
        <v>11.603499999999999</v>
      </c>
      <c r="H107" s="176" t="s">
        <v>278</v>
      </c>
      <c r="I107" s="5">
        <f t="shared" si="10"/>
        <v>3.4039334341906279E-2</v>
      </c>
    </row>
    <row r="108" spans="1:10" s="138" customFormat="1" ht="16.2" thickBot="1" x14ac:dyDescent="0.35">
      <c r="A108" s="319" t="s">
        <v>502</v>
      </c>
      <c r="B108" s="157" t="s">
        <v>103</v>
      </c>
      <c r="C108" s="158" t="s">
        <v>34</v>
      </c>
      <c r="D108" s="159">
        <f t="shared" si="11"/>
        <v>14.52</v>
      </c>
      <c r="E108" s="159">
        <f t="shared" si="12"/>
        <v>14.02</v>
      </c>
      <c r="F108" s="161">
        <f>11.08*1.15</f>
        <v>12.741999999999999</v>
      </c>
      <c r="G108" s="161">
        <f>11.08*1.15</f>
        <v>12.741999999999999</v>
      </c>
      <c r="H108" s="175" t="s">
        <v>279</v>
      </c>
      <c r="I108" s="5">
        <f t="shared" si="10"/>
        <v>3.4435261707988982E-2</v>
      </c>
    </row>
    <row r="109" spans="1:10" s="138" customFormat="1" ht="16.2" thickBot="1" x14ac:dyDescent="0.35">
      <c r="A109" s="319" t="s">
        <v>503</v>
      </c>
      <c r="B109" s="157" t="s">
        <v>104</v>
      </c>
      <c r="C109" s="158" t="s">
        <v>34</v>
      </c>
      <c r="D109" s="159">
        <f t="shared" si="11"/>
        <v>18.78</v>
      </c>
      <c r="E109" s="159">
        <f t="shared" si="12"/>
        <v>18.130000000000003</v>
      </c>
      <c r="F109" s="161">
        <f>14.33*1.15</f>
        <v>16.479499999999998</v>
      </c>
      <c r="G109" s="161">
        <f>14.33*1.15</f>
        <v>16.479499999999998</v>
      </c>
      <c r="H109" s="176" t="s">
        <v>280</v>
      </c>
      <c r="I109" s="5">
        <f t="shared" si="10"/>
        <v>3.4611288604898753E-2</v>
      </c>
    </row>
    <row r="110" spans="1:10" s="138" customFormat="1" ht="16.2" thickBot="1" x14ac:dyDescent="0.35">
      <c r="A110" s="319" t="s">
        <v>504</v>
      </c>
      <c r="B110" s="157" t="s">
        <v>105</v>
      </c>
      <c r="C110" s="158" t="s">
        <v>34</v>
      </c>
      <c r="D110" s="159">
        <f t="shared" si="11"/>
        <v>21.82</v>
      </c>
      <c r="E110" s="159">
        <f t="shared" si="12"/>
        <v>21.07</v>
      </c>
      <c r="F110" s="161">
        <f>16.65*1.15</f>
        <v>19.147499999999997</v>
      </c>
      <c r="G110" s="161">
        <f>16.65*1.15</f>
        <v>19.147499999999997</v>
      </c>
      <c r="H110" s="175" t="s">
        <v>281</v>
      </c>
      <c r="I110" s="5">
        <f t="shared" si="10"/>
        <v>3.4372135655362054E-2</v>
      </c>
    </row>
    <row r="111" spans="1:10" s="138" customFormat="1" ht="16.2" thickBot="1" x14ac:dyDescent="0.35">
      <c r="A111" s="319" t="s">
        <v>505</v>
      </c>
      <c r="B111" s="157" t="s">
        <v>106</v>
      </c>
      <c r="C111" s="158" t="s">
        <v>34</v>
      </c>
      <c r="D111" s="159">
        <f t="shared" si="11"/>
        <v>7.21</v>
      </c>
      <c r="E111" s="159">
        <f t="shared" si="12"/>
        <v>6.68</v>
      </c>
      <c r="F111" s="161">
        <f>5.5*1.15</f>
        <v>6.3249999999999993</v>
      </c>
      <c r="G111" s="161">
        <f>+F111*0.96</f>
        <v>6.0719999999999992</v>
      </c>
      <c r="H111" s="162" t="s">
        <v>282</v>
      </c>
      <c r="I111" s="5">
        <f t="shared" si="10"/>
        <v>7.3509015256588109E-2</v>
      </c>
    </row>
    <row r="112" spans="1:10" s="138" customFormat="1" ht="16.2" thickBot="1" x14ac:dyDescent="0.35">
      <c r="A112" s="319" t="s">
        <v>506</v>
      </c>
      <c r="B112" s="157" t="s">
        <v>107</v>
      </c>
      <c r="C112" s="158" t="s">
        <v>34</v>
      </c>
      <c r="D112" s="159">
        <f t="shared" si="11"/>
        <v>9.39</v>
      </c>
      <c r="E112" s="159">
        <f t="shared" si="12"/>
        <v>8.6999999999999993</v>
      </c>
      <c r="F112" s="161">
        <f>7.16*1.15</f>
        <v>8.234</v>
      </c>
      <c r="G112" s="161">
        <f>+F112*0.96</f>
        <v>7.9046399999999997</v>
      </c>
      <c r="H112" s="162" t="s">
        <v>283</v>
      </c>
      <c r="I112" s="5">
        <f t="shared" si="10"/>
        <v>7.348242811501611E-2</v>
      </c>
    </row>
    <row r="113" spans="1:9" s="138" customFormat="1" ht="16.2" thickBot="1" x14ac:dyDescent="0.35">
      <c r="A113" s="319" t="s">
        <v>507</v>
      </c>
      <c r="B113" s="157" t="s">
        <v>108</v>
      </c>
      <c r="C113" s="158" t="s">
        <v>34</v>
      </c>
      <c r="D113" s="159">
        <f t="shared" si="11"/>
        <v>31.450000000000003</v>
      </c>
      <c r="E113" s="159">
        <f t="shared" si="12"/>
        <v>29.150000000000002</v>
      </c>
      <c r="F113" s="161">
        <f>24*1.15</f>
        <v>27.599999999999998</v>
      </c>
      <c r="G113" s="161">
        <f>+F113*0.96</f>
        <v>26.495999999999999</v>
      </c>
      <c r="H113" s="176" t="s">
        <v>284</v>
      </c>
      <c r="I113" s="5">
        <f t="shared" si="10"/>
        <v>7.3131955484896677E-2</v>
      </c>
    </row>
    <row r="114" spans="1:9" s="138" customFormat="1" ht="16.2" thickBot="1" x14ac:dyDescent="0.35">
      <c r="A114" s="319" t="s">
        <v>508</v>
      </c>
      <c r="B114" s="157" t="s">
        <v>109</v>
      </c>
      <c r="C114" s="158" t="s">
        <v>34</v>
      </c>
      <c r="D114" s="159">
        <f t="shared" si="11"/>
        <v>31.450000000000003</v>
      </c>
      <c r="E114" s="159">
        <f t="shared" si="12"/>
        <v>29.150000000000002</v>
      </c>
      <c r="F114" s="161">
        <f>24*1.15</f>
        <v>27.599999999999998</v>
      </c>
      <c r="G114" s="161">
        <f>+F114*0.96</f>
        <v>26.495999999999999</v>
      </c>
      <c r="H114" s="176" t="s">
        <v>284</v>
      </c>
      <c r="I114" s="5">
        <f t="shared" si="10"/>
        <v>7.3131955484896677E-2</v>
      </c>
    </row>
    <row r="115" spans="1:9" s="138" customFormat="1" ht="16.2" thickBot="1" x14ac:dyDescent="0.35">
      <c r="A115" s="319" t="s">
        <v>509</v>
      </c>
      <c r="B115" s="157" t="s">
        <v>110</v>
      </c>
      <c r="C115" s="158" t="s">
        <v>34</v>
      </c>
      <c r="D115" s="159">
        <f t="shared" si="11"/>
        <v>0</v>
      </c>
      <c r="E115" s="159">
        <f t="shared" si="12"/>
        <v>0</v>
      </c>
      <c r="F115" s="161"/>
      <c r="G115" s="161"/>
      <c r="H115" s="176"/>
      <c r="I115" s="5"/>
    </row>
    <row r="116" spans="1:9" s="138" customFormat="1" ht="16.2" thickBot="1" x14ac:dyDescent="0.35">
      <c r="A116" s="319" t="s">
        <v>510</v>
      </c>
      <c r="B116" s="157" t="s">
        <v>111</v>
      </c>
      <c r="C116" s="158" t="s">
        <v>34</v>
      </c>
      <c r="D116" s="159">
        <f t="shared" si="11"/>
        <v>0</v>
      </c>
      <c r="E116" s="159">
        <f t="shared" si="12"/>
        <v>0</v>
      </c>
      <c r="F116" s="161"/>
      <c r="G116" s="161"/>
      <c r="H116" s="162"/>
      <c r="I116" s="5"/>
    </row>
    <row r="117" spans="1:9" s="138" customFormat="1" ht="16.2" thickBot="1" x14ac:dyDescent="0.35">
      <c r="A117" s="319" t="s">
        <v>511</v>
      </c>
      <c r="B117" s="157" t="s">
        <v>112</v>
      </c>
      <c r="C117" s="158" t="s">
        <v>34</v>
      </c>
      <c r="D117" s="159">
        <f t="shared" si="11"/>
        <v>0</v>
      </c>
      <c r="E117" s="159">
        <f t="shared" si="12"/>
        <v>0</v>
      </c>
      <c r="F117" s="161"/>
      <c r="G117" s="161"/>
      <c r="H117" s="162"/>
      <c r="I117" s="5"/>
    </row>
    <row r="118" spans="1:9" s="138" customFormat="1" ht="16.2" thickBot="1" x14ac:dyDescent="0.35">
      <c r="A118" s="319" t="s">
        <v>512</v>
      </c>
      <c r="B118" s="157" t="s">
        <v>113</v>
      </c>
      <c r="C118" s="158" t="s">
        <v>34</v>
      </c>
      <c r="D118" s="159">
        <f t="shared" si="11"/>
        <v>48.48</v>
      </c>
      <c r="E118" s="159">
        <f t="shared" si="12"/>
        <v>44.94</v>
      </c>
      <c r="F118" s="161">
        <f>37*1.15</f>
        <v>42.55</v>
      </c>
      <c r="G118" s="161">
        <f>+F118*0.96</f>
        <v>40.847999999999999</v>
      </c>
      <c r="H118" s="176" t="s">
        <v>285</v>
      </c>
      <c r="I118" s="5">
        <f t="shared" ref="I118:I181" si="13">(-E118+D118)/D118</f>
        <v>7.3019801980198001E-2</v>
      </c>
    </row>
    <row r="119" spans="1:9" s="138" customFormat="1" ht="16.2" thickBot="1" x14ac:dyDescent="0.35">
      <c r="A119" s="319" t="s">
        <v>513</v>
      </c>
      <c r="B119" s="157" t="s">
        <v>114</v>
      </c>
      <c r="C119" s="158" t="s">
        <v>16</v>
      </c>
      <c r="D119" s="159">
        <f t="shared" si="11"/>
        <v>29.85</v>
      </c>
      <c r="E119" s="159">
        <f t="shared" si="12"/>
        <v>27.380000000000003</v>
      </c>
      <c r="F119" s="160">
        <v>26.2</v>
      </c>
      <c r="G119" s="161">
        <f>+F119*0.95</f>
        <v>24.889999999999997</v>
      </c>
      <c r="H119" s="162" t="s">
        <v>115</v>
      </c>
      <c r="I119" s="5">
        <f t="shared" si="13"/>
        <v>8.274706867671687E-2</v>
      </c>
    </row>
    <row r="120" spans="1:9" s="138" customFormat="1" ht="16.2" thickBot="1" x14ac:dyDescent="0.35">
      <c r="A120" s="319" t="s">
        <v>514</v>
      </c>
      <c r="B120" s="157" t="s">
        <v>116</v>
      </c>
      <c r="C120" s="158" t="s">
        <v>16</v>
      </c>
      <c r="D120" s="159">
        <f t="shared" si="11"/>
        <v>47.85</v>
      </c>
      <c r="E120" s="159">
        <f t="shared" si="12"/>
        <v>43.89</v>
      </c>
      <c r="F120" s="160">
        <v>42</v>
      </c>
      <c r="G120" s="161">
        <f>+F120*0.95</f>
        <v>39.9</v>
      </c>
      <c r="H120" s="162" t="s">
        <v>115</v>
      </c>
      <c r="I120" s="5">
        <f t="shared" si="13"/>
        <v>8.2758620689655185E-2</v>
      </c>
    </row>
    <row r="121" spans="1:9" s="138" customFormat="1" ht="16.2" thickBot="1" x14ac:dyDescent="0.35">
      <c r="A121" s="319" t="s">
        <v>515</v>
      </c>
      <c r="B121" s="157" t="s">
        <v>117</v>
      </c>
      <c r="C121" s="158" t="s">
        <v>16</v>
      </c>
      <c r="D121" s="159">
        <f t="shared" si="11"/>
        <v>74.06</v>
      </c>
      <c r="E121" s="159">
        <f t="shared" si="12"/>
        <v>67.930000000000007</v>
      </c>
      <c r="F121" s="160">
        <v>65</v>
      </c>
      <c r="G121" s="161">
        <f>+F121*0.95</f>
        <v>61.75</v>
      </c>
      <c r="H121" s="162" t="s">
        <v>115</v>
      </c>
      <c r="I121" s="5">
        <f t="shared" si="13"/>
        <v>8.2770726438023162E-2</v>
      </c>
    </row>
    <row r="122" spans="1:9" s="138" customFormat="1" ht="16.2" thickBot="1" x14ac:dyDescent="0.35">
      <c r="A122" s="319" t="s">
        <v>516</v>
      </c>
      <c r="B122" s="157" t="s">
        <v>25</v>
      </c>
      <c r="C122" s="158" t="s">
        <v>19</v>
      </c>
      <c r="D122" s="159">
        <f t="shared" si="11"/>
        <v>0.14000000000000001</v>
      </c>
      <c r="E122" s="159">
        <f t="shared" si="12"/>
        <v>0.14000000000000001</v>
      </c>
      <c r="F122" s="160">
        <v>0.12</v>
      </c>
      <c r="G122" s="161">
        <f t="shared" ref="G122:G152" si="14">+F122</f>
        <v>0.12</v>
      </c>
      <c r="H122" s="162" t="s">
        <v>20</v>
      </c>
      <c r="I122" s="5">
        <f t="shared" si="13"/>
        <v>0</v>
      </c>
    </row>
    <row r="123" spans="1:9" s="138" customFormat="1" ht="16.2" thickBot="1" x14ac:dyDescent="0.35">
      <c r="A123" s="319" t="s">
        <v>517</v>
      </c>
      <c r="B123" s="157" t="s">
        <v>118</v>
      </c>
      <c r="C123" s="158" t="s">
        <v>19</v>
      </c>
      <c r="D123" s="159">
        <f t="shared" si="11"/>
        <v>0.35000000000000003</v>
      </c>
      <c r="E123" s="159">
        <f t="shared" si="12"/>
        <v>0.33</v>
      </c>
      <c r="F123" s="160">
        <v>0.3</v>
      </c>
      <c r="G123" s="161">
        <f t="shared" si="14"/>
        <v>0.3</v>
      </c>
      <c r="H123" s="162" t="s">
        <v>20</v>
      </c>
      <c r="I123" s="5">
        <f t="shared" si="13"/>
        <v>5.714285714285719E-2</v>
      </c>
    </row>
    <row r="124" spans="1:9" s="138" customFormat="1" ht="16.2" thickBot="1" x14ac:dyDescent="0.35">
      <c r="A124" s="319" t="s">
        <v>518</v>
      </c>
      <c r="B124" s="157" t="s">
        <v>119</v>
      </c>
      <c r="C124" s="158" t="s">
        <v>27</v>
      </c>
      <c r="D124" s="159">
        <f t="shared" si="11"/>
        <v>1.37</v>
      </c>
      <c r="E124" s="159">
        <f t="shared" si="12"/>
        <v>1.32</v>
      </c>
      <c r="F124" s="161">
        <v>1.2</v>
      </c>
      <c r="G124" s="161">
        <f t="shared" si="14"/>
        <v>1.2</v>
      </c>
      <c r="H124" s="162" t="s">
        <v>20</v>
      </c>
      <c r="I124" s="5">
        <f t="shared" si="13"/>
        <v>3.6496350364963535E-2</v>
      </c>
    </row>
    <row r="125" spans="1:9" s="138" customFormat="1" ht="16.2" thickBot="1" x14ac:dyDescent="0.35">
      <c r="A125" s="319" t="s">
        <v>519</v>
      </c>
      <c r="B125" s="157" t="s">
        <v>604</v>
      </c>
      <c r="C125" s="158" t="s">
        <v>27</v>
      </c>
      <c r="D125" s="159">
        <f t="shared" si="11"/>
        <v>0.57000000000000006</v>
      </c>
      <c r="E125" s="159">
        <f t="shared" si="12"/>
        <v>0.55000000000000004</v>
      </c>
      <c r="F125" s="161">
        <v>0.5</v>
      </c>
      <c r="G125" s="161">
        <f t="shared" si="14"/>
        <v>0.5</v>
      </c>
      <c r="H125" s="162" t="s">
        <v>20</v>
      </c>
      <c r="I125" s="5">
        <f t="shared" si="13"/>
        <v>3.508771929824564E-2</v>
      </c>
    </row>
    <row r="126" spans="1:9" s="138" customFormat="1" ht="16.2" thickBot="1" x14ac:dyDescent="0.35">
      <c r="A126" s="319" t="s">
        <v>520</v>
      </c>
      <c r="B126" s="157" t="s">
        <v>120</v>
      </c>
      <c r="C126" s="158" t="s">
        <v>27</v>
      </c>
      <c r="D126" s="159">
        <f t="shared" si="11"/>
        <v>0.46</v>
      </c>
      <c r="E126" s="159">
        <f t="shared" si="12"/>
        <v>0.44</v>
      </c>
      <c r="F126" s="161">
        <v>0.4</v>
      </c>
      <c r="G126" s="161">
        <f t="shared" si="14"/>
        <v>0.4</v>
      </c>
      <c r="H126" s="162" t="s">
        <v>20</v>
      </c>
      <c r="I126" s="5">
        <f t="shared" si="13"/>
        <v>4.3478260869565251E-2</v>
      </c>
    </row>
    <row r="127" spans="1:9" s="138" customFormat="1" ht="16.2" thickBot="1" x14ac:dyDescent="0.35">
      <c r="A127" s="319" t="s">
        <v>521</v>
      </c>
      <c r="B127" s="157" t="s">
        <v>121</v>
      </c>
      <c r="C127" s="158" t="s">
        <v>27</v>
      </c>
      <c r="D127" s="159">
        <f t="shared" si="11"/>
        <v>0.46</v>
      </c>
      <c r="E127" s="159">
        <f t="shared" si="12"/>
        <v>0.44</v>
      </c>
      <c r="F127" s="161">
        <v>0.4</v>
      </c>
      <c r="G127" s="161">
        <f t="shared" si="14"/>
        <v>0.4</v>
      </c>
      <c r="H127" s="162" t="s">
        <v>20</v>
      </c>
      <c r="I127" s="5">
        <f t="shared" si="13"/>
        <v>4.3478260869565251E-2</v>
      </c>
    </row>
    <row r="128" spans="1:9" s="138" customFormat="1" ht="16.2" thickBot="1" x14ac:dyDescent="0.35">
      <c r="A128" s="319" t="s">
        <v>522</v>
      </c>
      <c r="B128" s="157" t="s">
        <v>122</v>
      </c>
      <c r="C128" s="158" t="s">
        <v>27</v>
      </c>
      <c r="D128" s="159">
        <f t="shared" si="11"/>
        <v>0.57000000000000006</v>
      </c>
      <c r="E128" s="159">
        <f t="shared" si="12"/>
        <v>0.55000000000000004</v>
      </c>
      <c r="F128" s="161">
        <v>0.5</v>
      </c>
      <c r="G128" s="161">
        <f t="shared" si="14"/>
        <v>0.5</v>
      </c>
      <c r="H128" s="162" t="s">
        <v>20</v>
      </c>
      <c r="I128" s="5">
        <f t="shared" si="13"/>
        <v>3.508771929824564E-2</v>
      </c>
    </row>
    <row r="129" spans="1:9" s="138" customFormat="1" ht="16.2" thickBot="1" x14ac:dyDescent="0.35">
      <c r="A129" s="319" t="s">
        <v>523</v>
      </c>
      <c r="B129" s="157" t="s">
        <v>123</v>
      </c>
      <c r="C129" s="158" t="s">
        <v>27</v>
      </c>
      <c r="D129" s="159">
        <f t="shared" si="11"/>
        <v>1.83</v>
      </c>
      <c r="E129" s="159">
        <f t="shared" si="12"/>
        <v>1.76</v>
      </c>
      <c r="F129" s="160">
        <v>1.6</v>
      </c>
      <c r="G129" s="161">
        <f t="shared" si="14"/>
        <v>1.6</v>
      </c>
      <c r="H129" s="162" t="s">
        <v>20</v>
      </c>
      <c r="I129" s="5">
        <f t="shared" si="13"/>
        <v>3.8251366120218615E-2</v>
      </c>
    </row>
    <row r="130" spans="1:9" s="138" customFormat="1" ht="16.2" thickBot="1" x14ac:dyDescent="0.35">
      <c r="A130" s="319" t="s">
        <v>524</v>
      </c>
      <c r="B130" s="157" t="s">
        <v>124</v>
      </c>
      <c r="C130" s="158" t="s">
        <v>27</v>
      </c>
      <c r="D130" s="159">
        <f t="shared" si="11"/>
        <v>3.42</v>
      </c>
      <c r="E130" s="159">
        <f t="shared" si="12"/>
        <v>3.3</v>
      </c>
      <c r="F130" s="160">
        <v>3</v>
      </c>
      <c r="G130" s="161">
        <f t="shared" si="14"/>
        <v>3</v>
      </c>
      <c r="H130" s="162" t="s">
        <v>20</v>
      </c>
      <c r="I130" s="5">
        <f t="shared" si="13"/>
        <v>3.5087719298245647E-2</v>
      </c>
    </row>
    <row r="131" spans="1:9" s="138" customFormat="1" ht="16.2" thickBot="1" x14ac:dyDescent="0.35">
      <c r="A131" s="319" t="s">
        <v>525</v>
      </c>
      <c r="B131" s="157" t="s">
        <v>125</v>
      </c>
      <c r="C131" s="158" t="s">
        <v>27</v>
      </c>
      <c r="D131" s="159">
        <f t="shared" si="11"/>
        <v>0.12</v>
      </c>
      <c r="E131" s="159">
        <f t="shared" si="12"/>
        <v>0.11</v>
      </c>
      <c r="F131" s="160">
        <v>0.1</v>
      </c>
      <c r="G131" s="161">
        <f t="shared" si="14"/>
        <v>0.1</v>
      </c>
      <c r="H131" s="162" t="s">
        <v>20</v>
      </c>
      <c r="I131" s="5">
        <f t="shared" si="13"/>
        <v>8.3333333333333301E-2</v>
      </c>
    </row>
    <row r="132" spans="1:9" s="138" customFormat="1" ht="16.2" thickBot="1" x14ac:dyDescent="0.35">
      <c r="A132" s="319" t="s">
        <v>526</v>
      </c>
      <c r="B132" s="157" t="s">
        <v>126</v>
      </c>
      <c r="C132" s="158" t="s">
        <v>27</v>
      </c>
      <c r="D132" s="159">
        <f t="shared" si="11"/>
        <v>0.12</v>
      </c>
      <c r="E132" s="159">
        <f t="shared" si="12"/>
        <v>0.11</v>
      </c>
      <c r="F132" s="160">
        <v>0.1</v>
      </c>
      <c r="G132" s="161">
        <f t="shared" si="14"/>
        <v>0.1</v>
      </c>
      <c r="H132" s="162" t="s">
        <v>20</v>
      </c>
      <c r="I132" s="5">
        <f t="shared" si="13"/>
        <v>8.3333333333333301E-2</v>
      </c>
    </row>
    <row r="133" spans="1:9" s="138" customFormat="1" ht="16.2" thickBot="1" x14ac:dyDescent="0.35">
      <c r="A133" s="319" t="s">
        <v>527</v>
      </c>
      <c r="B133" s="157" t="s">
        <v>127</v>
      </c>
      <c r="C133" s="158" t="s">
        <v>27</v>
      </c>
      <c r="D133" s="159">
        <f t="shared" si="11"/>
        <v>0.12</v>
      </c>
      <c r="E133" s="159">
        <f t="shared" si="12"/>
        <v>0.11</v>
      </c>
      <c r="F133" s="160">
        <v>0.1</v>
      </c>
      <c r="G133" s="161">
        <f t="shared" si="14"/>
        <v>0.1</v>
      </c>
      <c r="H133" s="162" t="s">
        <v>20</v>
      </c>
      <c r="I133" s="5">
        <f t="shared" si="13"/>
        <v>8.3333333333333301E-2</v>
      </c>
    </row>
    <row r="134" spans="1:9" s="138" customFormat="1" ht="16.2" thickBot="1" x14ac:dyDescent="0.35">
      <c r="A134" s="319" t="s">
        <v>528</v>
      </c>
      <c r="B134" s="157" t="s">
        <v>128</v>
      </c>
      <c r="C134" s="158" t="s">
        <v>27</v>
      </c>
      <c r="D134" s="159">
        <f t="shared" si="11"/>
        <v>0.12</v>
      </c>
      <c r="E134" s="159">
        <f t="shared" si="12"/>
        <v>0.11</v>
      </c>
      <c r="F134" s="160">
        <v>0.1</v>
      </c>
      <c r="G134" s="161">
        <f t="shared" si="14"/>
        <v>0.1</v>
      </c>
      <c r="H134" s="162" t="s">
        <v>20</v>
      </c>
      <c r="I134" s="5">
        <f t="shared" si="13"/>
        <v>8.3333333333333301E-2</v>
      </c>
    </row>
    <row r="135" spans="1:9" s="138" customFormat="1" ht="16.2" thickBot="1" x14ac:dyDescent="0.35">
      <c r="A135" s="319" t="s">
        <v>529</v>
      </c>
      <c r="B135" s="157" t="s">
        <v>192</v>
      </c>
      <c r="C135" s="158" t="s">
        <v>129</v>
      </c>
      <c r="D135" s="159">
        <f t="shared" si="11"/>
        <v>15.26</v>
      </c>
      <c r="E135" s="159">
        <f t="shared" si="12"/>
        <v>14.3</v>
      </c>
      <c r="F135" s="160">
        <f>+G135*1.03</f>
        <v>13.39</v>
      </c>
      <c r="G135" s="161">
        <v>13</v>
      </c>
      <c r="H135" s="162" t="s">
        <v>48</v>
      </c>
      <c r="I135" s="5">
        <f t="shared" si="13"/>
        <v>6.2909567496723398E-2</v>
      </c>
    </row>
    <row r="136" spans="1:9" s="138" customFormat="1" ht="16.2" thickBot="1" x14ac:dyDescent="0.35">
      <c r="A136" s="319" t="s">
        <v>530</v>
      </c>
      <c r="B136" s="157" t="s">
        <v>193</v>
      </c>
      <c r="C136" s="158" t="s">
        <v>129</v>
      </c>
      <c r="D136" s="159">
        <f t="shared" si="11"/>
        <v>19.950000000000003</v>
      </c>
      <c r="E136" s="159">
        <f t="shared" si="12"/>
        <v>18.7</v>
      </c>
      <c r="F136" s="160">
        <f t="shared" ref="F136:F142" si="15">+G136*1.03</f>
        <v>17.510000000000002</v>
      </c>
      <c r="G136" s="161">
        <v>17</v>
      </c>
      <c r="H136" s="162" t="s">
        <v>48</v>
      </c>
      <c r="I136" s="5">
        <f t="shared" si="13"/>
        <v>6.2656641604010188E-2</v>
      </c>
    </row>
    <row r="137" spans="1:9" s="138" customFormat="1" ht="16.2" thickBot="1" x14ac:dyDescent="0.35">
      <c r="A137" s="319" t="s">
        <v>531</v>
      </c>
      <c r="B137" s="157" t="s">
        <v>194</v>
      </c>
      <c r="C137" s="158" t="s">
        <v>129</v>
      </c>
      <c r="D137" s="159">
        <f t="shared" si="11"/>
        <v>22.3</v>
      </c>
      <c r="E137" s="159">
        <f t="shared" si="12"/>
        <v>20.9</v>
      </c>
      <c r="F137" s="160">
        <f t="shared" si="15"/>
        <v>19.57</v>
      </c>
      <c r="G137" s="161">
        <v>19</v>
      </c>
      <c r="H137" s="162" t="s">
        <v>48</v>
      </c>
      <c r="I137" s="5">
        <f t="shared" si="13"/>
        <v>6.2780269058296062E-2</v>
      </c>
    </row>
    <row r="138" spans="1:9" s="138" customFormat="1" ht="16.2" thickBot="1" x14ac:dyDescent="0.35">
      <c r="A138" s="319" t="s">
        <v>532</v>
      </c>
      <c r="B138" s="157" t="s">
        <v>195</v>
      </c>
      <c r="C138" s="158" t="s">
        <v>129</v>
      </c>
      <c r="D138" s="159">
        <f t="shared" si="11"/>
        <v>28.17</v>
      </c>
      <c r="E138" s="159">
        <f t="shared" si="12"/>
        <v>26.4</v>
      </c>
      <c r="F138" s="160">
        <f t="shared" si="15"/>
        <v>24.72</v>
      </c>
      <c r="G138" s="161">
        <v>24</v>
      </c>
      <c r="H138" s="162" t="s">
        <v>48</v>
      </c>
      <c r="I138" s="5">
        <f t="shared" si="13"/>
        <v>6.2832800851970294E-2</v>
      </c>
    </row>
    <row r="139" spans="1:9" s="138" customFormat="1" ht="16.2" thickBot="1" x14ac:dyDescent="0.35">
      <c r="A139" s="319" t="s">
        <v>533</v>
      </c>
      <c r="B139" s="157" t="s">
        <v>196</v>
      </c>
      <c r="C139" s="158" t="s">
        <v>129</v>
      </c>
      <c r="D139" s="159">
        <f t="shared" si="11"/>
        <v>30.520000000000003</v>
      </c>
      <c r="E139" s="159">
        <f t="shared" si="12"/>
        <v>28.6</v>
      </c>
      <c r="F139" s="160">
        <f t="shared" si="15"/>
        <v>26.78</v>
      </c>
      <c r="G139" s="161">
        <v>26</v>
      </c>
      <c r="H139" s="162" t="s">
        <v>48</v>
      </c>
      <c r="I139" s="5">
        <f t="shared" si="13"/>
        <v>6.2909567496723509E-2</v>
      </c>
    </row>
    <row r="140" spans="1:9" s="138" customFormat="1" ht="16.2" thickBot="1" x14ac:dyDescent="0.35">
      <c r="A140" s="319" t="s">
        <v>534</v>
      </c>
      <c r="B140" s="157" t="s">
        <v>197</v>
      </c>
      <c r="C140" s="158" t="s">
        <v>129</v>
      </c>
      <c r="D140" s="159">
        <f t="shared" si="11"/>
        <v>38.729999999999997</v>
      </c>
      <c r="E140" s="159">
        <f t="shared" si="12"/>
        <v>36.299999999999997</v>
      </c>
      <c r="F140" s="160">
        <f t="shared" si="15"/>
        <v>33.99</v>
      </c>
      <c r="G140" s="161">
        <v>33</v>
      </c>
      <c r="H140" s="162" t="s">
        <v>48</v>
      </c>
      <c r="I140" s="5">
        <f t="shared" si="13"/>
        <v>6.2742060418280399E-2</v>
      </c>
    </row>
    <row r="141" spans="1:9" s="138" customFormat="1" ht="16.2" thickBot="1" x14ac:dyDescent="0.35">
      <c r="A141" s="319" t="s">
        <v>535</v>
      </c>
      <c r="B141" s="157" t="s">
        <v>198</v>
      </c>
      <c r="C141" s="158" t="s">
        <v>129</v>
      </c>
      <c r="D141" s="159">
        <f t="shared" si="11"/>
        <v>43.419999999999995</v>
      </c>
      <c r="E141" s="159">
        <f t="shared" si="12"/>
        <v>40.700000000000003</v>
      </c>
      <c r="F141" s="160">
        <f t="shared" si="15"/>
        <v>38.11</v>
      </c>
      <c r="G141" s="161">
        <v>37</v>
      </c>
      <c r="H141" s="162" t="s">
        <v>48</v>
      </c>
      <c r="I141" s="5">
        <f t="shared" si="13"/>
        <v>6.2643942883463657E-2</v>
      </c>
    </row>
    <row r="142" spans="1:9" s="138" customFormat="1" ht="16.2" thickBot="1" x14ac:dyDescent="0.35">
      <c r="A142" s="319" t="s">
        <v>536</v>
      </c>
      <c r="B142" s="157" t="s">
        <v>199</v>
      </c>
      <c r="C142" s="158" t="s">
        <v>129</v>
      </c>
      <c r="D142" s="159">
        <f t="shared" si="11"/>
        <v>52.809999999999995</v>
      </c>
      <c r="E142" s="159">
        <f t="shared" si="12"/>
        <v>49.5</v>
      </c>
      <c r="F142" s="160">
        <f t="shared" si="15"/>
        <v>46.35</v>
      </c>
      <c r="G142" s="161">
        <v>45</v>
      </c>
      <c r="H142" s="162" t="s">
        <v>48</v>
      </c>
      <c r="I142" s="5">
        <f t="shared" si="13"/>
        <v>6.2677523196364243E-2</v>
      </c>
    </row>
    <row r="143" spans="1:9" s="138" customFormat="1" ht="16.2" thickBot="1" x14ac:dyDescent="0.35">
      <c r="A143" s="319" t="s">
        <v>537</v>
      </c>
      <c r="B143" s="157" t="s">
        <v>130</v>
      </c>
      <c r="C143" s="158" t="s">
        <v>27</v>
      </c>
      <c r="D143" s="159">
        <f t="shared" si="11"/>
        <v>2.0599999999999996</v>
      </c>
      <c r="E143" s="159">
        <f t="shared" si="12"/>
        <v>1.98</v>
      </c>
      <c r="F143" s="160">
        <v>1.8</v>
      </c>
      <c r="G143" s="161">
        <f t="shared" si="14"/>
        <v>1.8</v>
      </c>
      <c r="H143" s="162" t="s">
        <v>20</v>
      </c>
      <c r="I143" s="5">
        <f t="shared" si="13"/>
        <v>3.8834951456310503E-2</v>
      </c>
    </row>
    <row r="144" spans="1:9" s="138" customFormat="1" ht="16.2" thickBot="1" x14ac:dyDescent="0.35">
      <c r="A144" s="319" t="s">
        <v>538</v>
      </c>
      <c r="B144" s="157" t="s">
        <v>131</v>
      </c>
      <c r="C144" s="158" t="s">
        <v>27</v>
      </c>
      <c r="D144" s="159">
        <f t="shared" si="11"/>
        <v>1.71</v>
      </c>
      <c r="E144" s="159">
        <f t="shared" si="12"/>
        <v>1.65</v>
      </c>
      <c r="F144" s="160">
        <v>1.5</v>
      </c>
      <c r="G144" s="161">
        <f t="shared" si="14"/>
        <v>1.5</v>
      </c>
      <c r="H144" s="162" t="s">
        <v>20</v>
      </c>
      <c r="I144" s="5">
        <f t="shared" si="13"/>
        <v>3.5087719298245647E-2</v>
      </c>
    </row>
    <row r="145" spans="1:9" s="138" customFormat="1" ht="16.2" thickBot="1" x14ac:dyDescent="0.35">
      <c r="A145" s="319" t="s">
        <v>539</v>
      </c>
      <c r="B145" s="157" t="s">
        <v>132</v>
      </c>
      <c r="C145" s="158" t="s">
        <v>27</v>
      </c>
      <c r="D145" s="159">
        <f t="shared" si="11"/>
        <v>2.8499999999999996</v>
      </c>
      <c r="E145" s="159">
        <f t="shared" si="12"/>
        <v>2.75</v>
      </c>
      <c r="F145" s="160">
        <v>2.5</v>
      </c>
      <c r="G145" s="161">
        <f t="shared" si="14"/>
        <v>2.5</v>
      </c>
      <c r="H145" s="162" t="s">
        <v>20</v>
      </c>
      <c r="I145" s="5">
        <f t="shared" si="13"/>
        <v>3.5087719298245494E-2</v>
      </c>
    </row>
    <row r="146" spans="1:9" s="138" customFormat="1" ht="16.2" thickBot="1" x14ac:dyDescent="0.35">
      <c r="A146" s="319" t="s">
        <v>540</v>
      </c>
      <c r="B146" s="157" t="s">
        <v>133</v>
      </c>
      <c r="C146" s="158" t="s">
        <v>129</v>
      </c>
      <c r="D146" s="159">
        <f t="shared" si="11"/>
        <v>11.17</v>
      </c>
      <c r="E146" s="159">
        <f t="shared" si="12"/>
        <v>10.78</v>
      </c>
      <c r="F146" s="160">
        <v>9.8000000000000007</v>
      </c>
      <c r="G146" s="161">
        <f t="shared" si="14"/>
        <v>9.8000000000000007</v>
      </c>
      <c r="H146" s="162" t="s">
        <v>20</v>
      </c>
      <c r="I146" s="5">
        <f t="shared" si="13"/>
        <v>3.4914950760966929E-2</v>
      </c>
    </row>
    <row r="147" spans="1:9" s="138" customFormat="1" ht="16.2" thickBot="1" x14ac:dyDescent="0.35">
      <c r="A147" s="319" t="s">
        <v>541</v>
      </c>
      <c r="B147" s="157" t="s">
        <v>134</v>
      </c>
      <c r="C147" s="158" t="s">
        <v>129</v>
      </c>
      <c r="D147" s="159">
        <f t="shared" si="11"/>
        <v>17.150000000000002</v>
      </c>
      <c r="E147" s="159">
        <f t="shared" si="12"/>
        <v>16.560000000000002</v>
      </c>
      <c r="F147" s="160">
        <v>15.05</v>
      </c>
      <c r="G147" s="161">
        <f t="shared" si="14"/>
        <v>15.05</v>
      </c>
      <c r="H147" s="162" t="s">
        <v>20</v>
      </c>
      <c r="I147" s="5">
        <f t="shared" si="13"/>
        <v>3.4402332361516019E-2</v>
      </c>
    </row>
    <row r="148" spans="1:9" s="138" customFormat="1" ht="16.2" thickBot="1" x14ac:dyDescent="0.35">
      <c r="A148" s="319" t="s">
        <v>542</v>
      </c>
      <c r="B148" s="157" t="s">
        <v>135</v>
      </c>
      <c r="C148" s="158" t="s">
        <v>129</v>
      </c>
      <c r="D148" s="159">
        <f t="shared" si="11"/>
        <v>21.080000000000002</v>
      </c>
      <c r="E148" s="159">
        <f t="shared" si="12"/>
        <v>20.350000000000001</v>
      </c>
      <c r="F148" s="160">
        <v>18.5</v>
      </c>
      <c r="G148" s="161">
        <f t="shared" si="14"/>
        <v>18.5</v>
      </c>
      <c r="H148" s="162" t="s">
        <v>20</v>
      </c>
      <c r="I148" s="5">
        <f t="shared" si="13"/>
        <v>3.4629981024667945E-2</v>
      </c>
    </row>
    <row r="149" spans="1:9" s="138" customFormat="1" ht="16.2" thickBot="1" x14ac:dyDescent="0.35">
      <c r="A149" s="319" t="s">
        <v>543</v>
      </c>
      <c r="B149" s="157" t="s">
        <v>136</v>
      </c>
      <c r="C149" s="158" t="s">
        <v>129</v>
      </c>
      <c r="D149" s="159">
        <f t="shared" si="11"/>
        <v>25.23</v>
      </c>
      <c r="E149" s="159">
        <f t="shared" si="12"/>
        <v>24.360000000000003</v>
      </c>
      <c r="F149" s="160">
        <v>22.14</v>
      </c>
      <c r="G149" s="161">
        <f t="shared" si="14"/>
        <v>22.14</v>
      </c>
      <c r="H149" s="162" t="s">
        <v>20</v>
      </c>
      <c r="I149" s="5">
        <f t="shared" si="13"/>
        <v>3.4482758620689551E-2</v>
      </c>
    </row>
    <row r="150" spans="1:9" s="138" customFormat="1" ht="16.2" thickBot="1" x14ac:dyDescent="0.35">
      <c r="A150" s="319" t="s">
        <v>544</v>
      </c>
      <c r="B150" s="157" t="s">
        <v>137</v>
      </c>
      <c r="C150" s="158" t="s">
        <v>129</v>
      </c>
      <c r="D150" s="159">
        <f t="shared" si="11"/>
        <v>31.240000000000002</v>
      </c>
      <c r="E150" s="159">
        <f t="shared" si="12"/>
        <v>30.17</v>
      </c>
      <c r="F150" s="160">
        <v>27.42</v>
      </c>
      <c r="G150" s="161">
        <f t="shared" si="14"/>
        <v>27.42</v>
      </c>
      <c r="H150" s="162" t="s">
        <v>20</v>
      </c>
      <c r="I150" s="5">
        <f t="shared" si="13"/>
        <v>3.4250960307298343E-2</v>
      </c>
    </row>
    <row r="151" spans="1:9" s="138" customFormat="1" ht="16.2" thickBot="1" x14ac:dyDescent="0.35">
      <c r="A151" s="319" t="s">
        <v>545</v>
      </c>
      <c r="B151" s="157" t="s">
        <v>138</v>
      </c>
      <c r="C151" s="158" t="s">
        <v>129</v>
      </c>
      <c r="D151" s="159">
        <f t="shared" si="11"/>
        <v>45.1</v>
      </c>
      <c r="E151" s="159">
        <f t="shared" si="12"/>
        <v>43.54</v>
      </c>
      <c r="F151" s="160">
        <v>39.58</v>
      </c>
      <c r="G151" s="161">
        <f t="shared" si="14"/>
        <v>39.58</v>
      </c>
      <c r="H151" s="162" t="s">
        <v>20</v>
      </c>
      <c r="I151" s="5">
        <f t="shared" si="13"/>
        <v>3.458980044345903E-2</v>
      </c>
    </row>
    <row r="152" spans="1:9" s="138" customFormat="1" ht="16.2" thickBot="1" x14ac:dyDescent="0.35">
      <c r="A152" s="319" t="s">
        <v>546</v>
      </c>
      <c r="B152" s="157" t="s">
        <v>139</v>
      </c>
      <c r="C152" s="158" t="s">
        <v>27</v>
      </c>
      <c r="D152" s="159">
        <f t="shared" si="11"/>
        <v>3.4699999999999998</v>
      </c>
      <c r="E152" s="159">
        <f t="shared" si="12"/>
        <v>3.3499999999999996</v>
      </c>
      <c r="F152" s="160">
        <v>3.04</v>
      </c>
      <c r="G152" s="161">
        <f t="shared" si="14"/>
        <v>3.04</v>
      </c>
      <c r="H152" s="162" t="s">
        <v>20</v>
      </c>
      <c r="I152" s="5">
        <f t="shared" si="13"/>
        <v>3.4582132564841529E-2</v>
      </c>
    </row>
    <row r="153" spans="1:9" s="138" customFormat="1" ht="16.2" thickBot="1" x14ac:dyDescent="0.35">
      <c r="A153" s="319" t="s">
        <v>547</v>
      </c>
      <c r="B153" s="157" t="s">
        <v>140</v>
      </c>
      <c r="C153" s="158" t="s">
        <v>27</v>
      </c>
      <c r="D153" s="159">
        <f t="shared" si="11"/>
        <v>24.16</v>
      </c>
      <c r="E153" s="159">
        <f t="shared" si="12"/>
        <v>22</v>
      </c>
      <c r="F153" s="160">
        <f t="shared" ref="F153:F159" si="16">+G153*1.06</f>
        <v>21.200000000000003</v>
      </c>
      <c r="G153" s="160">
        <v>20</v>
      </c>
      <c r="H153" s="162" t="s">
        <v>48</v>
      </c>
      <c r="I153" s="5">
        <f t="shared" si="13"/>
        <v>8.9403973509933773E-2</v>
      </c>
    </row>
    <row r="154" spans="1:9" s="138" customFormat="1" ht="16.2" thickBot="1" x14ac:dyDescent="0.35">
      <c r="A154" s="319" t="s">
        <v>548</v>
      </c>
      <c r="B154" s="157" t="s">
        <v>141</v>
      </c>
      <c r="C154" s="158" t="s">
        <v>34</v>
      </c>
      <c r="D154" s="159">
        <f t="shared" si="11"/>
        <v>14.5</v>
      </c>
      <c r="E154" s="159">
        <f t="shared" si="12"/>
        <v>13.2</v>
      </c>
      <c r="F154" s="160">
        <f t="shared" si="16"/>
        <v>12.72</v>
      </c>
      <c r="G154" s="161">
        <v>12</v>
      </c>
      <c r="H154" s="162" t="s">
        <v>223</v>
      </c>
      <c r="I154" s="5">
        <f t="shared" si="13"/>
        <v>8.9655172413793158E-2</v>
      </c>
    </row>
    <row r="155" spans="1:9" s="138" customFormat="1" ht="16.2" thickBot="1" x14ac:dyDescent="0.35">
      <c r="A155" s="319" t="s">
        <v>549</v>
      </c>
      <c r="B155" s="157" t="s">
        <v>142</v>
      </c>
      <c r="C155" s="158" t="s">
        <v>34</v>
      </c>
      <c r="D155" s="159">
        <f t="shared" si="11"/>
        <v>13.68</v>
      </c>
      <c r="E155" s="159">
        <f t="shared" si="12"/>
        <v>16.5</v>
      </c>
      <c r="F155" s="161">
        <v>12</v>
      </c>
      <c r="G155" s="161">
        <v>15</v>
      </c>
      <c r="H155" s="162" t="s">
        <v>224</v>
      </c>
      <c r="I155" s="5">
        <f t="shared" si="13"/>
        <v>-0.20614035087719301</v>
      </c>
    </row>
    <row r="156" spans="1:9" s="138" customFormat="1" ht="16.2" thickBot="1" x14ac:dyDescent="0.35">
      <c r="A156" s="319" t="s">
        <v>550</v>
      </c>
      <c r="B156" s="157" t="s">
        <v>143</v>
      </c>
      <c r="C156" s="158" t="s">
        <v>34</v>
      </c>
      <c r="D156" s="159">
        <f t="shared" si="11"/>
        <v>14.5</v>
      </c>
      <c r="E156" s="159">
        <f t="shared" si="12"/>
        <v>13.2</v>
      </c>
      <c r="F156" s="160">
        <f t="shared" si="16"/>
        <v>12.72</v>
      </c>
      <c r="G156" s="161">
        <v>12</v>
      </c>
      <c r="H156" s="162" t="s">
        <v>225</v>
      </c>
      <c r="I156" s="5">
        <f t="shared" si="13"/>
        <v>8.9655172413793158E-2</v>
      </c>
    </row>
    <row r="157" spans="1:9" s="138" customFormat="1" ht="16.2" thickBot="1" x14ac:dyDescent="0.35">
      <c r="A157" s="319" t="s">
        <v>551</v>
      </c>
      <c r="B157" s="157" t="s">
        <v>144</v>
      </c>
      <c r="C157" s="158" t="s">
        <v>34</v>
      </c>
      <c r="D157" s="159">
        <f t="shared" si="11"/>
        <v>14.5</v>
      </c>
      <c r="E157" s="159">
        <f t="shared" si="12"/>
        <v>13.2</v>
      </c>
      <c r="F157" s="160">
        <f t="shared" si="16"/>
        <v>12.72</v>
      </c>
      <c r="G157" s="161">
        <v>12</v>
      </c>
      <c r="H157" s="162" t="s">
        <v>223</v>
      </c>
      <c r="I157" s="5">
        <f t="shared" si="13"/>
        <v>8.9655172413793158E-2</v>
      </c>
    </row>
    <row r="158" spans="1:9" s="138" customFormat="1" ht="16.2" thickBot="1" x14ac:dyDescent="0.35">
      <c r="A158" s="319" t="s">
        <v>552</v>
      </c>
      <c r="B158" s="157" t="s">
        <v>145</v>
      </c>
      <c r="C158" s="158" t="s">
        <v>34</v>
      </c>
      <c r="D158" s="159">
        <f t="shared" si="11"/>
        <v>7.25</v>
      </c>
      <c r="E158" s="159">
        <f t="shared" si="12"/>
        <v>6.6</v>
      </c>
      <c r="F158" s="160">
        <f t="shared" si="16"/>
        <v>6.36</v>
      </c>
      <c r="G158" s="161">
        <v>6</v>
      </c>
      <c r="H158" s="162" t="s">
        <v>596</v>
      </c>
      <c r="I158" s="5">
        <f t="shared" si="13"/>
        <v>8.9655172413793158E-2</v>
      </c>
    </row>
    <row r="159" spans="1:9" s="138" customFormat="1" ht="16.2" thickBot="1" x14ac:dyDescent="0.35">
      <c r="A159" s="319" t="s">
        <v>553</v>
      </c>
      <c r="B159" s="157" t="s">
        <v>146</v>
      </c>
      <c r="C159" s="158" t="s">
        <v>34</v>
      </c>
      <c r="D159" s="159">
        <f t="shared" si="11"/>
        <v>7.25</v>
      </c>
      <c r="E159" s="159">
        <f t="shared" si="12"/>
        <v>6.6</v>
      </c>
      <c r="F159" s="160">
        <f t="shared" si="16"/>
        <v>6.36</v>
      </c>
      <c r="G159" s="161">
        <v>6</v>
      </c>
      <c r="H159" s="162" t="s">
        <v>596</v>
      </c>
      <c r="I159" s="5">
        <f t="shared" si="13"/>
        <v>8.9655172413793158E-2</v>
      </c>
    </row>
    <row r="160" spans="1:9" s="138" customFormat="1" ht="16.2" thickBot="1" x14ac:dyDescent="0.35">
      <c r="A160" s="319" t="s">
        <v>554</v>
      </c>
      <c r="B160" s="157" t="s">
        <v>147</v>
      </c>
      <c r="C160" s="158" t="s">
        <v>27</v>
      </c>
      <c r="D160" s="159">
        <f t="shared" si="11"/>
        <v>4.5599999999999996</v>
      </c>
      <c r="E160" s="159">
        <f t="shared" si="12"/>
        <v>4.4000000000000004</v>
      </c>
      <c r="F160" s="160">
        <v>4</v>
      </c>
      <c r="G160" s="161">
        <v>4</v>
      </c>
      <c r="H160" s="162" t="s">
        <v>28</v>
      </c>
      <c r="I160" s="5">
        <f t="shared" si="13"/>
        <v>3.5087719298245452E-2</v>
      </c>
    </row>
    <row r="161" spans="1:9" s="138" customFormat="1" ht="16.2" thickBot="1" x14ac:dyDescent="0.35">
      <c r="A161" s="319" t="s">
        <v>555</v>
      </c>
      <c r="B161" s="157" t="s">
        <v>148</v>
      </c>
      <c r="C161" s="158" t="s">
        <v>34</v>
      </c>
      <c r="D161" s="159">
        <f t="shared" si="11"/>
        <v>3.65</v>
      </c>
      <c r="E161" s="159">
        <f t="shared" si="12"/>
        <v>3.15</v>
      </c>
      <c r="F161" s="160">
        <v>3.2</v>
      </c>
      <c r="G161" s="161">
        <f>20/7</f>
        <v>2.8571428571428572</v>
      </c>
      <c r="H161" s="162" t="s">
        <v>215</v>
      </c>
      <c r="I161" s="5">
        <f t="shared" si="13"/>
        <v>0.13698630136986301</v>
      </c>
    </row>
    <row r="162" spans="1:9" s="138" customFormat="1" ht="16.2" thickBot="1" x14ac:dyDescent="0.35">
      <c r="A162" s="319" t="s">
        <v>556</v>
      </c>
      <c r="B162" s="157" t="s">
        <v>149</v>
      </c>
      <c r="C162" s="158" t="s">
        <v>19</v>
      </c>
      <c r="D162" s="159">
        <f t="shared" si="11"/>
        <v>3.42</v>
      </c>
      <c r="E162" s="159">
        <f t="shared" si="12"/>
        <v>3.3</v>
      </c>
      <c r="F162" s="160">
        <v>3</v>
      </c>
      <c r="G162" s="161">
        <v>3</v>
      </c>
      <c r="H162" s="162" t="s">
        <v>150</v>
      </c>
      <c r="I162" s="5">
        <f t="shared" si="13"/>
        <v>3.5087719298245647E-2</v>
      </c>
    </row>
    <row r="163" spans="1:9" s="138" customFormat="1" ht="16.2" thickBot="1" x14ac:dyDescent="0.35">
      <c r="A163" s="319" t="s">
        <v>557</v>
      </c>
      <c r="B163" s="157" t="s">
        <v>151</v>
      </c>
      <c r="C163" s="158" t="s">
        <v>27</v>
      </c>
      <c r="D163" s="159">
        <f t="shared" si="11"/>
        <v>0.18000000000000002</v>
      </c>
      <c r="E163" s="159">
        <f t="shared" si="12"/>
        <v>0.17</v>
      </c>
      <c r="F163" s="160">
        <v>0.15</v>
      </c>
      <c r="G163" s="161">
        <v>0.15</v>
      </c>
      <c r="H163" s="162" t="s">
        <v>20</v>
      </c>
      <c r="I163" s="5">
        <f t="shared" si="13"/>
        <v>5.5555555555555601E-2</v>
      </c>
    </row>
    <row r="164" spans="1:9" s="138" customFormat="1" ht="16.2" thickBot="1" x14ac:dyDescent="0.35">
      <c r="A164" s="319" t="s">
        <v>558</v>
      </c>
      <c r="B164" s="157" t="s">
        <v>152</v>
      </c>
      <c r="C164" s="158" t="s">
        <v>34</v>
      </c>
      <c r="D164" s="159">
        <f t="shared" si="11"/>
        <v>12.31</v>
      </c>
      <c r="E164" s="159">
        <f t="shared" si="12"/>
        <v>10.69</v>
      </c>
      <c r="F164" s="160">
        <f>9.15*1.18</f>
        <v>10.797000000000001</v>
      </c>
      <c r="G164" s="161">
        <f>+F164*0.9</f>
        <v>9.7173000000000016</v>
      </c>
      <c r="H164" s="162" t="s">
        <v>153</v>
      </c>
      <c r="I164" s="5">
        <f t="shared" si="13"/>
        <v>0.131600324939074</v>
      </c>
    </row>
    <row r="165" spans="1:9" s="138" customFormat="1" ht="16.2" thickBot="1" x14ac:dyDescent="0.35">
      <c r="A165" s="319" t="s">
        <v>559</v>
      </c>
      <c r="B165" s="157" t="s">
        <v>154</v>
      </c>
      <c r="C165" s="158" t="s">
        <v>34</v>
      </c>
      <c r="D165" s="159">
        <f t="shared" si="11"/>
        <v>14.77</v>
      </c>
      <c r="E165" s="159">
        <f t="shared" si="12"/>
        <v>12.83</v>
      </c>
      <c r="F165" s="160">
        <f>10.98*1.18</f>
        <v>12.9564</v>
      </c>
      <c r="G165" s="161">
        <f>+F165*0.9</f>
        <v>11.66076</v>
      </c>
      <c r="H165" s="162" t="s">
        <v>155</v>
      </c>
      <c r="I165" s="5">
        <f t="shared" si="13"/>
        <v>0.13134732566012183</v>
      </c>
    </row>
    <row r="166" spans="1:9" s="138" customFormat="1" ht="16.2" thickBot="1" x14ac:dyDescent="0.35">
      <c r="A166" s="319" t="s">
        <v>560</v>
      </c>
      <c r="B166" s="157" t="s">
        <v>156</v>
      </c>
      <c r="C166" s="158" t="s">
        <v>19</v>
      </c>
      <c r="D166" s="159">
        <f t="shared" si="11"/>
        <v>1.94</v>
      </c>
      <c r="E166" s="159">
        <f t="shared" si="12"/>
        <v>1.87</v>
      </c>
      <c r="F166" s="160">
        <v>1.7</v>
      </c>
      <c r="G166" s="161">
        <v>1.7</v>
      </c>
      <c r="H166" s="162" t="s">
        <v>35</v>
      </c>
      <c r="I166" s="5">
        <f t="shared" si="13"/>
        <v>3.6082474226804044E-2</v>
      </c>
    </row>
    <row r="167" spans="1:9" s="138" customFormat="1" ht="16.2" thickBot="1" x14ac:dyDescent="0.35">
      <c r="A167" s="319" t="s">
        <v>561</v>
      </c>
      <c r="B167" s="157" t="s">
        <v>157</v>
      </c>
      <c r="C167" s="158" t="s">
        <v>158</v>
      </c>
      <c r="D167" s="159">
        <f t="shared" ref="D167:D188" si="17">ROUNDUP(F167*0.87*1.1/0.84,2)</f>
        <v>6.38</v>
      </c>
      <c r="E167" s="159">
        <f t="shared" ref="E167:E188" si="18">ROUNDUP(G167*1.1,2)</f>
        <v>6.16</v>
      </c>
      <c r="F167" s="160">
        <v>5.6</v>
      </c>
      <c r="G167" s="161">
        <v>5.6</v>
      </c>
      <c r="H167" s="162" t="s">
        <v>35</v>
      </c>
      <c r="I167" s="5">
        <f t="shared" si="13"/>
        <v>3.448275862068962E-2</v>
      </c>
    </row>
    <row r="168" spans="1:9" s="138" customFormat="1" ht="16.2" thickBot="1" x14ac:dyDescent="0.35">
      <c r="A168" s="319" t="s">
        <v>562</v>
      </c>
      <c r="B168" s="157" t="s">
        <v>216</v>
      </c>
      <c r="C168" s="158" t="s">
        <v>27</v>
      </c>
      <c r="D168" s="159">
        <f t="shared" si="17"/>
        <v>10.87</v>
      </c>
      <c r="E168" s="159">
        <f t="shared" si="18"/>
        <v>9.9</v>
      </c>
      <c r="F168" s="160">
        <f>1.06*G168</f>
        <v>9.5400000000000009</v>
      </c>
      <c r="G168" s="161">
        <v>9</v>
      </c>
      <c r="H168" s="162" t="s">
        <v>597</v>
      </c>
      <c r="I168" s="5">
        <f t="shared" si="13"/>
        <v>8.9236430542778189E-2</v>
      </c>
    </row>
    <row r="169" spans="1:9" s="138" customFormat="1" ht="16.2" thickBot="1" x14ac:dyDescent="0.35">
      <c r="A169" s="319" t="s">
        <v>563</v>
      </c>
      <c r="B169" s="157" t="s">
        <v>217</v>
      </c>
      <c r="C169" s="158" t="s">
        <v>27</v>
      </c>
      <c r="D169" s="159">
        <f t="shared" si="17"/>
        <v>2.2799999999999998</v>
      </c>
      <c r="E169" s="159">
        <f t="shared" si="18"/>
        <v>1.98</v>
      </c>
      <c r="F169" s="160">
        <v>2</v>
      </c>
      <c r="G169" s="161">
        <v>1.8</v>
      </c>
      <c r="H169" s="162"/>
      <c r="I169" s="5">
        <f t="shared" si="13"/>
        <v>0.13157894736842099</v>
      </c>
    </row>
    <row r="170" spans="1:9" s="138" customFormat="1" ht="16.2" thickBot="1" x14ac:dyDescent="0.35">
      <c r="A170" s="319" t="s">
        <v>564</v>
      </c>
      <c r="B170" s="157" t="s">
        <v>226</v>
      </c>
      <c r="C170" s="158" t="s">
        <v>27</v>
      </c>
      <c r="D170" s="159">
        <f t="shared" si="17"/>
        <v>13.68</v>
      </c>
      <c r="E170" s="159">
        <f t="shared" si="18"/>
        <v>13.2</v>
      </c>
      <c r="F170" s="160">
        <v>12</v>
      </c>
      <c r="G170" s="161">
        <v>12</v>
      </c>
      <c r="H170" s="162"/>
      <c r="I170" s="5">
        <f t="shared" si="13"/>
        <v>3.5087719298245647E-2</v>
      </c>
    </row>
    <row r="171" spans="1:9" s="138" customFormat="1" ht="16.2" thickBot="1" x14ac:dyDescent="0.35">
      <c r="A171" s="319" t="s">
        <v>565</v>
      </c>
      <c r="B171" s="177" t="s">
        <v>227</v>
      </c>
      <c r="C171" s="158" t="s">
        <v>27</v>
      </c>
      <c r="D171" s="159">
        <f t="shared" si="17"/>
        <v>3.42</v>
      </c>
      <c r="E171" s="159">
        <f t="shared" si="18"/>
        <v>3.3</v>
      </c>
      <c r="F171" s="160">
        <v>3</v>
      </c>
      <c r="G171" s="161">
        <v>3</v>
      </c>
      <c r="H171" s="162"/>
      <c r="I171" s="5">
        <f t="shared" si="13"/>
        <v>3.5087719298245647E-2</v>
      </c>
    </row>
    <row r="172" spans="1:9" s="138" customFormat="1" ht="16.2" thickBot="1" x14ac:dyDescent="0.35">
      <c r="A172" s="319" t="s">
        <v>566</v>
      </c>
      <c r="B172" s="177" t="s">
        <v>228</v>
      </c>
      <c r="C172" s="158" t="s">
        <v>27</v>
      </c>
      <c r="D172" s="159">
        <f t="shared" si="17"/>
        <v>1.1399999999999999</v>
      </c>
      <c r="E172" s="159">
        <f t="shared" si="18"/>
        <v>1.1000000000000001</v>
      </c>
      <c r="F172" s="160">
        <v>1</v>
      </c>
      <c r="G172" s="161">
        <v>1</v>
      </c>
      <c r="H172" s="162"/>
      <c r="I172" s="5">
        <f t="shared" si="13"/>
        <v>3.5087719298245452E-2</v>
      </c>
    </row>
    <row r="173" spans="1:9" s="138" customFormat="1" ht="16.2" thickBot="1" x14ac:dyDescent="0.35">
      <c r="A173" s="319" t="s">
        <v>567</v>
      </c>
      <c r="B173" s="177" t="s">
        <v>229</v>
      </c>
      <c r="C173" s="158" t="s">
        <v>34</v>
      </c>
      <c r="D173" s="159">
        <f t="shared" si="17"/>
        <v>24.16</v>
      </c>
      <c r="E173" s="159">
        <f t="shared" si="18"/>
        <v>22</v>
      </c>
      <c r="F173" s="160">
        <f t="shared" ref="F173:F178" si="19">1.06*G173</f>
        <v>21.200000000000003</v>
      </c>
      <c r="G173" s="178">
        <v>20</v>
      </c>
      <c r="H173" s="162" t="s">
        <v>230</v>
      </c>
      <c r="I173" s="5">
        <f t="shared" si="13"/>
        <v>8.9403973509933773E-2</v>
      </c>
    </row>
    <row r="174" spans="1:9" s="138" customFormat="1" ht="16.2" thickBot="1" x14ac:dyDescent="0.35">
      <c r="A174" s="319" t="s">
        <v>568</v>
      </c>
      <c r="B174" s="177" t="s">
        <v>231</v>
      </c>
      <c r="C174" s="158" t="s">
        <v>34</v>
      </c>
      <c r="D174" s="159">
        <f t="shared" si="17"/>
        <v>36.229999999999997</v>
      </c>
      <c r="E174" s="159">
        <f t="shared" si="18"/>
        <v>33</v>
      </c>
      <c r="F174" s="160">
        <f t="shared" si="19"/>
        <v>31.8</v>
      </c>
      <c r="G174" s="178">
        <v>30</v>
      </c>
      <c r="H174" s="162" t="s">
        <v>232</v>
      </c>
      <c r="I174" s="5">
        <f t="shared" si="13"/>
        <v>8.9152635937068653E-2</v>
      </c>
    </row>
    <row r="175" spans="1:9" s="138" customFormat="1" ht="16.2" thickBot="1" x14ac:dyDescent="0.35">
      <c r="A175" s="319" t="s">
        <v>569</v>
      </c>
      <c r="B175" s="177" t="s">
        <v>233</v>
      </c>
      <c r="C175" s="158" t="s">
        <v>34</v>
      </c>
      <c r="D175" s="159">
        <f t="shared" si="17"/>
        <v>18.12</v>
      </c>
      <c r="E175" s="159">
        <f t="shared" si="18"/>
        <v>16.5</v>
      </c>
      <c r="F175" s="160">
        <f t="shared" si="19"/>
        <v>15.9</v>
      </c>
      <c r="G175" s="178">
        <v>15</v>
      </c>
      <c r="H175" s="162" t="s">
        <v>234</v>
      </c>
      <c r="I175" s="5">
        <f t="shared" si="13"/>
        <v>8.9403973509933829E-2</v>
      </c>
    </row>
    <row r="176" spans="1:9" s="138" customFormat="1" ht="16.2" thickBot="1" x14ac:dyDescent="0.35">
      <c r="A176" s="319" t="s">
        <v>570</v>
      </c>
      <c r="B176" s="177" t="s">
        <v>235</v>
      </c>
      <c r="C176" s="158" t="s">
        <v>34</v>
      </c>
      <c r="D176" s="159">
        <f t="shared" si="17"/>
        <v>24.16</v>
      </c>
      <c r="E176" s="159">
        <f t="shared" si="18"/>
        <v>22</v>
      </c>
      <c r="F176" s="160">
        <f t="shared" si="19"/>
        <v>21.200000000000003</v>
      </c>
      <c r="G176" s="178">
        <v>20</v>
      </c>
      <c r="H176" s="162" t="s">
        <v>236</v>
      </c>
      <c r="I176" s="5">
        <f t="shared" si="13"/>
        <v>8.9403973509933773E-2</v>
      </c>
    </row>
    <row r="177" spans="1:10" s="138" customFormat="1" ht="16.2" thickBot="1" x14ac:dyDescent="0.35">
      <c r="A177" s="319" t="s">
        <v>571</v>
      </c>
      <c r="B177" s="177" t="s">
        <v>237</v>
      </c>
      <c r="C177" s="158" t="s">
        <v>34</v>
      </c>
      <c r="D177" s="159">
        <f t="shared" si="17"/>
        <v>16.91</v>
      </c>
      <c r="E177" s="159">
        <f t="shared" si="18"/>
        <v>15.4</v>
      </c>
      <c r="F177" s="160">
        <f t="shared" si="19"/>
        <v>14.84</v>
      </c>
      <c r="G177" s="178">
        <v>14</v>
      </c>
      <c r="H177" s="162" t="s">
        <v>238</v>
      </c>
      <c r="I177" s="5">
        <f t="shared" si="13"/>
        <v>8.9296274393849781E-2</v>
      </c>
    </row>
    <row r="178" spans="1:10" s="179" customFormat="1" ht="16.2" thickBot="1" x14ac:dyDescent="0.35">
      <c r="A178" s="319" t="s">
        <v>572</v>
      </c>
      <c r="B178" s="53" t="s">
        <v>286</v>
      </c>
      <c r="C178" s="158" t="s">
        <v>27</v>
      </c>
      <c r="D178" s="159">
        <f t="shared" si="17"/>
        <v>8.4599999999999991</v>
      </c>
      <c r="E178" s="159">
        <f t="shared" si="18"/>
        <v>7.7</v>
      </c>
      <c r="F178" s="160">
        <f t="shared" si="19"/>
        <v>7.42</v>
      </c>
      <c r="G178" s="178">
        <v>7</v>
      </c>
      <c r="H178" s="162"/>
      <c r="I178" s="5">
        <f t="shared" si="13"/>
        <v>8.983451536643014E-2</v>
      </c>
      <c r="J178" s="138"/>
    </row>
    <row r="179" spans="1:10" s="179" customFormat="1" ht="16.2" thickBot="1" x14ac:dyDescent="0.35">
      <c r="A179" s="319" t="s">
        <v>573</v>
      </c>
      <c r="B179" s="180" t="s">
        <v>287</v>
      </c>
      <c r="C179" s="158" t="s">
        <v>34</v>
      </c>
      <c r="D179" s="159">
        <f t="shared" si="17"/>
        <v>48.54</v>
      </c>
      <c r="E179" s="159">
        <f t="shared" si="18"/>
        <v>46.86</v>
      </c>
      <c r="F179" s="161">
        <f>35.5*1.2</f>
        <v>42.6</v>
      </c>
      <c r="G179" s="161">
        <f>35.5*1.2</f>
        <v>42.6</v>
      </c>
      <c r="H179" s="175" t="s">
        <v>375</v>
      </c>
      <c r="I179" s="5">
        <f t="shared" si="13"/>
        <v>3.4610630407910993E-2</v>
      </c>
      <c r="J179" s="138"/>
    </row>
    <row r="180" spans="1:10" s="179" customFormat="1" ht="16.2" thickBot="1" x14ac:dyDescent="0.35">
      <c r="A180" s="319" t="s">
        <v>574</v>
      </c>
      <c r="B180" s="157" t="s">
        <v>288</v>
      </c>
      <c r="C180" s="158" t="s">
        <v>34</v>
      </c>
      <c r="D180" s="159">
        <f t="shared" si="17"/>
        <v>63.69</v>
      </c>
      <c r="E180" s="159">
        <f t="shared" si="18"/>
        <v>61.49</v>
      </c>
      <c r="F180" s="161">
        <f>43*1.3</f>
        <v>55.9</v>
      </c>
      <c r="G180" s="161">
        <f>43*1.3</f>
        <v>55.9</v>
      </c>
      <c r="H180" s="176" t="s">
        <v>289</v>
      </c>
      <c r="I180" s="5">
        <f t="shared" si="13"/>
        <v>3.4542314335060387E-2</v>
      </c>
      <c r="J180" s="138"/>
    </row>
    <row r="181" spans="1:10" s="179" customFormat="1" ht="16.2" thickBot="1" x14ac:dyDescent="0.35">
      <c r="A181" s="319" t="s">
        <v>575</v>
      </c>
      <c r="B181" s="157" t="s">
        <v>290</v>
      </c>
      <c r="C181" s="158" t="s">
        <v>34</v>
      </c>
      <c r="D181" s="159">
        <f t="shared" si="17"/>
        <v>68.13000000000001</v>
      </c>
      <c r="E181" s="159">
        <f t="shared" si="18"/>
        <v>65.78</v>
      </c>
      <c r="F181" s="161">
        <f>46*1.3</f>
        <v>59.800000000000004</v>
      </c>
      <c r="G181" s="161">
        <f>46*1.3</f>
        <v>59.800000000000004</v>
      </c>
      <c r="H181" s="176" t="s">
        <v>291</v>
      </c>
      <c r="I181" s="5">
        <f t="shared" si="13"/>
        <v>3.4492881256421665E-2</v>
      </c>
      <c r="J181" s="138"/>
    </row>
    <row r="182" spans="1:10" s="179" customFormat="1" ht="16.2" thickBot="1" x14ac:dyDescent="0.35">
      <c r="A182" s="319" t="s">
        <v>576</v>
      </c>
      <c r="B182" s="157" t="s">
        <v>292</v>
      </c>
      <c r="C182" s="158" t="s">
        <v>34</v>
      </c>
      <c r="D182" s="159">
        <f t="shared" si="17"/>
        <v>35.549999999999997</v>
      </c>
      <c r="E182" s="159">
        <f t="shared" si="18"/>
        <v>34.32</v>
      </c>
      <c r="F182" s="161">
        <f>24*1.3</f>
        <v>31.200000000000003</v>
      </c>
      <c r="G182" s="161">
        <f>24*1.3</f>
        <v>31.200000000000003</v>
      </c>
      <c r="H182" s="176" t="s">
        <v>293</v>
      </c>
      <c r="I182" s="5"/>
      <c r="J182" s="138"/>
    </row>
    <row r="183" spans="1:10" s="179" customFormat="1" ht="16.2" thickBot="1" x14ac:dyDescent="0.35">
      <c r="A183" s="319" t="s">
        <v>577</v>
      </c>
      <c r="B183" s="53" t="s">
        <v>294</v>
      </c>
      <c r="C183" s="158" t="s">
        <v>27</v>
      </c>
      <c r="D183" s="159">
        <f t="shared" si="17"/>
        <v>8.4599999999999991</v>
      </c>
      <c r="E183" s="159">
        <f t="shared" si="18"/>
        <v>7.7</v>
      </c>
      <c r="F183" s="160">
        <f>1.06*G183</f>
        <v>7.42</v>
      </c>
      <c r="G183" s="178">
        <v>7</v>
      </c>
      <c r="H183" s="162"/>
      <c r="I183" s="5">
        <f>(-E183+D183)/D183</f>
        <v>8.983451536643014E-2</v>
      </c>
      <c r="J183" s="138"/>
    </row>
    <row r="184" spans="1:10" s="179" customFormat="1" ht="16.2" thickBot="1" x14ac:dyDescent="0.35">
      <c r="A184" s="319" t="s">
        <v>578</v>
      </c>
      <c r="B184" s="157" t="s">
        <v>366</v>
      </c>
      <c r="C184" s="158" t="s">
        <v>34</v>
      </c>
      <c r="D184" s="159">
        <f t="shared" si="17"/>
        <v>13.68</v>
      </c>
      <c r="E184" s="159">
        <f t="shared" si="18"/>
        <v>13.2</v>
      </c>
      <c r="F184" s="161">
        <f>10*1.2</f>
        <v>12</v>
      </c>
      <c r="G184" s="161">
        <f>10*1.2</f>
        <v>12</v>
      </c>
      <c r="H184" s="176" t="s">
        <v>367</v>
      </c>
      <c r="I184" s="5"/>
      <c r="J184" s="138"/>
    </row>
    <row r="185" spans="1:10" s="179" customFormat="1" ht="16.2" thickBot="1" x14ac:dyDescent="0.35">
      <c r="A185" s="319" t="s">
        <v>579</v>
      </c>
      <c r="B185" s="157" t="s">
        <v>368</v>
      </c>
      <c r="C185" s="158" t="s">
        <v>34</v>
      </c>
      <c r="D185" s="159">
        <f t="shared" si="17"/>
        <v>16.41</v>
      </c>
      <c r="E185" s="159">
        <f t="shared" si="18"/>
        <v>15.84</v>
      </c>
      <c r="F185" s="160">
        <f>12*1.2</f>
        <v>14.399999999999999</v>
      </c>
      <c r="G185" s="178">
        <f>12*1.2</f>
        <v>14.399999999999999</v>
      </c>
      <c r="H185" s="176" t="s">
        <v>369</v>
      </c>
      <c r="I185" s="5">
        <f>(-E185+D185)/D185</f>
        <v>3.4734917733089593E-2</v>
      </c>
      <c r="J185" s="138"/>
    </row>
    <row r="186" spans="1:10" s="179" customFormat="1" ht="16.2" thickBot="1" x14ac:dyDescent="0.35">
      <c r="A186" s="319" t="s">
        <v>580</v>
      </c>
      <c r="B186" s="157" t="s">
        <v>370</v>
      </c>
      <c r="C186" s="158" t="s">
        <v>96</v>
      </c>
      <c r="D186" s="159">
        <f t="shared" si="17"/>
        <v>4.2799999999999994</v>
      </c>
      <c r="E186" s="159">
        <f t="shared" si="18"/>
        <v>4.13</v>
      </c>
      <c r="F186" s="160">
        <f>3*1.25</f>
        <v>3.75</v>
      </c>
      <c r="G186" s="178">
        <f>3*1.25</f>
        <v>3.75</v>
      </c>
      <c r="H186" s="176" t="s">
        <v>371</v>
      </c>
      <c r="I186" s="5">
        <f>(-E186+D186)/D186</f>
        <v>3.5046728971962496E-2</v>
      </c>
      <c r="J186" s="138"/>
    </row>
    <row r="187" spans="1:10" s="179" customFormat="1" ht="16.2" thickBot="1" x14ac:dyDescent="0.35">
      <c r="A187" s="319" t="s">
        <v>581</v>
      </c>
      <c r="B187" s="157" t="s">
        <v>372</v>
      </c>
      <c r="C187" s="158" t="s">
        <v>34</v>
      </c>
      <c r="D187" s="159">
        <f t="shared" si="17"/>
        <v>22.220000000000002</v>
      </c>
      <c r="E187" s="159">
        <f t="shared" si="18"/>
        <v>21.45</v>
      </c>
      <c r="F187" s="178">
        <f>15*1.3</f>
        <v>19.5</v>
      </c>
      <c r="G187" s="178">
        <f>15*1.3</f>
        <v>19.5</v>
      </c>
      <c r="H187" s="176" t="s">
        <v>373</v>
      </c>
      <c r="I187" s="5">
        <f>(-E187+D187)/D187</f>
        <v>3.4653465346534788E-2</v>
      </c>
      <c r="J187" s="138"/>
    </row>
    <row r="188" spans="1:10" s="138" customFormat="1" ht="16.2" thickBot="1" x14ac:dyDescent="0.35">
      <c r="A188" s="319" t="s">
        <v>582</v>
      </c>
      <c r="B188" s="157" t="s">
        <v>374</v>
      </c>
      <c r="C188" s="158" t="s">
        <v>34</v>
      </c>
      <c r="D188" s="159">
        <f t="shared" si="17"/>
        <v>78.62</v>
      </c>
      <c r="E188" s="159">
        <f t="shared" si="18"/>
        <v>75.900000000000006</v>
      </c>
      <c r="F188" s="161">
        <f>60*1.15</f>
        <v>69</v>
      </c>
      <c r="G188" s="161">
        <f>60*1.15</f>
        <v>69</v>
      </c>
      <c r="H188" s="176" t="s">
        <v>607</v>
      </c>
      <c r="I188" s="5">
        <f>(-E188+D188)/D188</f>
        <v>3.4596794708725502E-2</v>
      </c>
    </row>
    <row r="189" spans="1:10" s="179" customFormat="1" ht="16.2" thickBot="1" x14ac:dyDescent="0.35">
      <c r="A189" s="319" t="s">
        <v>583</v>
      </c>
      <c r="B189" s="157" t="s">
        <v>608</v>
      </c>
      <c r="C189" s="158" t="s">
        <v>34</v>
      </c>
      <c r="D189" s="159">
        <f>2*D105</f>
        <v>28.2</v>
      </c>
      <c r="E189" s="159">
        <f>2*E105</f>
        <v>27.24</v>
      </c>
      <c r="F189" s="161">
        <f>2*F105</f>
        <v>24.747999999999998</v>
      </c>
      <c r="G189" s="161">
        <f>2*G105</f>
        <v>24.747999999999998</v>
      </c>
      <c r="H189" s="176" t="s">
        <v>609</v>
      </c>
      <c r="I189" s="5"/>
      <c r="J189" s="138"/>
    </row>
    <row r="190" spans="1:10" s="179" customFormat="1" ht="16.2" thickBot="1" x14ac:dyDescent="0.35">
      <c r="A190" s="319" t="s">
        <v>584</v>
      </c>
      <c r="B190" s="157" t="s">
        <v>610</v>
      </c>
      <c r="C190" s="158" t="s">
        <v>34</v>
      </c>
      <c r="D190" s="159">
        <f>ROUNDUP(F190*0.87*1.1/0.84,2)</f>
        <v>32.629999999999995</v>
      </c>
      <c r="E190" s="159">
        <f>ROUNDUP(G190*1.1,2)</f>
        <v>31.5</v>
      </c>
      <c r="F190" s="161">
        <f>24.9*1.15</f>
        <v>28.634999999999994</v>
      </c>
      <c r="G190" s="161">
        <f>24.9*1.15</f>
        <v>28.634999999999994</v>
      </c>
      <c r="H190" s="176" t="s">
        <v>611</v>
      </c>
      <c r="I190" s="5"/>
      <c r="J190" s="138"/>
    </row>
    <row r="191" spans="1:10" s="179" customFormat="1" ht="16.2" thickBot="1" x14ac:dyDescent="0.35">
      <c r="A191" s="319" t="s">
        <v>585</v>
      </c>
      <c r="B191" s="157" t="s">
        <v>612</v>
      </c>
      <c r="C191" s="158" t="s">
        <v>34</v>
      </c>
      <c r="D191" s="159">
        <f>D105+D190</f>
        <v>46.73</v>
      </c>
      <c r="E191" s="159">
        <f>E105+E190</f>
        <v>45.12</v>
      </c>
      <c r="F191" s="161">
        <f>F105+F190</f>
        <v>41.008999999999993</v>
      </c>
      <c r="G191" s="161">
        <f>G105+G190</f>
        <v>41.008999999999993</v>
      </c>
      <c r="H191" s="176" t="s">
        <v>609</v>
      </c>
      <c r="I191" s="321"/>
      <c r="J191" s="138"/>
    </row>
    <row r="192" spans="1:10" s="179" customFormat="1" ht="16.2" thickBot="1" x14ac:dyDescent="0.35">
      <c r="A192" s="319" t="s">
        <v>586</v>
      </c>
      <c r="B192" s="322" t="s">
        <v>613</v>
      </c>
      <c r="C192" s="158" t="s">
        <v>614</v>
      </c>
      <c r="D192" s="159">
        <f t="shared" ref="D192:D198" si="20">ROUNDUP(F192*0.87*1.1/0.84,2)</f>
        <v>7.2799999999999994</v>
      </c>
      <c r="E192" s="159">
        <f t="shared" ref="E192:E198" si="21">ROUNDUP(G192*1.1,2)</f>
        <v>7.0299999999999994</v>
      </c>
      <c r="F192" s="161">
        <f>+J192*1.15</f>
        <v>6.386333333333333</v>
      </c>
      <c r="G192" s="161">
        <f>+J192*1.15</f>
        <v>6.386333333333333</v>
      </c>
      <c r="H192" s="176" t="s">
        <v>615</v>
      </c>
      <c r="I192" s="321">
        <v>33.32</v>
      </c>
      <c r="J192" s="164">
        <f>+I192/6</f>
        <v>5.5533333333333337</v>
      </c>
    </row>
    <row r="193" spans="1:10" s="179" customFormat="1" ht="16.2" thickBot="1" x14ac:dyDescent="0.35">
      <c r="A193" s="319" t="s">
        <v>587</v>
      </c>
      <c r="B193" s="323" t="s">
        <v>616</v>
      </c>
      <c r="C193" s="158" t="s">
        <v>614</v>
      </c>
      <c r="D193" s="159">
        <f t="shared" si="20"/>
        <v>2.46</v>
      </c>
      <c r="E193" s="159">
        <f t="shared" si="21"/>
        <v>2.3699999999999997</v>
      </c>
      <c r="F193" s="161">
        <f t="shared" ref="F193:F196" si="22">+J193*1.15</f>
        <v>2.1505000000000001</v>
      </c>
      <c r="G193" s="161">
        <f t="shared" ref="G193:G196" si="23">+J193*1.15</f>
        <v>2.1505000000000001</v>
      </c>
      <c r="H193" s="176" t="s">
        <v>617</v>
      </c>
      <c r="I193" s="321">
        <v>11.22</v>
      </c>
      <c r="J193" s="164">
        <f t="shared" ref="J193:J195" si="24">+I193/6</f>
        <v>1.87</v>
      </c>
    </row>
    <row r="194" spans="1:10" s="179" customFormat="1" ht="16.2" thickBot="1" x14ac:dyDescent="0.35">
      <c r="A194" s="319" t="s">
        <v>588</v>
      </c>
      <c r="B194" s="323" t="s">
        <v>618</v>
      </c>
      <c r="C194" s="158" t="s">
        <v>614</v>
      </c>
      <c r="D194" s="159">
        <f t="shared" si="20"/>
        <v>5.67</v>
      </c>
      <c r="E194" s="159">
        <f t="shared" si="21"/>
        <v>5.4799999999999995</v>
      </c>
      <c r="F194" s="161">
        <f t="shared" si="22"/>
        <v>4.9737499999999999</v>
      </c>
      <c r="G194" s="161">
        <f t="shared" si="23"/>
        <v>4.9737499999999999</v>
      </c>
      <c r="H194" s="176" t="s">
        <v>619</v>
      </c>
      <c r="I194" s="321">
        <v>25.95</v>
      </c>
      <c r="J194" s="164">
        <f t="shared" si="24"/>
        <v>4.3250000000000002</v>
      </c>
    </row>
    <row r="195" spans="1:10" s="179" customFormat="1" ht="16.2" thickBot="1" x14ac:dyDescent="0.35">
      <c r="A195" s="319" t="s">
        <v>589</v>
      </c>
      <c r="B195" s="323" t="s">
        <v>620</v>
      </c>
      <c r="C195" s="158" t="s">
        <v>614</v>
      </c>
      <c r="D195" s="159">
        <f t="shared" si="20"/>
        <v>3.53</v>
      </c>
      <c r="E195" s="159">
        <f t="shared" si="21"/>
        <v>3.4</v>
      </c>
      <c r="F195" s="161">
        <f t="shared" si="22"/>
        <v>3.089666666666667</v>
      </c>
      <c r="G195" s="161">
        <f t="shared" si="23"/>
        <v>3.089666666666667</v>
      </c>
      <c r="H195" s="176" t="s">
        <v>621</v>
      </c>
      <c r="I195" s="321">
        <v>16.12</v>
      </c>
      <c r="J195" s="164">
        <f t="shared" si="24"/>
        <v>2.686666666666667</v>
      </c>
    </row>
    <row r="196" spans="1:10" s="179" customFormat="1" ht="16.2" thickBot="1" x14ac:dyDescent="0.35">
      <c r="A196" s="319" t="s">
        <v>590</v>
      </c>
      <c r="B196" s="324" t="s">
        <v>622</v>
      </c>
      <c r="C196" s="158" t="s">
        <v>27</v>
      </c>
      <c r="D196" s="159">
        <f t="shared" si="20"/>
        <v>0</v>
      </c>
      <c r="E196" s="159">
        <f t="shared" si="21"/>
        <v>0</v>
      </c>
      <c r="F196" s="161">
        <f t="shared" si="22"/>
        <v>0</v>
      </c>
      <c r="G196" s="161">
        <f t="shared" si="23"/>
        <v>0</v>
      </c>
      <c r="H196" s="176"/>
      <c r="I196" s="5"/>
      <c r="J196" s="164"/>
    </row>
    <row r="197" spans="1:10" s="179" customFormat="1" ht="16.2" thickBot="1" x14ac:dyDescent="0.35">
      <c r="A197" s="319" t="s">
        <v>591</v>
      </c>
      <c r="B197" s="53" t="s">
        <v>623</v>
      </c>
      <c r="C197" s="158" t="s">
        <v>27</v>
      </c>
      <c r="D197" s="159">
        <f t="shared" si="20"/>
        <v>6.27</v>
      </c>
      <c r="E197" s="159">
        <f t="shared" si="21"/>
        <v>6.05</v>
      </c>
      <c r="F197" s="161">
        <v>5.5</v>
      </c>
      <c r="G197" s="161">
        <v>5.5</v>
      </c>
      <c r="H197" s="176" t="s">
        <v>595</v>
      </c>
      <c r="I197" s="5"/>
      <c r="J197" s="138"/>
    </row>
    <row r="198" spans="1:10" s="179" customFormat="1" ht="16.2" thickBot="1" x14ac:dyDescent="0.35">
      <c r="A198" s="319" t="s">
        <v>592</v>
      </c>
      <c r="B198" s="53" t="s">
        <v>624</v>
      </c>
      <c r="C198" s="158" t="s">
        <v>27</v>
      </c>
      <c r="D198" s="159">
        <f t="shared" si="20"/>
        <v>39.879999999999995</v>
      </c>
      <c r="E198" s="159">
        <f t="shared" si="21"/>
        <v>38.5</v>
      </c>
      <c r="F198" s="161">
        <v>35</v>
      </c>
      <c r="G198" s="161">
        <v>35</v>
      </c>
      <c r="H198" s="176" t="s">
        <v>595</v>
      </c>
      <c r="I198" s="5"/>
      <c r="J198" s="138"/>
    </row>
    <row r="199" spans="1:10" s="179" customFormat="1" ht="16.2" thickBot="1" x14ac:dyDescent="0.35">
      <c r="A199" s="319" t="s">
        <v>593</v>
      </c>
      <c r="B199" s="157"/>
      <c r="C199" s="158"/>
      <c r="D199" s="159"/>
      <c r="E199" s="159"/>
      <c r="F199" s="161"/>
      <c r="G199" s="161"/>
      <c r="H199" s="176"/>
      <c r="I199" s="5"/>
      <c r="J199" s="138"/>
    </row>
    <row r="200" spans="1:10" s="179" customFormat="1" ht="16.2" thickBot="1" x14ac:dyDescent="0.35">
      <c r="A200" s="319" t="s">
        <v>594</v>
      </c>
      <c r="B200" s="157"/>
      <c r="C200" s="158"/>
      <c r="D200" s="159"/>
      <c r="E200" s="159"/>
      <c r="F200" s="161"/>
      <c r="G200" s="161"/>
      <c r="H200" s="176"/>
      <c r="I200" s="5"/>
      <c r="J200" s="138"/>
    </row>
  </sheetData>
  <mergeCells count="1">
    <mergeCell ref="F3:G3"/>
  </mergeCells>
  <phoneticPr fontId="0" type="noConversion"/>
  <pageMargins left="0.75" right="0.75" top="0.21" bottom="0.34" header="0" footer="0"/>
  <pageSetup scale="60" orientation="portrait" horizontalDpi="180" verticalDpi="14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topLeftCell="H1" zoomScale="60" zoomScaleNormal="60" zoomScalePageLayoutView="80" workbookViewId="0">
      <selection activeCell="AA14" sqref="AA14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2.332031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80" t="s">
        <v>244</v>
      </c>
      <c r="B2" s="381"/>
      <c r="C2" s="382"/>
      <c r="D2" s="78" t="s">
        <v>218</v>
      </c>
      <c r="E2" s="79"/>
      <c r="F2" s="375" t="s">
        <v>159</v>
      </c>
      <c r="G2" s="376"/>
      <c r="H2" s="78" t="s">
        <v>218</v>
      </c>
      <c r="I2" s="78" t="s">
        <v>218</v>
      </c>
    </row>
    <row r="3" spans="1:9" s="84" customFormat="1" ht="67.5" customHeight="1" thickBot="1" x14ac:dyDescent="0.3">
      <c r="A3" s="377" t="s">
        <v>246</v>
      </c>
      <c r="B3" s="378"/>
      <c r="C3" s="379"/>
      <c r="D3" s="80" t="str">
        <f>IF(D11=8,"8 mm.","10 mm.")</f>
        <v>10 mm.</v>
      </c>
      <c r="E3" s="81"/>
      <c r="F3" s="82"/>
      <c r="G3" s="83"/>
      <c r="H3" s="80" t="str">
        <f>IF(H11=8,"8 mm.","10 mm.")</f>
        <v>10 mm.</v>
      </c>
      <c r="I3" s="80" t="str">
        <f>IF(I11=8,"8 mm.","10 mm.")</f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>IF(H10=1,"INCOLORO","COLOR")</f>
        <v>INCOLORO</v>
      </c>
      <c r="I4" s="87" t="str">
        <f>IF(I10=1,"INCOLORO","COLOR")</f>
        <v>INCOLORO</v>
      </c>
    </row>
    <row r="5" spans="1:9" ht="15.6" x14ac:dyDescent="0.3">
      <c r="A5" s="91" t="s">
        <v>161</v>
      </c>
      <c r="B5" s="92"/>
      <c r="C5" s="93"/>
      <c r="D5" s="28">
        <v>6</v>
      </c>
      <c r="E5" s="94"/>
      <c r="F5" s="95"/>
      <c r="G5" s="96"/>
      <c r="H5" s="28">
        <v>6</v>
      </c>
      <c r="I5" s="28">
        <v>6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6</v>
      </c>
      <c r="I6" s="28">
        <v>6</v>
      </c>
    </row>
    <row r="7" spans="1:9" ht="15.6" x14ac:dyDescent="0.3">
      <c r="A7" s="97" t="s">
        <v>163</v>
      </c>
      <c r="B7" s="98"/>
      <c r="C7" s="99"/>
      <c r="D7" s="28">
        <v>1</v>
      </c>
      <c r="E7" s="94"/>
      <c r="F7" s="23">
        <f>SUM(H7:IU7)</f>
        <v>2</v>
      </c>
      <c r="G7" s="24" t="s">
        <v>213</v>
      </c>
      <c r="H7" s="28">
        <v>1</v>
      </c>
      <c r="I7" s="28">
        <v>1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5</v>
      </c>
      <c r="I8" s="28">
        <v>5</v>
      </c>
    </row>
    <row r="9" spans="1:9" ht="15.6" x14ac:dyDescent="0.3">
      <c r="A9" s="10" t="s">
        <v>240</v>
      </c>
      <c r="B9" s="98"/>
      <c r="D9" s="28">
        <v>3</v>
      </c>
      <c r="E9" s="94"/>
      <c r="F9" s="23"/>
      <c r="G9" s="24"/>
      <c r="H9" s="28">
        <v>3</v>
      </c>
      <c r="I9" s="28">
        <v>3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1</v>
      </c>
    </row>
    <row r="11" spans="1:9" ht="15.6" x14ac:dyDescent="0.3">
      <c r="A11" s="100" t="s">
        <v>200</v>
      </c>
      <c r="B11" s="98"/>
      <c r="C11" s="99"/>
      <c r="D11" s="28">
        <v>10</v>
      </c>
      <c r="E11" s="94"/>
      <c r="F11" s="23"/>
      <c r="G11" s="24"/>
      <c r="H11" s="28">
        <v>10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83" t="s">
        <v>245</v>
      </c>
      <c r="B13" s="383"/>
      <c r="C13" s="384"/>
      <c r="D13" s="74">
        <v>1</v>
      </c>
      <c r="E13" s="94"/>
      <c r="F13" s="23"/>
      <c r="G13" s="24"/>
      <c r="H13" s="74">
        <v>1</v>
      </c>
      <c r="I13" s="74">
        <v>1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1.2</v>
      </c>
      <c r="E15" s="94"/>
      <c r="F15" s="23"/>
      <c r="G15" s="24"/>
      <c r="H15" s="16">
        <f>+H5/H8</f>
        <v>1.2</v>
      </c>
      <c r="I15" s="16">
        <f>+I5/I8</f>
        <v>1.2</v>
      </c>
    </row>
    <row r="16" spans="1:9" ht="18" x14ac:dyDescent="0.35">
      <c r="A16" s="18" t="s">
        <v>243</v>
      </c>
      <c r="B16" s="19"/>
      <c r="C16" s="19"/>
      <c r="D16" s="17">
        <f>+D6/D9</f>
        <v>2</v>
      </c>
      <c r="E16" s="94"/>
      <c r="F16" s="23"/>
      <c r="G16" s="24"/>
      <c r="H16" s="17">
        <f>+H6/H9</f>
        <v>2</v>
      </c>
      <c r="I16" s="17">
        <f>+I6/I9</f>
        <v>2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2883.0149999999999</v>
      </c>
      <c r="E17" s="22"/>
      <c r="F17" s="23">
        <f>SUM(H17:IU17)</f>
        <v>5766.03</v>
      </c>
      <c r="G17" s="24" t="s">
        <v>165</v>
      </c>
      <c r="H17" s="21">
        <f>+H51</f>
        <v>2883.0149999999999</v>
      </c>
      <c r="I17" s="21">
        <f>+I51</f>
        <v>2883.0149999999999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40.799999999999997</v>
      </c>
      <c r="E18" s="29"/>
      <c r="F18" s="23">
        <f>SUM(H18:IU18)</f>
        <v>81.599999999999994</v>
      </c>
      <c r="G18" s="24" t="s">
        <v>34</v>
      </c>
      <c r="H18" s="28">
        <f>+H5*H6*H$7+IF(H13=1,H7*H6*(H8-1)*0.2,0)</f>
        <v>40.799999999999997</v>
      </c>
      <c r="I18" s="28">
        <f>+I5*I6*I$7+IF(I13=1,I7*I6*(I8-1)*0.2,0)</f>
        <v>40.799999999999997</v>
      </c>
    </row>
    <row r="19" spans="1:9" ht="15.6" x14ac:dyDescent="0.3">
      <c r="A19" s="26" t="s">
        <v>167</v>
      </c>
      <c r="B19" s="20"/>
      <c r="C19" s="27"/>
      <c r="D19" s="21">
        <f>+D17/D18</f>
        <v>70.662132352941185</v>
      </c>
      <c r="E19" s="22"/>
      <c r="F19" s="23">
        <f>+F17/F18</f>
        <v>70.662132352941185</v>
      </c>
      <c r="G19" s="24" t="s">
        <v>168</v>
      </c>
      <c r="H19" s="21">
        <f>+H17/H18</f>
        <v>70.662132352941185</v>
      </c>
      <c r="I19" s="21">
        <f>+I17/I18</f>
        <v>70.662132352941185</v>
      </c>
    </row>
    <row r="20" spans="1:9" ht="15.6" x14ac:dyDescent="0.3">
      <c r="A20" s="26" t="s">
        <v>169</v>
      </c>
      <c r="B20" s="20"/>
      <c r="C20" s="27"/>
      <c r="D20" s="21">
        <f>+D72</f>
        <v>2788.2789999999995</v>
      </c>
      <c r="E20" s="22"/>
      <c r="F20" s="23">
        <f>SUM(H20:IU20)</f>
        <v>5576.5579999999991</v>
      </c>
      <c r="G20" s="24" t="s">
        <v>165</v>
      </c>
      <c r="H20" s="21">
        <f>+H72</f>
        <v>2788.2789999999995</v>
      </c>
      <c r="I20" s="21">
        <f>+I72</f>
        <v>2788.2789999999995</v>
      </c>
    </row>
    <row r="21" spans="1:9" ht="15.6" x14ac:dyDescent="0.3">
      <c r="A21" s="26" t="s">
        <v>170</v>
      </c>
      <c r="B21" s="20"/>
      <c r="C21" s="27"/>
      <c r="D21" s="21">
        <f>+D20/D18</f>
        <v>68.34017156862744</v>
      </c>
      <c r="E21" s="22"/>
      <c r="F21" s="23">
        <f>+F20/F18</f>
        <v>68.34017156862744</v>
      </c>
      <c r="G21" s="24" t="s">
        <v>168</v>
      </c>
      <c r="H21" s="21">
        <f>+H20/H18</f>
        <v>68.34017156862744</v>
      </c>
      <c r="I21" s="21">
        <f>+I20/I18</f>
        <v>68.34017156862744</v>
      </c>
    </row>
    <row r="22" spans="1:9" ht="15.6" x14ac:dyDescent="0.3">
      <c r="A22" s="261" t="s">
        <v>353</v>
      </c>
      <c r="B22" s="287"/>
      <c r="C22" s="288"/>
      <c r="D22" s="289">
        <f>0.9*SUM(D52:D55)</f>
        <v>1327.5710999999999</v>
      </c>
      <c r="E22" s="22"/>
      <c r="F22" s="293">
        <f>SUM(H22:IU22)</f>
        <v>2655.1421999999998</v>
      </c>
      <c r="G22" s="294" t="s">
        <v>165</v>
      </c>
      <c r="H22" s="289">
        <f>0.9*SUM(H52:H55)</f>
        <v>1327.5710999999999</v>
      </c>
      <c r="I22" s="289">
        <f>0.9*SUM(I52:I55)</f>
        <v>1327.5710999999999</v>
      </c>
    </row>
    <row r="23" spans="1:9" ht="15.6" x14ac:dyDescent="0.3">
      <c r="A23" s="261" t="s">
        <v>354</v>
      </c>
      <c r="B23" s="287"/>
      <c r="C23" s="288"/>
      <c r="D23" s="289">
        <f>0.9*SUM(D57:D69)</f>
        <v>429.92640000000006</v>
      </c>
      <c r="E23" s="22"/>
      <c r="F23" s="293">
        <f>SUM(H23:IU23)</f>
        <v>859.85280000000012</v>
      </c>
      <c r="G23" s="294" t="s">
        <v>165</v>
      </c>
      <c r="H23" s="289">
        <f>0.9*SUM(H57:H69)</f>
        <v>429.92640000000006</v>
      </c>
      <c r="I23" s="289">
        <f>0.9*SUM(I57:I69)</f>
        <v>429.92640000000006</v>
      </c>
    </row>
    <row r="24" spans="1:9" ht="15.6" x14ac:dyDescent="0.3">
      <c r="A24" s="261" t="s">
        <v>182</v>
      </c>
      <c r="B24" s="287"/>
      <c r="C24" s="288"/>
      <c r="D24" s="289">
        <f>0.9*D56</f>
        <v>837.21600000000001</v>
      </c>
      <c r="E24" s="22"/>
      <c r="F24" s="293">
        <f>SUM(H24:IU24)</f>
        <v>1674.432</v>
      </c>
      <c r="G24" s="294" t="s">
        <v>165</v>
      </c>
      <c r="H24" s="289">
        <f>0.9*H56</f>
        <v>837.21600000000001</v>
      </c>
      <c r="I24" s="289">
        <f>0.9*I56</f>
        <v>837.21600000000001</v>
      </c>
    </row>
    <row r="25" spans="1:9" ht="15.6" x14ac:dyDescent="0.3">
      <c r="A25" s="261" t="s">
        <v>355</v>
      </c>
      <c r="B25" s="287"/>
      <c r="C25" s="288"/>
      <c r="D25" s="289">
        <f>+D17-D24-D23-D22</f>
        <v>288.30150000000003</v>
      </c>
      <c r="E25" s="22"/>
      <c r="F25" s="293">
        <f>SUM(H25:IU25)</f>
        <v>576.60300000000007</v>
      </c>
      <c r="G25" s="294" t="s">
        <v>165</v>
      </c>
      <c r="H25" s="289">
        <f>+H17-H24-H23-H22</f>
        <v>288.30150000000003</v>
      </c>
      <c r="I25" s="289">
        <f>+I17-I24-I23-I22</f>
        <v>288.30150000000003</v>
      </c>
    </row>
    <row r="26" spans="1:9" ht="15.6" x14ac:dyDescent="0.3">
      <c r="A26" s="283" t="s">
        <v>356</v>
      </c>
      <c r="B26" s="290"/>
      <c r="C26" s="291"/>
      <c r="D26" s="292">
        <f>SUM(D22:D25)</f>
        <v>2883.0149999999999</v>
      </c>
      <c r="E26" s="22"/>
      <c r="F26" s="301">
        <f>SUM(H26:IU26)</f>
        <v>5766.03</v>
      </c>
      <c r="G26" s="302" t="s">
        <v>165</v>
      </c>
      <c r="H26" s="292">
        <f>SUM(H22:H25)</f>
        <v>2883.0149999999999</v>
      </c>
      <c r="I26" s="292">
        <f>SUM(I22:I25)</f>
        <v>2883.0149999999999</v>
      </c>
    </row>
    <row r="27" spans="1:9" ht="15.6" x14ac:dyDescent="0.3">
      <c r="A27" s="30" t="s">
        <v>171</v>
      </c>
      <c r="B27" s="31"/>
      <c r="C27" s="32"/>
      <c r="D27" s="33">
        <f>+(D17-D20)/D17</f>
        <v>3.2860044085792246E-2</v>
      </c>
      <c r="E27" s="34"/>
      <c r="F27" s="35">
        <f>+(F17-F20)/F17</f>
        <v>3.2860044085792246E-2</v>
      </c>
      <c r="G27" s="36"/>
      <c r="H27" s="33">
        <f>+(H17-H20)/H17</f>
        <v>3.2860044085792246E-2</v>
      </c>
      <c r="I27" s="33">
        <f>+(I17-I20)/I17</f>
        <v>3.2860044085792246E-2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>+H2</f>
        <v>PF</v>
      </c>
      <c r="I30" s="49" t="str">
        <f>+I2</f>
        <v>PF</v>
      </c>
    </row>
    <row r="31" spans="1:9" ht="15.6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41.099999999999994</v>
      </c>
      <c r="E31" s="57"/>
      <c r="F31" s="58">
        <f t="shared" ref="F31:F37" si="0">ROUNDUP(SUM(H31:IU31),1)</f>
        <v>82.2</v>
      </c>
      <c r="G31" s="55" t="s">
        <v>34</v>
      </c>
      <c r="H31" s="56">
        <f>IF(H$10=1,IF(H$11=10,((H$6*0.05)+(H$5*H$6))*H$7+IF(H13=1,H$7*H6*(H8-1)*0.2,0),0),0)</f>
        <v>41.099999999999994</v>
      </c>
      <c r="I31" s="56">
        <f>IF(I$10=1,IF(I$11=10,((I$6*0.05)+(I$5*I$6))*I$7+IF(I13=1,I$7*I6*(I8-1)*0.2,0),0),0)</f>
        <v>41.099999999999994</v>
      </c>
    </row>
    <row r="32" spans="1:9" ht="15.6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57"/>
      <c r="F32" s="58">
        <f t="shared" si="0"/>
        <v>0</v>
      </c>
      <c r="G32" s="55" t="s">
        <v>34</v>
      </c>
      <c r="H32" s="56">
        <f>IF(H$10=2,IF(H$11=10,((H$6*0.05)+(H$5*H$6))*H$7+IF(H13=1,H7*H6*(H8-1)*0.2,0),0),0)</f>
        <v>0</v>
      </c>
      <c r="I32" s="56">
        <f>IF(I$10=2,IF(I$11=10,((I$6*0.05)+(I$5*I$6))*I$7+IF(I13=1,I7*I6*(I8-1)*0.2,0),0),0)</f>
        <v>0</v>
      </c>
    </row>
    <row r="33" spans="1:9" ht="15.6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0</v>
      </c>
      <c r="E33" s="57"/>
      <c r="F33" s="58">
        <f t="shared" si="0"/>
        <v>0</v>
      </c>
      <c r="G33" s="55" t="s">
        <v>34</v>
      </c>
      <c r="H33" s="56">
        <f>IF(H$10=1,IF(H$11=8,((H$6*0.05)+(H$5*H$6))*H$7+IF(H13=1,H7*H6*(H8-1)*0.2,0),0),0)</f>
        <v>0</v>
      </c>
      <c r="I33" s="56">
        <f>IF(I$10=1,IF(I$11=8,((I$6*0.05)+(I$5*I$6))*I$7+IF(I13=1,I7*I6*(I8-1)*0.2,0),0),0)</f>
        <v>0</v>
      </c>
    </row>
    <row r="34" spans="1:9" ht="15.6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57"/>
      <c r="F34" s="58">
        <f t="shared" si="0"/>
        <v>0</v>
      </c>
      <c r="G34" s="55" t="s">
        <v>34</v>
      </c>
      <c r="H34" s="56">
        <f>IF(H$10=2,IF(H$11=8,((H$5*H$6))*H$7+IF(H13=1,H7*H6*(H8-1)*0.2,0),0),0)</f>
        <v>0</v>
      </c>
      <c r="I34" s="56">
        <f>IF(I$10=2,IF(I$11=8,((I$5*I$6))*I$7+IF(I13=1,I7*I6*(I8-1)*0.2,0),0),0)</f>
        <v>0</v>
      </c>
    </row>
    <row r="35" spans="1:9" ht="15.6" x14ac:dyDescent="0.3">
      <c r="A35" s="53" t="s">
        <v>182</v>
      </c>
      <c r="B35" s="54"/>
      <c r="C35" s="55" t="s">
        <v>34</v>
      </c>
      <c r="D35" s="56">
        <f>+D18</f>
        <v>40.799999999999997</v>
      </c>
      <c r="E35" s="57"/>
      <c r="F35" s="58">
        <f t="shared" si="0"/>
        <v>81.599999999999994</v>
      </c>
      <c r="G35" s="55" t="s">
        <v>34</v>
      </c>
      <c r="H35" s="56">
        <f>+H18</f>
        <v>40.799999999999997</v>
      </c>
      <c r="I35" s="56">
        <f>+I18</f>
        <v>40.799999999999997</v>
      </c>
    </row>
    <row r="36" spans="1:9" ht="15.6" x14ac:dyDescent="0.3">
      <c r="A36" s="157" t="s">
        <v>12</v>
      </c>
      <c r="B36" s="54"/>
      <c r="C36" s="55" t="s">
        <v>13</v>
      </c>
      <c r="D36" s="56">
        <f>D7*(4*D5+4*D6+(D8-1)*D6+(D9-1)*D5)/6</f>
        <v>14</v>
      </c>
      <c r="E36" s="57"/>
      <c r="F36" s="58">
        <f t="shared" si="0"/>
        <v>28</v>
      </c>
      <c r="G36" s="55" t="s">
        <v>13</v>
      </c>
      <c r="H36" s="56">
        <f>H7*(4*H5+4*H6+(H8-1)*H6+(H9-1)*H5)/6</f>
        <v>14</v>
      </c>
      <c r="I36" s="56">
        <f>I7*(4*I5+4*I6+(I8-1)*I6+(I9-1)*I5)/6</f>
        <v>14</v>
      </c>
    </row>
    <row r="37" spans="1:9" ht="15.6" x14ac:dyDescent="0.3">
      <c r="A37" s="53" t="s">
        <v>15</v>
      </c>
      <c r="B37" s="54"/>
      <c r="C37" s="55" t="s">
        <v>16</v>
      </c>
      <c r="D37" s="56">
        <f>+D7*D36*12/20</f>
        <v>8.4</v>
      </c>
      <c r="E37" s="57"/>
      <c r="F37" s="58">
        <f t="shared" si="0"/>
        <v>16.8</v>
      </c>
      <c r="G37" s="55" t="s">
        <v>16</v>
      </c>
      <c r="H37" s="56">
        <f>+H7*H36*12/20</f>
        <v>8.4</v>
      </c>
      <c r="I37" s="56">
        <f>+I7*I36*12/20</f>
        <v>8.4</v>
      </c>
    </row>
    <row r="38" spans="1:9" ht="15.6" x14ac:dyDescent="0.3">
      <c r="A38" s="53" t="s">
        <v>295</v>
      </c>
      <c r="B38" s="54">
        <v>0.2</v>
      </c>
      <c r="C38" s="55" t="s">
        <v>186</v>
      </c>
      <c r="D38" s="56">
        <f>(2*D$6+2*D5)*$B38*D$7</f>
        <v>4.8000000000000007</v>
      </c>
      <c r="E38" s="57"/>
      <c r="F38" s="58">
        <f>ROUNDUP(SUM(H38:IU38)/(6*B38),1)</f>
        <v>8</v>
      </c>
      <c r="G38" s="55" t="s">
        <v>262</v>
      </c>
      <c r="H38" s="56">
        <f>(2*H$6+2*H5)*$B38*H$7</f>
        <v>4.8000000000000007</v>
      </c>
      <c r="I38" s="56">
        <f>(2*I$6+2*I5)*$B38*I$7</f>
        <v>4.8000000000000007</v>
      </c>
    </row>
    <row r="39" spans="1:9" ht="15.6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57"/>
      <c r="F39" s="58">
        <f t="shared" ref="F39:F48" si="1">ROUNDUP(SUM(H39:IU39),1)</f>
        <v>0</v>
      </c>
      <c r="G39" s="55" t="s">
        <v>34</v>
      </c>
      <c r="H39" s="56">
        <f>IF((H12="e"),H18*H7,IF( (H12="E"),H18*H7,0))</f>
        <v>0</v>
      </c>
      <c r="I39" s="56">
        <f>IF((I12="e"),I18*I7,IF( (I12="E"),I18*I7,0))</f>
        <v>0</v>
      </c>
    </row>
    <row r="40" spans="1:9" ht="15.6" x14ac:dyDescent="0.3">
      <c r="A40" s="53" t="s">
        <v>29</v>
      </c>
      <c r="B40" s="54"/>
      <c r="C40" s="55" t="s">
        <v>27</v>
      </c>
      <c r="D40" s="56">
        <f>D$7*(2*D$5+2*D$6)/0.4</f>
        <v>60</v>
      </c>
      <c r="E40" s="57"/>
      <c r="F40" s="58">
        <f t="shared" si="1"/>
        <v>120</v>
      </c>
      <c r="G40" s="55" t="s">
        <v>27</v>
      </c>
      <c r="H40" s="56">
        <f>H$7*(2*H$5+2*H$6)/0.4</f>
        <v>60</v>
      </c>
      <c r="I40" s="56">
        <f>I$7*(2*I$5+2*I$6)/0.4</f>
        <v>60</v>
      </c>
    </row>
    <row r="41" spans="1:9" ht="15.6" x14ac:dyDescent="0.3">
      <c r="A41" s="53" t="s">
        <v>30</v>
      </c>
      <c r="B41" s="54"/>
      <c r="C41" s="55" t="s">
        <v>27</v>
      </c>
      <c r="D41" s="56">
        <f>D$7*(2*D$5+2*D$6)/0.4</f>
        <v>60</v>
      </c>
      <c r="E41" s="57"/>
      <c r="F41" s="58">
        <f t="shared" si="1"/>
        <v>120</v>
      </c>
      <c r="G41" s="55" t="s">
        <v>27</v>
      </c>
      <c r="H41" s="56">
        <f>H$7*(2*H$5+2*H$6)/0.4</f>
        <v>60</v>
      </c>
      <c r="I41" s="56">
        <f>I$7*(2*I$5+2*I$6)/0.4</f>
        <v>60</v>
      </c>
    </row>
    <row r="42" spans="1:9" ht="15.6" x14ac:dyDescent="0.3">
      <c r="A42" s="53" t="s">
        <v>247</v>
      </c>
      <c r="B42" s="54"/>
      <c r="C42" s="55" t="s">
        <v>249</v>
      </c>
      <c r="D42" s="56">
        <f>IF(D13=2,D7*(D8-1)*D6,0)</f>
        <v>0</v>
      </c>
      <c r="E42" s="57"/>
      <c r="F42" s="58">
        <f t="shared" si="1"/>
        <v>0</v>
      </c>
      <c r="G42" s="55" t="s">
        <v>249</v>
      </c>
      <c r="H42" s="56">
        <f>IF(H13=2,H7*(H8-1)*H6,0)</f>
        <v>0</v>
      </c>
      <c r="I42" s="56">
        <f>IF(I13=2,I7*(I8-1)*I6,0)</f>
        <v>0</v>
      </c>
    </row>
    <row r="43" spans="1:9" ht="15.6" x14ac:dyDescent="0.3">
      <c r="A43" s="53" t="s">
        <v>248</v>
      </c>
      <c r="B43" s="54"/>
      <c r="C43" s="55" t="s">
        <v>27</v>
      </c>
      <c r="D43" s="56">
        <f>IF(D13=2,D7*(D8-1)*(D9-1),0)</f>
        <v>0</v>
      </c>
      <c r="E43" s="57"/>
      <c r="F43" s="58">
        <f t="shared" si="1"/>
        <v>0</v>
      </c>
      <c r="G43" s="55" t="s">
        <v>27</v>
      </c>
      <c r="H43" s="56">
        <f>IF(H13=2,H7*(H8-1)*(H9-1),0)</f>
        <v>0</v>
      </c>
      <c r="I43" s="56">
        <f>IF(I13=2,I7*(I8-1)*(I9-1),0)</f>
        <v>0</v>
      </c>
    </row>
    <row r="44" spans="1:9" ht="15.6" x14ac:dyDescent="0.3">
      <c r="A44" s="53" t="s">
        <v>250</v>
      </c>
      <c r="B44" s="54"/>
      <c r="C44" s="55" t="s">
        <v>27</v>
      </c>
      <c r="D44" s="56">
        <f>+D43*D7</f>
        <v>0</v>
      </c>
      <c r="E44" s="57"/>
      <c r="F44" s="58">
        <f t="shared" si="1"/>
        <v>0</v>
      </c>
      <c r="G44" s="55" t="s">
        <v>27</v>
      </c>
      <c r="H44" s="56">
        <f>+H43*H7</f>
        <v>0</v>
      </c>
      <c r="I44" s="56">
        <f>+I43*I7</f>
        <v>0</v>
      </c>
    </row>
    <row r="45" spans="1:9" ht="15.6" x14ac:dyDescent="0.3">
      <c r="A45" s="53" t="s">
        <v>253</v>
      </c>
      <c r="B45" s="54"/>
      <c r="C45" s="55" t="s">
        <v>27</v>
      </c>
      <c r="D45" s="56">
        <f>+(D8-1)*2*D7</f>
        <v>8</v>
      </c>
      <c r="E45" s="57"/>
      <c r="F45" s="58">
        <f t="shared" si="1"/>
        <v>16</v>
      </c>
      <c r="G45" s="55" t="s">
        <v>27</v>
      </c>
      <c r="H45" s="56">
        <f>+(H8-1)*2*H7</f>
        <v>8</v>
      </c>
      <c r="I45" s="56">
        <f>+(I8-1)*2*I7</f>
        <v>8</v>
      </c>
    </row>
    <row r="46" spans="1:9" ht="15.6" x14ac:dyDescent="0.3">
      <c r="A46" s="53">
        <v>1318</v>
      </c>
      <c r="B46" s="54"/>
      <c r="C46" s="55" t="s">
        <v>27</v>
      </c>
      <c r="D46" s="56">
        <f>IF(D13=1,D7*(D8-1)*(D9-1),0)</f>
        <v>8</v>
      </c>
      <c r="E46" s="57"/>
      <c r="F46" s="58">
        <f t="shared" si="1"/>
        <v>16</v>
      </c>
      <c r="G46" s="55" t="s">
        <v>27</v>
      </c>
      <c r="H46" s="56">
        <f>IF(H13=1,H7*(H8-1)*(H9-1),0)</f>
        <v>8</v>
      </c>
      <c r="I46" s="56">
        <f>IF(I13=1,I7*(I8-1)*(I9-1),0)</f>
        <v>8</v>
      </c>
    </row>
    <row r="47" spans="1:9" ht="15.6" x14ac:dyDescent="0.3">
      <c r="A47" s="60">
        <v>1302</v>
      </c>
      <c r="B47" s="54"/>
      <c r="C47" s="61" t="s">
        <v>27</v>
      </c>
      <c r="D47" s="56">
        <f>IF(D13=1,D7*2*(D8-1),0)</f>
        <v>8</v>
      </c>
      <c r="E47" s="57"/>
      <c r="F47" s="58">
        <f t="shared" si="1"/>
        <v>16</v>
      </c>
      <c r="G47" s="61" t="s">
        <v>27</v>
      </c>
      <c r="H47" s="56">
        <f>IF(H13=1,H7*2*(H8-1),0)</f>
        <v>8</v>
      </c>
      <c r="I47" s="56">
        <f>IF(I13=1,I7*2*(I8-1),0)</f>
        <v>8</v>
      </c>
    </row>
    <row r="48" spans="1:9" ht="15.6" x14ac:dyDescent="0.3">
      <c r="A48" s="53">
        <v>1304</v>
      </c>
      <c r="B48" s="54"/>
      <c r="C48" s="55" t="s">
        <v>27</v>
      </c>
      <c r="D48" s="56">
        <f>IF(D13=1,D7*(D8-1)*(D9-1),0)</f>
        <v>8</v>
      </c>
      <c r="E48" s="57"/>
      <c r="F48" s="58">
        <f t="shared" si="1"/>
        <v>16</v>
      </c>
      <c r="G48" s="55" t="s">
        <v>27</v>
      </c>
      <c r="H48" s="56">
        <f>IF(H13=1,H7*(H8-1)*(H9-1),0)</f>
        <v>8</v>
      </c>
      <c r="I48" s="56">
        <f>IF(I13=1,I7*(I8-1)*(I9-1),0)</f>
        <v>8</v>
      </c>
    </row>
    <row r="49" spans="1:9" ht="15.6" x14ac:dyDescent="0.3">
      <c r="A49" s="181"/>
      <c r="B49" s="1"/>
      <c r="C49" s="183"/>
      <c r="D49" s="65"/>
      <c r="E49" s="57"/>
      <c r="F49" s="182"/>
      <c r="G49" s="183"/>
      <c r="H49" s="65"/>
      <c r="I49" s="65"/>
    </row>
    <row r="50" spans="1:9" x14ac:dyDescent="0.25">
      <c r="C50" s="65"/>
      <c r="D50" s="65"/>
      <c r="H50" s="65"/>
      <c r="I50" s="65"/>
    </row>
    <row r="51" spans="1:9" ht="15.6" x14ac:dyDescent="0.3">
      <c r="A51" s="66" t="s">
        <v>188</v>
      </c>
      <c r="B51" s="67"/>
      <c r="C51" s="68"/>
      <c r="D51" s="68">
        <f>SUM(D52:D69)</f>
        <v>2883.0149999999999</v>
      </c>
      <c r="F51" s="68">
        <f>SUM(F52:F68)</f>
        <v>5663.2</v>
      </c>
      <c r="H51" s="68">
        <f>SUM(H52:H69)</f>
        <v>2883.0149999999999</v>
      </c>
      <c r="I51" s="68">
        <f>SUM(I52:I69)</f>
        <v>2883.0149999999999</v>
      </c>
    </row>
    <row r="52" spans="1:9" ht="15.6" x14ac:dyDescent="0.3">
      <c r="A52" s="53" t="s">
        <v>33</v>
      </c>
      <c r="B52" s="54"/>
      <c r="C52" s="69">
        <f>+'Costo M.P.yMat.'!D29</f>
        <v>35.89</v>
      </c>
      <c r="D52" s="56">
        <f t="shared" ref="D52:D66" si="2">+$C52*D31</f>
        <v>1475.0789999999997</v>
      </c>
      <c r="F52" s="58">
        <f t="shared" ref="F52:F69" si="3">ROUNDUP(SUM(H52:IU52),1)</f>
        <v>2950.2</v>
      </c>
      <c r="H52" s="56">
        <f t="shared" ref="H52:I66" si="4">+$C52*H31</f>
        <v>1475.0789999999997</v>
      </c>
      <c r="I52" s="56">
        <f t="shared" si="4"/>
        <v>1475.0789999999997</v>
      </c>
    </row>
    <row r="53" spans="1:9" ht="15.6" x14ac:dyDescent="0.3">
      <c r="A53" s="53" t="s">
        <v>40</v>
      </c>
      <c r="B53" s="54"/>
      <c r="C53" s="69">
        <f>+'Costo M.P.yMat.'!D34</f>
        <v>46.66</v>
      </c>
      <c r="D53" s="56">
        <f t="shared" si="2"/>
        <v>0</v>
      </c>
      <c r="F53" s="58">
        <f t="shared" si="3"/>
        <v>0</v>
      </c>
      <c r="H53" s="56">
        <f t="shared" si="4"/>
        <v>0</v>
      </c>
      <c r="I53" s="56">
        <f t="shared" si="4"/>
        <v>0</v>
      </c>
    </row>
    <row r="54" spans="1:9" ht="15.6" x14ac:dyDescent="0.3">
      <c r="A54" s="53" t="s">
        <v>36</v>
      </c>
      <c r="B54" s="54"/>
      <c r="C54" s="69">
        <f>+'Costo M.P.yMat.'!D30</f>
        <v>34.699999999999996</v>
      </c>
      <c r="D54" s="56">
        <f t="shared" si="2"/>
        <v>0</v>
      </c>
      <c r="F54" s="58">
        <f t="shared" si="3"/>
        <v>0</v>
      </c>
      <c r="H54" s="56">
        <f t="shared" si="4"/>
        <v>0</v>
      </c>
      <c r="I54" s="56">
        <f t="shared" si="4"/>
        <v>0</v>
      </c>
    </row>
    <row r="55" spans="1:9" ht="15.6" x14ac:dyDescent="0.3">
      <c r="A55" s="53" t="s">
        <v>41</v>
      </c>
      <c r="B55" s="54"/>
      <c r="C55" s="69">
        <f>+'Costo M.P.yMat.'!D35</f>
        <v>45.46</v>
      </c>
      <c r="D55" s="56">
        <f t="shared" si="2"/>
        <v>0</v>
      </c>
      <c r="F55" s="58">
        <f t="shared" si="3"/>
        <v>0</v>
      </c>
      <c r="H55" s="56">
        <f t="shared" si="4"/>
        <v>0</v>
      </c>
      <c r="I55" s="56">
        <f t="shared" si="4"/>
        <v>0</v>
      </c>
    </row>
    <row r="56" spans="1:9" ht="15.6" x14ac:dyDescent="0.3">
      <c r="A56" s="53" t="s">
        <v>182</v>
      </c>
      <c r="B56" s="54"/>
      <c r="C56" s="69">
        <f>+'Costo M.P.yMat.'!D87*2</f>
        <v>22.8</v>
      </c>
      <c r="D56" s="56">
        <f t="shared" si="2"/>
        <v>930.24</v>
      </c>
      <c r="F56" s="58">
        <f t="shared" si="3"/>
        <v>1860.5</v>
      </c>
      <c r="H56" s="56">
        <f t="shared" si="4"/>
        <v>930.24</v>
      </c>
      <c r="I56" s="56">
        <f t="shared" si="4"/>
        <v>930.24</v>
      </c>
    </row>
    <row r="57" spans="1:9" ht="15.6" x14ac:dyDescent="0.3">
      <c r="A57" s="53" t="s">
        <v>190</v>
      </c>
      <c r="B57" s="54"/>
      <c r="C57" s="69">
        <f>+'Costo M.P.yMat.'!D7</f>
        <v>3.3099999999999996</v>
      </c>
      <c r="D57" s="56">
        <f t="shared" si="2"/>
        <v>46.339999999999996</v>
      </c>
      <c r="F57" s="58">
        <f t="shared" si="3"/>
        <v>92.699999999999989</v>
      </c>
      <c r="H57" s="56">
        <f t="shared" si="4"/>
        <v>46.339999999999996</v>
      </c>
      <c r="I57" s="56">
        <f t="shared" si="4"/>
        <v>46.339999999999996</v>
      </c>
    </row>
    <row r="58" spans="1:9" ht="15.6" x14ac:dyDescent="0.3">
      <c r="A58" s="53" t="s">
        <v>15</v>
      </c>
      <c r="B58" s="54"/>
      <c r="C58" s="69">
        <f>+'Costo M.P.yMat.'!D9</f>
        <v>0.75</v>
      </c>
      <c r="D58" s="56">
        <f t="shared" si="2"/>
        <v>6.3000000000000007</v>
      </c>
      <c r="F58" s="58">
        <f t="shared" si="3"/>
        <v>12.6</v>
      </c>
      <c r="H58" s="56">
        <f t="shared" si="4"/>
        <v>6.3000000000000007</v>
      </c>
      <c r="I58" s="56">
        <f t="shared" si="4"/>
        <v>6.3000000000000007</v>
      </c>
    </row>
    <row r="59" spans="1:9" ht="15.6" x14ac:dyDescent="0.3">
      <c r="A59" s="53" t="s">
        <v>295</v>
      </c>
      <c r="B59" s="54">
        <v>0.2</v>
      </c>
      <c r="C59" s="69">
        <f>+'Costo M.P.yMat.'!$D$101</f>
        <v>8.82</v>
      </c>
      <c r="D59" s="56">
        <f t="shared" si="2"/>
        <v>42.336000000000006</v>
      </c>
      <c r="F59" s="58">
        <f t="shared" si="3"/>
        <v>84.699999999999989</v>
      </c>
      <c r="H59" s="56">
        <f t="shared" si="4"/>
        <v>42.336000000000006</v>
      </c>
      <c r="I59" s="56">
        <f t="shared" si="4"/>
        <v>42.336000000000006</v>
      </c>
    </row>
    <row r="60" spans="1:9" ht="15.6" x14ac:dyDescent="0.3">
      <c r="A60" s="53" t="s">
        <v>221</v>
      </c>
      <c r="B60" s="54"/>
      <c r="C60" s="69">
        <f>+'Costo M.P.yMat.'!D172</f>
        <v>1.1399999999999999</v>
      </c>
      <c r="D60" s="56">
        <f t="shared" si="2"/>
        <v>0</v>
      </c>
      <c r="F60" s="58">
        <f t="shared" si="3"/>
        <v>0</v>
      </c>
      <c r="H60" s="56">
        <f t="shared" si="4"/>
        <v>0</v>
      </c>
      <c r="I60" s="56">
        <f t="shared" si="4"/>
        <v>0</v>
      </c>
    </row>
    <row r="61" spans="1:9" ht="15.6" x14ac:dyDescent="0.3">
      <c r="A61" s="53" t="s">
        <v>29</v>
      </c>
      <c r="B61" s="54"/>
      <c r="C61" s="69">
        <f>+'Costo M.P.yMat.'!D19</f>
        <v>0.04</v>
      </c>
      <c r="D61" s="56">
        <f t="shared" si="2"/>
        <v>2.4</v>
      </c>
      <c r="F61" s="58">
        <f t="shared" si="3"/>
        <v>4.8</v>
      </c>
      <c r="H61" s="56">
        <f t="shared" si="4"/>
        <v>2.4</v>
      </c>
      <c r="I61" s="56">
        <f t="shared" si="4"/>
        <v>2.4</v>
      </c>
    </row>
    <row r="62" spans="1:9" ht="15.6" x14ac:dyDescent="0.3">
      <c r="A62" s="53" t="s">
        <v>30</v>
      </c>
      <c r="B62" s="54"/>
      <c r="C62" s="69">
        <f>+'Costo M.P.yMat.'!D20</f>
        <v>0.04</v>
      </c>
      <c r="D62" s="56">
        <f t="shared" si="2"/>
        <v>2.4</v>
      </c>
      <c r="F62" s="58">
        <f t="shared" si="3"/>
        <v>4.8</v>
      </c>
      <c r="H62" s="56">
        <f t="shared" si="4"/>
        <v>2.4</v>
      </c>
      <c r="I62" s="56">
        <f t="shared" si="4"/>
        <v>2.4</v>
      </c>
    </row>
    <row r="63" spans="1:9" ht="15.6" x14ac:dyDescent="0.3">
      <c r="A63" s="53" t="s">
        <v>247</v>
      </c>
      <c r="B63" s="54"/>
      <c r="C63" s="69">
        <f>+'Costo M.P.yMat.'!D22</f>
        <v>29.91</v>
      </c>
      <c r="D63" s="56">
        <f t="shared" si="2"/>
        <v>0</v>
      </c>
      <c r="F63" s="58">
        <f t="shared" si="3"/>
        <v>0</v>
      </c>
      <c r="H63" s="56">
        <f t="shared" si="4"/>
        <v>0</v>
      </c>
      <c r="I63" s="56">
        <f t="shared" si="4"/>
        <v>0</v>
      </c>
    </row>
    <row r="64" spans="1:9" ht="15.6" x14ac:dyDescent="0.3">
      <c r="A64" s="53" t="s">
        <v>248</v>
      </c>
      <c r="B64" s="54"/>
      <c r="C64" s="69">
        <f>+'Costo M.P.yMat.'!D88</f>
        <v>68.36</v>
      </c>
      <c r="D64" s="56">
        <f t="shared" si="2"/>
        <v>0</v>
      </c>
      <c r="F64" s="58">
        <f t="shared" si="3"/>
        <v>0</v>
      </c>
      <c r="H64" s="56">
        <f t="shared" si="4"/>
        <v>0</v>
      </c>
      <c r="I64" s="56">
        <f t="shared" si="4"/>
        <v>0</v>
      </c>
    </row>
    <row r="65" spans="1:9" ht="15.6" x14ac:dyDescent="0.3">
      <c r="A65" s="53" t="s">
        <v>250</v>
      </c>
      <c r="B65" s="54"/>
      <c r="C65" s="69">
        <f>+'Costo M.P.yMat.'!D89</f>
        <v>22.790000000000003</v>
      </c>
      <c r="D65" s="56">
        <f t="shared" si="2"/>
        <v>0</v>
      </c>
      <c r="F65" s="58">
        <f t="shared" si="3"/>
        <v>0</v>
      </c>
      <c r="H65" s="56">
        <f t="shared" si="4"/>
        <v>0</v>
      </c>
      <c r="I65" s="56">
        <f t="shared" si="4"/>
        <v>0</v>
      </c>
    </row>
    <row r="66" spans="1:9" ht="15.6" x14ac:dyDescent="0.3">
      <c r="A66" s="53" t="s">
        <v>253</v>
      </c>
      <c r="B66" s="54"/>
      <c r="C66" s="69">
        <f>+'Costo M.P.yMat.'!D170</f>
        <v>13.68</v>
      </c>
      <c r="D66" s="56">
        <f t="shared" si="2"/>
        <v>109.44</v>
      </c>
      <c r="F66" s="58">
        <f t="shared" si="3"/>
        <v>218.9</v>
      </c>
      <c r="H66" s="56">
        <f t="shared" si="4"/>
        <v>109.44</v>
      </c>
      <c r="I66" s="56">
        <f t="shared" si="4"/>
        <v>109.44</v>
      </c>
    </row>
    <row r="67" spans="1:9" ht="15.6" x14ac:dyDescent="0.3">
      <c r="A67" s="53">
        <v>1318</v>
      </c>
      <c r="B67" s="54"/>
      <c r="C67" s="69">
        <f>+'Costo M.P.yMat.'!D71</f>
        <v>22.96</v>
      </c>
      <c r="D67" s="56">
        <f>+$C67*D45</f>
        <v>183.68</v>
      </c>
      <c r="F67" s="58">
        <f t="shared" si="3"/>
        <v>367.40000000000003</v>
      </c>
      <c r="H67" s="56">
        <f>+$C67*H45</f>
        <v>183.68</v>
      </c>
      <c r="I67" s="56">
        <f>+$C67*I45</f>
        <v>183.68</v>
      </c>
    </row>
    <row r="68" spans="1:9" ht="15.6" x14ac:dyDescent="0.3">
      <c r="A68" s="60">
        <v>1302</v>
      </c>
      <c r="B68" s="54"/>
      <c r="C68" s="69">
        <f>+'Costo M.P.yMat.'!D67</f>
        <v>4.16</v>
      </c>
      <c r="D68" s="56">
        <f>+$C68*D46</f>
        <v>33.28</v>
      </c>
      <c r="F68" s="58">
        <f t="shared" si="3"/>
        <v>66.599999999999994</v>
      </c>
      <c r="H68" s="56">
        <f>+$C68*H46</f>
        <v>33.28</v>
      </c>
      <c r="I68" s="56">
        <f>+$C68*I46</f>
        <v>33.28</v>
      </c>
    </row>
    <row r="69" spans="1:9" ht="15.6" x14ac:dyDescent="0.3">
      <c r="A69" s="53">
        <v>1304</v>
      </c>
      <c r="B69" s="54"/>
      <c r="C69" s="69">
        <f>+'Costo M.P.yMat.'!D68</f>
        <v>6.4399999999999995</v>
      </c>
      <c r="D69" s="56">
        <f>+$C69*D48</f>
        <v>51.519999999999996</v>
      </c>
      <c r="F69" s="58">
        <f t="shared" si="3"/>
        <v>103.1</v>
      </c>
      <c r="H69" s="56">
        <f>+$C69*H48</f>
        <v>51.519999999999996</v>
      </c>
      <c r="I69" s="56">
        <f>+$C69*I48</f>
        <v>51.519999999999996</v>
      </c>
    </row>
    <row r="70" spans="1:9" ht="15.6" x14ac:dyDescent="0.3">
      <c r="A70" s="181"/>
      <c r="B70" s="1"/>
      <c r="C70" s="70"/>
      <c r="D70" s="65"/>
      <c r="F70" s="182"/>
      <c r="H70" s="65"/>
      <c r="I70" s="65"/>
    </row>
    <row r="71" spans="1:9" x14ac:dyDescent="0.25">
      <c r="C71" s="70"/>
      <c r="D71" s="65"/>
      <c r="H71" s="65"/>
      <c r="I71" s="65"/>
    </row>
    <row r="72" spans="1:9" s="72" customFormat="1" ht="15.6" x14ac:dyDescent="0.3">
      <c r="A72" s="66" t="s">
        <v>187</v>
      </c>
      <c r="B72" s="67"/>
      <c r="C72" s="68"/>
      <c r="D72" s="68">
        <f>SUM(D73:D90)</f>
        <v>2788.2789999999995</v>
      </c>
      <c r="E72" s="71"/>
      <c r="F72" s="68">
        <f>SUM(F73:F89)</f>
        <v>5477.4</v>
      </c>
      <c r="H72" s="68">
        <f>SUM(H73:H90)</f>
        <v>2788.2789999999995</v>
      </c>
      <c r="I72" s="68">
        <f>SUM(I73:I90)</f>
        <v>2788.2789999999995</v>
      </c>
    </row>
    <row r="73" spans="1:9" ht="15.6" x14ac:dyDescent="0.3">
      <c r="A73" s="53" t="s">
        <v>33</v>
      </c>
      <c r="B73" s="54"/>
      <c r="C73" s="69">
        <f>+'Costo M.P.yMat.'!E29</f>
        <v>34.65</v>
      </c>
      <c r="D73" s="56">
        <f t="shared" ref="D73:D87" si="5">+$C73*D31</f>
        <v>1424.1149999999998</v>
      </c>
      <c r="F73" s="58">
        <f t="shared" ref="F73:F90" si="6">ROUNDUP(SUM(H73:IU73),1)</f>
        <v>2848.2999999999997</v>
      </c>
      <c r="H73" s="56">
        <f t="shared" ref="H73:I87" si="7">+$C73*H31</f>
        <v>1424.1149999999998</v>
      </c>
      <c r="I73" s="56">
        <f t="shared" si="7"/>
        <v>1424.1149999999998</v>
      </c>
    </row>
    <row r="74" spans="1:9" ht="15.6" x14ac:dyDescent="0.3">
      <c r="A74" s="53" t="s">
        <v>40</v>
      </c>
      <c r="B74" s="54"/>
      <c r="C74" s="69">
        <f>+'Costo M.P.yMat.'!E34</f>
        <v>45.05</v>
      </c>
      <c r="D74" s="56">
        <f t="shared" si="5"/>
        <v>0</v>
      </c>
      <c r="F74" s="58">
        <f t="shared" si="6"/>
        <v>0</v>
      </c>
      <c r="H74" s="56">
        <f t="shared" si="7"/>
        <v>0</v>
      </c>
      <c r="I74" s="56">
        <f t="shared" si="7"/>
        <v>0</v>
      </c>
    </row>
    <row r="75" spans="1:9" ht="15.6" x14ac:dyDescent="0.3">
      <c r="A75" s="53" t="s">
        <v>36</v>
      </c>
      <c r="B75" s="54"/>
      <c r="C75" s="69">
        <f>+'Costo M.P.yMat.'!E30</f>
        <v>33.5</v>
      </c>
      <c r="D75" s="56">
        <f t="shared" si="5"/>
        <v>0</v>
      </c>
      <c r="F75" s="58">
        <f t="shared" si="6"/>
        <v>0</v>
      </c>
      <c r="H75" s="56">
        <f t="shared" si="7"/>
        <v>0</v>
      </c>
      <c r="I75" s="56">
        <f t="shared" si="7"/>
        <v>0</v>
      </c>
    </row>
    <row r="76" spans="1:9" ht="15.6" x14ac:dyDescent="0.3">
      <c r="A76" s="53" t="s">
        <v>41</v>
      </c>
      <c r="B76" s="54"/>
      <c r="C76" s="69">
        <f>+'Costo M.P.yMat.'!E35</f>
        <v>43.89</v>
      </c>
      <c r="D76" s="56">
        <f t="shared" si="5"/>
        <v>0</v>
      </c>
      <c r="F76" s="58">
        <f t="shared" si="6"/>
        <v>0</v>
      </c>
      <c r="H76" s="56">
        <f t="shared" si="7"/>
        <v>0</v>
      </c>
      <c r="I76" s="56">
        <f t="shared" si="7"/>
        <v>0</v>
      </c>
    </row>
    <row r="77" spans="1:9" ht="15.6" x14ac:dyDescent="0.3">
      <c r="A77" s="53" t="s">
        <v>182</v>
      </c>
      <c r="B77" s="54"/>
      <c r="C77" s="69">
        <f>+'Costo M.P.yMat.'!E87*2</f>
        <v>22</v>
      </c>
      <c r="D77" s="56">
        <f t="shared" si="5"/>
        <v>897.59999999999991</v>
      </c>
      <c r="F77" s="58">
        <f t="shared" si="6"/>
        <v>1795.2</v>
      </c>
      <c r="H77" s="56">
        <f t="shared" si="7"/>
        <v>897.59999999999991</v>
      </c>
      <c r="I77" s="56">
        <f t="shared" si="7"/>
        <v>897.59999999999991</v>
      </c>
    </row>
    <row r="78" spans="1:9" ht="15.6" x14ac:dyDescent="0.3">
      <c r="A78" s="53" t="s">
        <v>190</v>
      </c>
      <c r="B78" s="54"/>
      <c r="C78" s="69">
        <f>+'Costo M.P.yMat.'!E7</f>
        <v>3.19</v>
      </c>
      <c r="D78" s="56">
        <f t="shared" si="5"/>
        <v>44.66</v>
      </c>
      <c r="F78" s="58">
        <f t="shared" si="6"/>
        <v>89.399999999999991</v>
      </c>
      <c r="H78" s="56">
        <f t="shared" si="7"/>
        <v>44.66</v>
      </c>
      <c r="I78" s="56">
        <f t="shared" si="7"/>
        <v>44.66</v>
      </c>
    </row>
    <row r="79" spans="1:9" ht="15.6" x14ac:dyDescent="0.3">
      <c r="A79" s="53" t="s">
        <v>15</v>
      </c>
      <c r="B79" s="54"/>
      <c r="C79" s="69">
        <f>+'Costo M.P.yMat.'!E9</f>
        <v>0.72</v>
      </c>
      <c r="D79" s="56">
        <f t="shared" si="5"/>
        <v>6.048</v>
      </c>
      <c r="F79" s="58">
        <f t="shared" si="6"/>
        <v>12.1</v>
      </c>
      <c r="H79" s="56">
        <f t="shared" si="7"/>
        <v>6.048</v>
      </c>
      <c r="I79" s="56">
        <f t="shared" si="7"/>
        <v>6.048</v>
      </c>
    </row>
    <row r="80" spans="1:9" ht="15.6" x14ac:dyDescent="0.3">
      <c r="A80" s="53" t="s">
        <v>295</v>
      </c>
      <c r="B80" s="54">
        <v>0.2</v>
      </c>
      <c r="C80" s="69">
        <f>+'Costo M.P.yMat.'!$D$101</f>
        <v>8.82</v>
      </c>
      <c r="D80" s="56">
        <f t="shared" si="5"/>
        <v>42.336000000000006</v>
      </c>
      <c r="F80" s="58">
        <f t="shared" si="6"/>
        <v>84.699999999999989</v>
      </c>
      <c r="H80" s="56">
        <f t="shared" si="7"/>
        <v>42.336000000000006</v>
      </c>
      <c r="I80" s="56">
        <f t="shared" si="7"/>
        <v>42.336000000000006</v>
      </c>
    </row>
    <row r="81" spans="1:9" ht="15.6" x14ac:dyDescent="0.3">
      <c r="A81" s="53" t="s">
        <v>221</v>
      </c>
      <c r="B81" s="54"/>
      <c r="C81" s="69">
        <f>+'Costo M.P.yMat.'!E172</f>
        <v>1.1000000000000001</v>
      </c>
      <c r="D81" s="56">
        <f t="shared" si="5"/>
        <v>0</v>
      </c>
      <c r="F81" s="58">
        <f t="shared" si="6"/>
        <v>0</v>
      </c>
      <c r="H81" s="56">
        <f t="shared" si="7"/>
        <v>0</v>
      </c>
      <c r="I81" s="56">
        <f t="shared" si="7"/>
        <v>0</v>
      </c>
    </row>
    <row r="82" spans="1:9" ht="15.6" x14ac:dyDescent="0.3">
      <c r="A82" s="53" t="s">
        <v>29</v>
      </c>
      <c r="B82" s="54"/>
      <c r="C82" s="69">
        <f>+'Costo M.P.yMat.'!E19</f>
        <v>0.04</v>
      </c>
      <c r="D82" s="56">
        <f t="shared" si="5"/>
        <v>2.4</v>
      </c>
      <c r="F82" s="58">
        <f t="shared" si="6"/>
        <v>4.8</v>
      </c>
      <c r="H82" s="56">
        <f t="shared" si="7"/>
        <v>2.4</v>
      </c>
      <c r="I82" s="56">
        <f t="shared" si="7"/>
        <v>2.4</v>
      </c>
    </row>
    <row r="83" spans="1:9" ht="15.6" x14ac:dyDescent="0.3">
      <c r="A83" s="53" t="s">
        <v>30</v>
      </c>
      <c r="B83" s="54"/>
      <c r="C83" s="69">
        <f>+'Costo M.P.yMat.'!E20</f>
        <v>0.04</v>
      </c>
      <c r="D83" s="56">
        <f t="shared" si="5"/>
        <v>2.4</v>
      </c>
      <c r="F83" s="58">
        <f t="shared" si="6"/>
        <v>4.8</v>
      </c>
      <c r="H83" s="56">
        <f t="shared" si="7"/>
        <v>2.4</v>
      </c>
      <c r="I83" s="56">
        <f t="shared" si="7"/>
        <v>2.4</v>
      </c>
    </row>
    <row r="84" spans="1:9" ht="15.6" x14ac:dyDescent="0.3">
      <c r="A84" s="53" t="s">
        <v>247</v>
      </c>
      <c r="B84" s="54"/>
      <c r="C84" s="69">
        <f>+'Costo M.P.yMat.'!E22</f>
        <v>27.72</v>
      </c>
      <c r="D84" s="56">
        <f t="shared" si="5"/>
        <v>0</v>
      </c>
      <c r="F84" s="58">
        <f t="shared" si="6"/>
        <v>0</v>
      </c>
      <c r="H84" s="56">
        <f t="shared" si="7"/>
        <v>0</v>
      </c>
      <c r="I84" s="56">
        <f t="shared" si="7"/>
        <v>0</v>
      </c>
    </row>
    <row r="85" spans="1:9" ht="15.6" x14ac:dyDescent="0.3">
      <c r="A85" s="53" t="s">
        <v>248</v>
      </c>
      <c r="B85" s="54"/>
      <c r="C85" s="69">
        <f>+'Costo M.P.yMat.'!E88</f>
        <v>66</v>
      </c>
      <c r="D85" s="56">
        <f t="shared" si="5"/>
        <v>0</v>
      </c>
      <c r="F85" s="58">
        <f t="shared" si="6"/>
        <v>0</v>
      </c>
      <c r="H85" s="56">
        <f t="shared" si="7"/>
        <v>0</v>
      </c>
      <c r="I85" s="56">
        <f t="shared" si="7"/>
        <v>0</v>
      </c>
    </row>
    <row r="86" spans="1:9" ht="15.6" x14ac:dyDescent="0.3">
      <c r="A86" s="53" t="s">
        <v>250</v>
      </c>
      <c r="B86" s="54"/>
      <c r="C86" s="69">
        <f>+'Costo M.P.yMat.'!D89</f>
        <v>22.790000000000003</v>
      </c>
      <c r="D86" s="56">
        <f t="shared" si="5"/>
        <v>0</v>
      </c>
      <c r="F86" s="58">
        <f t="shared" si="6"/>
        <v>0</v>
      </c>
      <c r="H86" s="56">
        <f t="shared" si="7"/>
        <v>0</v>
      </c>
      <c r="I86" s="56">
        <f t="shared" si="7"/>
        <v>0</v>
      </c>
    </row>
    <row r="87" spans="1:9" ht="15.6" x14ac:dyDescent="0.3">
      <c r="A87" s="53" t="s">
        <v>253</v>
      </c>
      <c r="B87" s="54"/>
      <c r="C87" s="69">
        <f>+'Costo M.P.yMat.'!D170</f>
        <v>13.68</v>
      </c>
      <c r="D87" s="56">
        <f t="shared" si="5"/>
        <v>109.44</v>
      </c>
      <c r="F87" s="58">
        <f t="shared" si="6"/>
        <v>218.9</v>
      </c>
      <c r="H87" s="56">
        <f t="shared" si="7"/>
        <v>109.44</v>
      </c>
      <c r="I87" s="56">
        <f t="shared" si="7"/>
        <v>109.44</v>
      </c>
    </row>
    <row r="88" spans="1:9" ht="15.6" x14ac:dyDescent="0.3">
      <c r="A88" s="53">
        <v>1318</v>
      </c>
      <c r="B88" s="54"/>
      <c r="C88" s="69">
        <f>+'Costo M.P.yMat.'!E71</f>
        <v>22.17</v>
      </c>
      <c r="D88" s="56">
        <f>+$C88*D45</f>
        <v>177.36</v>
      </c>
      <c r="F88" s="58">
        <f t="shared" si="6"/>
        <v>354.8</v>
      </c>
      <c r="H88" s="56">
        <f>+$C88*H45</f>
        <v>177.36</v>
      </c>
      <c r="I88" s="56">
        <f>+$C88*I45</f>
        <v>177.36</v>
      </c>
    </row>
    <row r="89" spans="1:9" ht="15.6" x14ac:dyDescent="0.3">
      <c r="A89" s="60">
        <v>1302</v>
      </c>
      <c r="B89" s="54"/>
      <c r="C89" s="69">
        <f>+'Costo M.P.yMat.'!E67</f>
        <v>4.0199999999999996</v>
      </c>
      <c r="D89" s="56">
        <f>+$C89*D46</f>
        <v>32.159999999999997</v>
      </c>
      <c r="F89" s="58">
        <f t="shared" si="6"/>
        <v>64.399999999999991</v>
      </c>
      <c r="H89" s="56">
        <f>+$C89*H46</f>
        <v>32.159999999999997</v>
      </c>
      <c r="I89" s="56">
        <f>+$C89*I46</f>
        <v>32.159999999999997</v>
      </c>
    </row>
    <row r="90" spans="1:9" ht="15.6" x14ac:dyDescent="0.3">
      <c r="A90" s="53">
        <v>1304</v>
      </c>
      <c r="B90" s="54"/>
      <c r="C90" s="69">
        <f>+'Costo M.P.yMat.'!E68</f>
        <v>6.22</v>
      </c>
      <c r="D90" s="56">
        <f>+$C90*D48</f>
        <v>49.76</v>
      </c>
      <c r="F90" s="58">
        <f t="shared" si="6"/>
        <v>99.6</v>
      </c>
      <c r="H90" s="56">
        <f>+$C90*H48</f>
        <v>49.76</v>
      </c>
      <c r="I90" s="56">
        <f>+$C90*I48</f>
        <v>49.76</v>
      </c>
    </row>
    <row r="91" spans="1:9" x14ac:dyDescent="0.25">
      <c r="C91" s="73"/>
      <c r="D91" s="63"/>
      <c r="H91" s="63"/>
      <c r="I91" s="63"/>
    </row>
    <row r="92" spans="1:9" x14ac:dyDescent="0.25">
      <c r="C92" s="73"/>
      <c r="D92" s="63"/>
      <c r="H92" s="63"/>
      <c r="I92" s="63"/>
    </row>
    <row r="93" spans="1:9" ht="15.6" x14ac:dyDescent="0.3">
      <c r="A93" s="129" t="s">
        <v>270</v>
      </c>
      <c r="B93" s="130"/>
      <c r="C93" s="130" t="s">
        <v>258</v>
      </c>
      <c r="D93" s="130" t="s">
        <v>259</v>
      </c>
      <c r="E93" s="131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x14ac:dyDescent="0.25">
      <c r="A94" s="132" t="s">
        <v>33</v>
      </c>
      <c r="B94" s="133">
        <f t="shared" ref="B94:B110" si="8">+C52</f>
        <v>35.89</v>
      </c>
      <c r="C94" s="134"/>
      <c r="D94" s="134"/>
      <c r="E94" s="131"/>
      <c r="F94" s="134"/>
      <c r="G94" s="134"/>
      <c r="H94" s="134"/>
      <c r="I94" s="134"/>
    </row>
    <row r="95" spans="1:9" x14ac:dyDescent="0.25">
      <c r="A95" s="132" t="s">
        <v>40</v>
      </c>
      <c r="B95" s="133">
        <f t="shared" si="8"/>
        <v>46.66</v>
      </c>
      <c r="C95" s="134"/>
      <c r="D95" s="134"/>
      <c r="E95" s="131"/>
      <c r="F95" s="134"/>
      <c r="G95" s="134"/>
      <c r="H95" s="134"/>
      <c r="I95" s="134"/>
    </row>
    <row r="96" spans="1:9" x14ac:dyDescent="0.25">
      <c r="A96" s="132" t="s">
        <v>36</v>
      </c>
      <c r="B96" s="133">
        <f t="shared" si="8"/>
        <v>34.699999999999996</v>
      </c>
      <c r="C96" s="134"/>
      <c r="D96" s="134"/>
      <c r="E96" s="131"/>
      <c r="F96" s="134"/>
      <c r="G96" s="134"/>
      <c r="H96" s="134"/>
      <c r="I96" s="134"/>
    </row>
    <row r="97" spans="1:9" x14ac:dyDescent="0.25">
      <c r="A97" s="132" t="s">
        <v>41</v>
      </c>
      <c r="B97" s="133">
        <f t="shared" si="8"/>
        <v>45.46</v>
      </c>
      <c r="C97" s="134"/>
      <c r="D97" s="134"/>
      <c r="E97" s="131"/>
      <c r="F97" s="134"/>
      <c r="G97" s="134"/>
      <c r="H97" s="134"/>
      <c r="I97" s="134"/>
    </row>
    <row r="98" spans="1:9" x14ac:dyDescent="0.25">
      <c r="A98" s="132" t="s">
        <v>182</v>
      </c>
      <c r="B98" s="133">
        <f t="shared" si="8"/>
        <v>22.8</v>
      </c>
      <c r="C98" s="134"/>
      <c r="D98" s="134"/>
      <c r="E98" s="131"/>
      <c r="F98" s="134">
        <v>1</v>
      </c>
      <c r="G98" s="134"/>
      <c r="H98" s="134"/>
      <c r="I98" s="134"/>
    </row>
    <row r="99" spans="1:9" x14ac:dyDescent="0.25">
      <c r="A99" s="132" t="s">
        <v>190</v>
      </c>
      <c r="B99" s="133">
        <f t="shared" si="8"/>
        <v>3.3099999999999996</v>
      </c>
      <c r="C99" s="134">
        <v>0.34</v>
      </c>
      <c r="D99" s="134">
        <v>0.34</v>
      </c>
      <c r="E99" s="131"/>
      <c r="F99" s="134"/>
      <c r="G99" s="134"/>
      <c r="H99" s="134">
        <v>0.34</v>
      </c>
      <c r="I99" s="134">
        <v>0.34</v>
      </c>
    </row>
    <row r="100" spans="1:9" x14ac:dyDescent="0.25">
      <c r="A100" s="132" t="s">
        <v>15</v>
      </c>
      <c r="B100" s="133">
        <f t="shared" si="8"/>
        <v>0.75</v>
      </c>
      <c r="C100" s="134">
        <v>0.4</v>
      </c>
      <c r="D100" s="134">
        <v>0.4</v>
      </c>
      <c r="E100" s="131"/>
      <c r="F100" s="134"/>
      <c r="G100" s="134"/>
      <c r="H100" s="134">
        <v>0.4</v>
      </c>
      <c r="I100" s="134">
        <v>0.4</v>
      </c>
    </row>
    <row r="101" spans="1:9" x14ac:dyDescent="0.25">
      <c r="A101" s="132" t="s">
        <v>185</v>
      </c>
      <c r="B101" s="133">
        <f t="shared" si="8"/>
        <v>8.82</v>
      </c>
      <c r="C101" s="134">
        <f>2*0.159</f>
        <v>0.318</v>
      </c>
      <c r="D101" s="134">
        <f>2*0.159</f>
        <v>0.318</v>
      </c>
      <c r="E101" s="131"/>
      <c r="F101" s="134"/>
      <c r="G101" s="134"/>
      <c r="H101" s="134">
        <f>2*0.159</f>
        <v>0.318</v>
      </c>
      <c r="I101" s="134">
        <f>2*0.159</f>
        <v>0.318</v>
      </c>
    </row>
    <row r="102" spans="1:9" x14ac:dyDescent="0.25">
      <c r="A102" s="132" t="s">
        <v>221</v>
      </c>
      <c r="B102" s="133">
        <f t="shared" si="8"/>
        <v>1.1399999999999999</v>
      </c>
      <c r="C102" s="134"/>
      <c r="D102" s="134"/>
      <c r="E102" s="131"/>
      <c r="F102" s="134">
        <v>1</v>
      </c>
      <c r="G102" s="134"/>
      <c r="H102" s="134"/>
      <c r="I102" s="134"/>
    </row>
    <row r="103" spans="1:9" x14ac:dyDescent="0.25">
      <c r="A103" s="132" t="s">
        <v>29</v>
      </c>
      <c r="B103" s="133">
        <f t="shared" si="8"/>
        <v>0.04</v>
      </c>
      <c r="C103" s="134">
        <v>5</v>
      </c>
      <c r="D103" s="134">
        <v>5</v>
      </c>
      <c r="E103" s="131"/>
      <c r="F103" s="134"/>
      <c r="G103" s="134"/>
      <c r="H103" s="134">
        <v>5</v>
      </c>
      <c r="I103" s="134">
        <v>5</v>
      </c>
    </row>
    <row r="104" spans="1:9" x14ac:dyDescent="0.25">
      <c r="A104" s="132" t="s">
        <v>30</v>
      </c>
      <c r="B104" s="133">
        <f t="shared" si="8"/>
        <v>0.04</v>
      </c>
      <c r="C104" s="134">
        <v>5</v>
      </c>
      <c r="D104" s="134">
        <v>5</v>
      </c>
      <c r="E104" s="131"/>
      <c r="F104" s="134"/>
      <c r="G104" s="134"/>
      <c r="H104" s="134">
        <v>5</v>
      </c>
      <c r="I104" s="134">
        <v>5</v>
      </c>
    </row>
    <row r="105" spans="1:9" x14ac:dyDescent="0.25">
      <c r="A105" s="132" t="s">
        <v>247</v>
      </c>
      <c r="B105" s="133">
        <f t="shared" si="8"/>
        <v>29.91</v>
      </c>
      <c r="C105" s="134"/>
      <c r="D105" s="134"/>
      <c r="E105" s="131"/>
      <c r="F105" s="134"/>
      <c r="G105" s="134"/>
      <c r="H105" s="134"/>
      <c r="I105" s="134"/>
    </row>
    <row r="106" spans="1:9" x14ac:dyDescent="0.25">
      <c r="A106" s="132" t="s">
        <v>248</v>
      </c>
      <c r="B106" s="133">
        <f t="shared" si="8"/>
        <v>68.36</v>
      </c>
      <c r="C106" s="134"/>
      <c r="D106" s="134"/>
      <c r="E106" s="131"/>
      <c r="F106" s="134"/>
      <c r="G106" s="134">
        <v>1</v>
      </c>
      <c r="H106" s="134"/>
      <c r="I106" s="134"/>
    </row>
    <row r="107" spans="1:9" x14ac:dyDescent="0.25">
      <c r="A107" s="132" t="s">
        <v>250</v>
      </c>
      <c r="B107" s="133">
        <f t="shared" si="8"/>
        <v>22.790000000000003</v>
      </c>
      <c r="C107" s="134"/>
      <c r="D107" s="134"/>
      <c r="E107" s="131"/>
      <c r="F107" s="134"/>
      <c r="G107" s="134">
        <v>1</v>
      </c>
      <c r="H107" s="134"/>
      <c r="I107" s="134"/>
    </row>
    <row r="108" spans="1:9" x14ac:dyDescent="0.25">
      <c r="A108" s="132" t="s">
        <v>253</v>
      </c>
      <c r="B108" s="133">
        <f t="shared" si="8"/>
        <v>13.68</v>
      </c>
      <c r="C108" s="134"/>
      <c r="D108" s="134"/>
      <c r="E108" s="131"/>
      <c r="F108" s="134"/>
      <c r="G108" s="134"/>
      <c r="H108" s="134"/>
      <c r="I108" s="134"/>
    </row>
    <row r="109" spans="1:9" x14ac:dyDescent="0.25">
      <c r="A109" s="132">
        <v>1318</v>
      </c>
      <c r="B109" s="133">
        <f t="shared" si="8"/>
        <v>22.96</v>
      </c>
      <c r="C109" s="134"/>
      <c r="D109" s="134"/>
      <c r="E109" s="131"/>
      <c r="F109" s="134"/>
      <c r="G109" s="134"/>
      <c r="H109" s="134"/>
      <c r="I109" s="134"/>
    </row>
    <row r="110" spans="1:9" x14ac:dyDescent="0.25">
      <c r="A110" s="132">
        <v>1302</v>
      </c>
      <c r="B110" s="133">
        <f t="shared" si="8"/>
        <v>4.16</v>
      </c>
      <c r="C110" s="134"/>
      <c r="D110" s="134"/>
      <c r="E110" s="131"/>
      <c r="F110" s="134"/>
      <c r="G110" s="134"/>
      <c r="H110" s="134"/>
      <c r="I110" s="134"/>
    </row>
    <row r="112" spans="1:9" x14ac:dyDescent="0.25">
      <c r="A112" s="132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F112" s="119">
        <f>SUMPRODUCT($B$94:$B$110,F$94:F$110)+B94</f>
        <v>59.83</v>
      </c>
      <c r="G112" s="119">
        <f>SUMPRODUCT($B$94:$B$110,G$94:G$110)</f>
        <v>91.15</v>
      </c>
      <c r="H112" s="119">
        <f>SUMPRODUCT($B$94:$B$110,H$94:H$110)</f>
        <v>4.6301600000000001</v>
      </c>
      <c r="I112" s="119">
        <f>SUMPRODUCT($B$94:$B$110,I$94:I$110)</f>
        <v>4.6301600000000001</v>
      </c>
    </row>
    <row r="113" spans="1:9" x14ac:dyDescent="0.25">
      <c r="A113" s="132" t="s">
        <v>40</v>
      </c>
      <c r="C113" s="119">
        <f t="shared" ref="C113:D115" si="9">SUMPRODUCT($B$94:$B$110,C$94:C$110)</f>
        <v>4.6301600000000001</v>
      </c>
      <c r="D113" s="119">
        <f t="shared" si="9"/>
        <v>4.6301600000000001</v>
      </c>
      <c r="F113" s="119">
        <f>SUMPRODUCT($B$94:$B$110,F$94:F$110)+B95</f>
        <v>70.599999999999994</v>
      </c>
      <c r="G113" s="119">
        <f>SUMPRODUCT($B$94:$B$110,G$94:G$110)</f>
        <v>91.15</v>
      </c>
      <c r="H113" s="119">
        <f t="shared" ref="H113:I115" si="10">SUMPRODUCT($B$94:$B$110,H$94:H$110)</f>
        <v>4.6301600000000001</v>
      </c>
      <c r="I113" s="119">
        <f t="shared" si="10"/>
        <v>4.6301600000000001</v>
      </c>
    </row>
    <row r="114" spans="1:9" x14ac:dyDescent="0.25">
      <c r="A114" s="132" t="s">
        <v>36</v>
      </c>
      <c r="C114" s="119">
        <f t="shared" si="9"/>
        <v>4.6301600000000001</v>
      </c>
      <c r="D114" s="119">
        <f t="shared" si="9"/>
        <v>4.6301600000000001</v>
      </c>
      <c r="F114" s="119">
        <f>SUMPRODUCT($B$94:$B$110,F$94:F$110)+B96</f>
        <v>58.64</v>
      </c>
      <c r="G114" s="119">
        <f>SUMPRODUCT($B$94:$B$110,G$94:G$110)</f>
        <v>91.15</v>
      </c>
      <c r="H114" s="119">
        <f t="shared" si="10"/>
        <v>4.6301600000000001</v>
      </c>
      <c r="I114" s="119">
        <f t="shared" si="10"/>
        <v>4.6301600000000001</v>
      </c>
    </row>
    <row r="115" spans="1:9" x14ac:dyDescent="0.25">
      <c r="A115" s="132" t="s">
        <v>41</v>
      </c>
      <c r="C115" s="119">
        <f t="shared" si="9"/>
        <v>4.6301600000000001</v>
      </c>
      <c r="D115" s="119">
        <f t="shared" si="9"/>
        <v>4.6301600000000001</v>
      </c>
      <c r="F115" s="119">
        <f>SUMPRODUCT($B$94:$B$110,F$94:F$110)+B97</f>
        <v>69.400000000000006</v>
      </c>
      <c r="G115" s="119">
        <f>SUMPRODUCT($B$94:$B$110,G$94:G$110)</f>
        <v>91.15</v>
      </c>
      <c r="H115" s="119">
        <f t="shared" si="10"/>
        <v>4.6301600000000001</v>
      </c>
      <c r="I115" s="119">
        <f t="shared" si="10"/>
        <v>4.6301600000000001</v>
      </c>
    </row>
    <row r="118" spans="1:9" ht="15.6" x14ac:dyDescent="0.3">
      <c r="B118" s="130" t="s">
        <v>268</v>
      </c>
      <c r="C118" s="130" t="s">
        <v>266</v>
      </c>
      <c r="D118" s="130" t="s">
        <v>269</v>
      </c>
      <c r="H118" s="130" t="s">
        <v>269</v>
      </c>
      <c r="I118" s="130" t="s">
        <v>269</v>
      </c>
    </row>
    <row r="119" spans="1:9" x14ac:dyDescent="0.25">
      <c r="B119" s="134"/>
      <c r="C119" s="134"/>
      <c r="D119" s="134"/>
      <c r="H119" s="134"/>
      <c r="I119" s="134"/>
    </row>
    <row r="120" spans="1:9" x14ac:dyDescent="0.25">
      <c r="B120" s="134"/>
      <c r="C120" s="134"/>
      <c r="D120" s="134"/>
      <c r="H120" s="134"/>
      <c r="I120" s="134"/>
    </row>
    <row r="121" spans="1:9" x14ac:dyDescent="0.25">
      <c r="B121" s="134"/>
      <c r="C121" s="134"/>
      <c r="D121" s="134"/>
      <c r="H121" s="134"/>
      <c r="I121" s="134"/>
    </row>
    <row r="122" spans="1:9" x14ac:dyDescent="0.25">
      <c r="B122" s="134"/>
      <c r="C122" s="134"/>
      <c r="D122" s="134"/>
      <c r="H122" s="134"/>
      <c r="I122" s="134"/>
    </row>
    <row r="123" spans="1:9" x14ac:dyDescent="0.25">
      <c r="B123" s="134"/>
      <c r="C123" s="134"/>
      <c r="D123" s="134"/>
      <c r="H123" s="134"/>
      <c r="I123" s="134"/>
    </row>
    <row r="124" spans="1:9" x14ac:dyDescent="0.25">
      <c r="B124" s="134"/>
      <c r="C124" s="134">
        <v>0.16666666666666666</v>
      </c>
      <c r="D124" s="134">
        <v>0.17</v>
      </c>
      <c r="H124" s="134">
        <v>0.17</v>
      </c>
      <c r="I124" s="134">
        <v>0.17</v>
      </c>
    </row>
    <row r="125" spans="1:9" x14ac:dyDescent="0.25">
      <c r="B125" s="134"/>
      <c r="C125" s="134">
        <v>0.1</v>
      </c>
      <c r="D125" s="134">
        <v>0.1</v>
      </c>
      <c r="H125" s="134">
        <v>0.1</v>
      </c>
      <c r="I125" s="134">
        <v>0.1</v>
      </c>
    </row>
    <row r="126" spans="1:9" x14ac:dyDescent="0.25">
      <c r="B126" s="134"/>
      <c r="C126" s="134"/>
      <c r="D126" s="134"/>
      <c r="H126" s="134"/>
      <c r="I126" s="134"/>
    </row>
    <row r="127" spans="1:9" x14ac:dyDescent="0.25">
      <c r="B127" s="134"/>
      <c r="C127" s="134"/>
      <c r="D127" s="134"/>
      <c r="H127" s="134"/>
      <c r="I127" s="134"/>
    </row>
    <row r="128" spans="1:9" x14ac:dyDescent="0.25">
      <c r="B128" s="134"/>
      <c r="C128" s="134"/>
      <c r="D128" s="134"/>
      <c r="H128" s="134"/>
      <c r="I128" s="134"/>
    </row>
    <row r="129" spans="1:9" x14ac:dyDescent="0.25">
      <c r="B129" s="134"/>
      <c r="C129" s="134"/>
      <c r="D129" s="134"/>
      <c r="H129" s="134"/>
      <c r="I129" s="134"/>
    </row>
    <row r="130" spans="1:9" x14ac:dyDescent="0.25">
      <c r="B130" s="134"/>
      <c r="C130" s="134">
        <v>1</v>
      </c>
      <c r="D130" s="134"/>
      <c r="H130" s="134"/>
      <c r="I130" s="134"/>
    </row>
    <row r="131" spans="1:9" x14ac:dyDescent="0.25">
      <c r="B131" s="134"/>
      <c r="C131" s="134"/>
      <c r="D131" s="134"/>
      <c r="H131" s="134"/>
      <c r="I131" s="134"/>
    </row>
    <row r="132" spans="1:9" x14ac:dyDescent="0.25">
      <c r="B132" s="134"/>
      <c r="C132" s="134"/>
      <c r="D132" s="134"/>
      <c r="H132" s="134"/>
      <c r="I132" s="134"/>
    </row>
    <row r="133" spans="1:9" x14ac:dyDescent="0.25">
      <c r="B133" s="134">
        <v>2</v>
      </c>
      <c r="C133" s="134"/>
      <c r="D133" s="134"/>
      <c r="H133" s="134"/>
      <c r="I133" s="134"/>
    </row>
    <row r="134" spans="1:9" x14ac:dyDescent="0.25">
      <c r="B134" s="134"/>
      <c r="C134" s="134"/>
      <c r="D134" s="134"/>
      <c r="H134" s="134"/>
      <c r="I134" s="134"/>
    </row>
    <row r="135" spans="1:9" x14ac:dyDescent="0.25">
      <c r="B135" s="134"/>
      <c r="C135" s="134"/>
      <c r="D135" s="134"/>
      <c r="H135" s="134"/>
      <c r="I135" s="134"/>
    </row>
    <row r="137" spans="1:9" x14ac:dyDescent="0.25">
      <c r="B137" s="119">
        <f t="shared" ref="B137:D140" si="11">SUMPRODUCT($B$94:$B$110,B$119:B$135)</f>
        <v>27.36</v>
      </c>
      <c r="C137" s="119">
        <f t="shared" si="11"/>
        <v>30.536666666666665</v>
      </c>
      <c r="D137" s="119">
        <f t="shared" si="11"/>
        <v>0.63769999999999993</v>
      </c>
      <c r="H137" s="119">
        <f t="shared" ref="H137:I140" si="12">SUMPRODUCT($B$94:$B$110,H$119:H$135)</f>
        <v>0.63769999999999993</v>
      </c>
      <c r="I137" s="119">
        <f t="shared" si="12"/>
        <v>0.63769999999999993</v>
      </c>
    </row>
    <row r="138" spans="1:9" x14ac:dyDescent="0.25">
      <c r="B138" s="119">
        <f t="shared" si="11"/>
        <v>27.36</v>
      </c>
      <c r="C138" s="119">
        <f t="shared" si="11"/>
        <v>30.536666666666665</v>
      </c>
      <c r="D138" s="119">
        <f t="shared" si="11"/>
        <v>0.63769999999999993</v>
      </c>
      <c r="H138" s="119">
        <f t="shared" si="12"/>
        <v>0.63769999999999993</v>
      </c>
      <c r="I138" s="119">
        <f t="shared" si="12"/>
        <v>0.63769999999999993</v>
      </c>
    </row>
    <row r="139" spans="1:9" x14ac:dyDescent="0.25">
      <c r="B139" s="119">
        <f t="shared" si="11"/>
        <v>27.36</v>
      </c>
      <c r="C139" s="119">
        <f t="shared" si="11"/>
        <v>30.536666666666665</v>
      </c>
      <c r="D139" s="119">
        <f t="shared" si="11"/>
        <v>0.63769999999999993</v>
      </c>
      <c r="H139" s="119">
        <f t="shared" si="12"/>
        <v>0.63769999999999993</v>
      </c>
      <c r="I139" s="119">
        <f t="shared" si="12"/>
        <v>0.63769999999999993</v>
      </c>
    </row>
    <row r="140" spans="1:9" x14ac:dyDescent="0.25">
      <c r="B140" s="119">
        <f t="shared" si="11"/>
        <v>27.36</v>
      </c>
      <c r="C140" s="119">
        <f t="shared" si="11"/>
        <v>30.536666666666665</v>
      </c>
      <c r="D140" s="119">
        <f t="shared" si="11"/>
        <v>0.63769999999999993</v>
      </c>
      <c r="H140" s="119">
        <f t="shared" si="12"/>
        <v>0.63769999999999993</v>
      </c>
      <c r="I140" s="119">
        <f t="shared" si="12"/>
        <v>0.63769999999999993</v>
      </c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131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2" t="s">
        <v>33</v>
      </c>
      <c r="B145" s="133">
        <f>+B94</f>
        <v>35.89</v>
      </c>
      <c r="C145" s="134"/>
      <c r="D145" s="134"/>
      <c r="E145" s="131"/>
      <c r="F145" s="134"/>
      <c r="G145" s="134"/>
      <c r="H145" s="134"/>
      <c r="I145" s="134"/>
    </row>
    <row r="146" spans="1:9" x14ac:dyDescent="0.25">
      <c r="A146" s="132" t="s">
        <v>40</v>
      </c>
      <c r="B146" s="133">
        <f t="shared" ref="B146:B161" si="13">+B95</f>
        <v>46.66</v>
      </c>
      <c r="C146" s="134"/>
      <c r="D146" s="134"/>
      <c r="E146" s="131"/>
      <c r="F146" s="134"/>
      <c r="G146" s="134"/>
      <c r="H146" s="134"/>
      <c r="I146" s="134"/>
    </row>
    <row r="147" spans="1:9" x14ac:dyDescent="0.25">
      <c r="A147" s="132" t="s">
        <v>36</v>
      </c>
      <c r="B147" s="133">
        <f t="shared" si="13"/>
        <v>34.699999999999996</v>
      </c>
      <c r="C147" s="134"/>
      <c r="D147" s="134"/>
      <c r="E147" s="131"/>
      <c r="F147" s="134"/>
      <c r="G147" s="134"/>
      <c r="H147" s="134"/>
      <c r="I147" s="134"/>
    </row>
    <row r="148" spans="1:9" x14ac:dyDescent="0.25">
      <c r="A148" s="132" t="s">
        <v>41</v>
      </c>
      <c r="B148" s="133">
        <f t="shared" si="13"/>
        <v>45.46</v>
      </c>
      <c r="C148" s="134"/>
      <c r="D148" s="134"/>
      <c r="E148" s="131"/>
      <c r="F148" s="134"/>
      <c r="G148" s="134"/>
      <c r="H148" s="134"/>
      <c r="I148" s="134"/>
    </row>
    <row r="149" spans="1:9" x14ac:dyDescent="0.25">
      <c r="A149" s="132" t="s">
        <v>182</v>
      </c>
      <c r="B149" s="133">
        <f t="shared" si="13"/>
        <v>22.8</v>
      </c>
      <c r="C149" s="134"/>
      <c r="D149" s="134"/>
      <c r="E149" s="131"/>
      <c r="F149" s="134">
        <v>1</v>
      </c>
      <c r="G149" s="134"/>
      <c r="H149" s="134"/>
      <c r="I149" s="134"/>
    </row>
    <row r="150" spans="1:9" x14ac:dyDescent="0.25">
      <c r="A150" s="132" t="s">
        <v>190</v>
      </c>
      <c r="B150" s="133">
        <f t="shared" si="13"/>
        <v>3.3099999999999996</v>
      </c>
      <c r="C150" s="134">
        <v>0.34</v>
      </c>
      <c r="D150" s="134">
        <v>0.34</v>
      </c>
      <c r="E150" s="131"/>
      <c r="F150" s="134"/>
      <c r="G150" s="134"/>
      <c r="H150" s="134">
        <v>0.34</v>
      </c>
      <c r="I150" s="134">
        <v>0.34</v>
      </c>
    </row>
    <row r="151" spans="1:9" x14ac:dyDescent="0.25">
      <c r="A151" s="132" t="s">
        <v>15</v>
      </c>
      <c r="B151" s="133">
        <f t="shared" si="13"/>
        <v>0.75</v>
      </c>
      <c r="C151" s="134">
        <v>0.4</v>
      </c>
      <c r="D151" s="134">
        <v>0.4</v>
      </c>
      <c r="E151" s="131"/>
      <c r="F151" s="134"/>
      <c r="G151" s="134"/>
      <c r="H151" s="134">
        <v>0.4</v>
      </c>
      <c r="I151" s="134">
        <v>0.4</v>
      </c>
    </row>
    <row r="152" spans="1:9" x14ac:dyDescent="0.25">
      <c r="A152" s="132" t="s">
        <v>185</v>
      </c>
      <c r="B152" s="133">
        <f t="shared" si="13"/>
        <v>8.82</v>
      </c>
      <c r="C152" s="134">
        <f>2*0.159</f>
        <v>0.318</v>
      </c>
      <c r="D152" s="134">
        <f>2*0.159</f>
        <v>0.318</v>
      </c>
      <c r="E152" s="131"/>
      <c r="F152" s="134"/>
      <c r="G152" s="134"/>
      <c r="H152" s="134">
        <f>2*0.159</f>
        <v>0.318</v>
      </c>
      <c r="I152" s="134">
        <f>2*0.159</f>
        <v>0.318</v>
      </c>
    </row>
    <row r="153" spans="1:9" x14ac:dyDescent="0.25">
      <c r="A153" s="132" t="s">
        <v>221</v>
      </c>
      <c r="B153" s="133">
        <f t="shared" si="13"/>
        <v>1.1399999999999999</v>
      </c>
      <c r="C153" s="134"/>
      <c r="D153" s="134"/>
      <c r="E153" s="131"/>
      <c r="F153" s="134">
        <v>1</v>
      </c>
      <c r="G153" s="134"/>
      <c r="H153" s="134"/>
      <c r="I153" s="134"/>
    </row>
    <row r="154" spans="1:9" x14ac:dyDescent="0.25">
      <c r="A154" s="132" t="s">
        <v>29</v>
      </c>
      <c r="B154" s="133">
        <f t="shared" si="13"/>
        <v>0.04</v>
      </c>
      <c r="C154" s="134">
        <v>5</v>
      </c>
      <c r="D154" s="134">
        <v>5</v>
      </c>
      <c r="E154" s="131"/>
      <c r="F154" s="134"/>
      <c r="G154" s="134"/>
      <c r="H154" s="134">
        <v>5</v>
      </c>
      <c r="I154" s="134">
        <v>5</v>
      </c>
    </row>
    <row r="155" spans="1:9" x14ac:dyDescent="0.25">
      <c r="A155" s="132" t="s">
        <v>30</v>
      </c>
      <c r="B155" s="133">
        <f t="shared" si="13"/>
        <v>0.04</v>
      </c>
      <c r="C155" s="134">
        <v>5</v>
      </c>
      <c r="D155" s="134">
        <v>5</v>
      </c>
      <c r="E155" s="131"/>
      <c r="F155" s="134"/>
      <c r="G155" s="134"/>
      <c r="H155" s="134">
        <v>5</v>
      </c>
      <c r="I155" s="134">
        <v>5</v>
      </c>
    </row>
    <row r="156" spans="1:9" x14ac:dyDescent="0.25">
      <c r="A156" s="132" t="s">
        <v>247</v>
      </c>
      <c r="B156" s="133">
        <f t="shared" si="13"/>
        <v>29.91</v>
      </c>
      <c r="C156" s="134"/>
      <c r="D156" s="134"/>
      <c r="E156" s="131"/>
      <c r="F156" s="134"/>
      <c r="G156" s="134"/>
      <c r="H156" s="134"/>
      <c r="I156" s="134"/>
    </row>
    <row r="157" spans="1:9" x14ac:dyDescent="0.25">
      <c r="A157" s="132" t="s">
        <v>248</v>
      </c>
      <c r="B157" s="133">
        <f t="shared" si="13"/>
        <v>68.36</v>
      </c>
      <c r="C157" s="134"/>
      <c r="D157" s="134"/>
      <c r="E157" s="131"/>
      <c r="F157" s="134"/>
      <c r="G157" s="134"/>
      <c r="H157" s="134"/>
      <c r="I157" s="134"/>
    </row>
    <row r="158" spans="1:9" x14ac:dyDescent="0.25">
      <c r="A158" s="132" t="s">
        <v>250</v>
      </c>
      <c r="B158" s="133">
        <f t="shared" si="13"/>
        <v>22.790000000000003</v>
      </c>
      <c r="C158" s="134"/>
      <c r="D158" s="134"/>
      <c r="E158" s="131"/>
      <c r="F158" s="134"/>
      <c r="G158" s="134"/>
      <c r="H158" s="134"/>
      <c r="I158" s="134"/>
    </row>
    <row r="159" spans="1:9" x14ac:dyDescent="0.25">
      <c r="A159" s="132" t="s">
        <v>253</v>
      </c>
      <c r="B159" s="133">
        <f t="shared" si="13"/>
        <v>13.68</v>
      </c>
      <c r="C159" s="134"/>
      <c r="D159" s="134"/>
      <c r="E159" s="131"/>
      <c r="F159" s="134"/>
      <c r="G159" s="134"/>
      <c r="H159" s="134"/>
      <c r="I159" s="134"/>
    </row>
    <row r="160" spans="1:9" x14ac:dyDescent="0.25">
      <c r="A160" s="132">
        <v>1318</v>
      </c>
      <c r="B160" s="133">
        <f t="shared" si="13"/>
        <v>22.96</v>
      </c>
      <c r="C160" s="134"/>
      <c r="D160" s="134"/>
      <c r="E160" s="131"/>
      <c r="F160" s="134"/>
      <c r="G160" s="134">
        <v>1</v>
      </c>
      <c r="H160" s="134"/>
      <c r="I160" s="134"/>
    </row>
    <row r="161" spans="1:9" x14ac:dyDescent="0.25">
      <c r="A161" s="132">
        <v>1302</v>
      </c>
      <c r="B161" s="133">
        <f t="shared" si="13"/>
        <v>4.16</v>
      </c>
      <c r="C161" s="134"/>
      <c r="D161" s="134"/>
      <c r="E161" s="131"/>
      <c r="F161" s="134"/>
      <c r="G161" s="134"/>
      <c r="H161" s="134"/>
      <c r="I161" s="134"/>
    </row>
    <row r="163" spans="1:9" x14ac:dyDescent="0.25">
      <c r="A163" s="132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59.83</v>
      </c>
      <c r="G163" s="119">
        <f>SUMPRODUCT($B$145:$B$161,G$145:G$161)</f>
        <v>22.96</v>
      </c>
      <c r="H163" s="119">
        <f>SUMPRODUCT($B$94:$B$110,H$94:H$110)</f>
        <v>4.6301600000000001</v>
      </c>
      <c r="I163" s="119">
        <f>SUMPRODUCT($B$94:$B$110,I$94:I$110)</f>
        <v>4.6301600000000001</v>
      </c>
    </row>
    <row r="164" spans="1:9" x14ac:dyDescent="0.25">
      <c r="A164" s="132" t="s">
        <v>40</v>
      </c>
      <c r="C164" s="119">
        <f t="shared" ref="C164:D166" si="14">SUMPRODUCT($B$94:$B$110,C$94:C$110)</f>
        <v>4.6301600000000001</v>
      </c>
      <c r="D164" s="119">
        <f t="shared" si="14"/>
        <v>4.6301600000000001</v>
      </c>
      <c r="F164" s="119">
        <f>SUMPRODUCT($B$145:$B$161,F$145:F$161)+B146</f>
        <v>70.599999999999994</v>
      </c>
      <c r="G164" s="119">
        <f>SUMPRODUCT($B$145:$B$161,G$145:G$161)</f>
        <v>22.96</v>
      </c>
      <c r="H164" s="119">
        <f t="shared" ref="H164:I166" si="15">SUMPRODUCT($B$94:$B$110,H$94:H$110)</f>
        <v>4.6301600000000001</v>
      </c>
      <c r="I164" s="119">
        <f t="shared" si="15"/>
        <v>4.6301600000000001</v>
      </c>
    </row>
    <row r="165" spans="1:9" x14ac:dyDescent="0.25">
      <c r="A165" s="132" t="s">
        <v>36</v>
      </c>
      <c r="C165" s="119">
        <f t="shared" si="14"/>
        <v>4.6301600000000001</v>
      </c>
      <c r="D165" s="119">
        <f t="shared" si="14"/>
        <v>4.6301600000000001</v>
      </c>
      <c r="F165" s="119">
        <f>SUMPRODUCT($B$145:$B$161,F$145:F$161)+B147</f>
        <v>58.64</v>
      </c>
      <c r="G165" s="119">
        <f>SUMPRODUCT($B$145:$B$161,G$145:G$161)</f>
        <v>22.96</v>
      </c>
      <c r="H165" s="119">
        <f t="shared" si="15"/>
        <v>4.6301600000000001</v>
      </c>
      <c r="I165" s="119">
        <f t="shared" si="15"/>
        <v>4.6301600000000001</v>
      </c>
    </row>
    <row r="166" spans="1:9" x14ac:dyDescent="0.25">
      <c r="A166" s="132" t="s">
        <v>41</v>
      </c>
      <c r="C166" s="119">
        <f t="shared" si="14"/>
        <v>4.6301600000000001</v>
      </c>
      <c r="D166" s="119">
        <f t="shared" si="14"/>
        <v>4.6301600000000001</v>
      </c>
      <c r="F166" s="119">
        <f>SUMPRODUCT($B$145:$B$161,F$145:F$161)+B148</f>
        <v>69.400000000000006</v>
      </c>
      <c r="G166" s="119">
        <f>SUMPRODUCT($B$145:$B$161,G$145:G$161)</f>
        <v>22.96</v>
      </c>
      <c r="H166" s="119">
        <f t="shared" si="15"/>
        <v>4.6301600000000001</v>
      </c>
      <c r="I166" s="119">
        <f t="shared" si="15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4"/>
      <c r="C170" s="134"/>
      <c r="D170" s="134"/>
      <c r="H170" s="134"/>
      <c r="I170" s="134"/>
    </row>
    <row r="171" spans="1:9" x14ac:dyDescent="0.25">
      <c r="B171" s="134"/>
      <c r="C171" s="134"/>
      <c r="D171" s="134"/>
      <c r="H171" s="134"/>
      <c r="I171" s="134"/>
    </row>
    <row r="172" spans="1:9" x14ac:dyDescent="0.25">
      <c r="B172" s="134"/>
      <c r="C172" s="134"/>
      <c r="D172" s="134"/>
      <c r="H172" s="134"/>
      <c r="I172" s="134"/>
    </row>
    <row r="173" spans="1:9" x14ac:dyDescent="0.25">
      <c r="B173" s="134"/>
      <c r="C173" s="134"/>
      <c r="D173" s="134"/>
      <c r="H173" s="134"/>
      <c r="I173" s="134"/>
    </row>
    <row r="174" spans="1:9" x14ac:dyDescent="0.25">
      <c r="B174" s="134"/>
      <c r="C174" s="134">
        <v>0.15</v>
      </c>
      <c r="D174" s="134"/>
      <c r="H174" s="134"/>
      <c r="I174" s="134"/>
    </row>
    <row r="175" spans="1:9" x14ac:dyDescent="0.25">
      <c r="B175" s="134"/>
      <c r="C175" s="134">
        <v>0.16666666666666666</v>
      </c>
      <c r="D175" s="134">
        <v>0.17</v>
      </c>
      <c r="H175" s="134">
        <v>0.17</v>
      </c>
      <c r="I175" s="134">
        <v>0.17</v>
      </c>
    </row>
    <row r="176" spans="1:9" x14ac:dyDescent="0.25">
      <c r="B176" s="134"/>
      <c r="C176" s="134">
        <v>0.1</v>
      </c>
      <c r="D176" s="134">
        <v>0.1</v>
      </c>
      <c r="H176" s="134">
        <v>0.1</v>
      </c>
      <c r="I176" s="134">
        <v>0.1</v>
      </c>
    </row>
    <row r="177" spans="2:9" x14ac:dyDescent="0.25">
      <c r="B177" s="134"/>
      <c r="C177" s="134"/>
      <c r="D177" s="134"/>
      <c r="H177" s="134"/>
      <c r="I177" s="134"/>
    </row>
    <row r="178" spans="2:9" x14ac:dyDescent="0.25">
      <c r="B178" s="134"/>
      <c r="C178" s="134"/>
      <c r="D178" s="134"/>
      <c r="H178" s="134"/>
      <c r="I178" s="134"/>
    </row>
    <row r="179" spans="2:9" x14ac:dyDescent="0.25">
      <c r="B179" s="134"/>
      <c r="C179" s="134"/>
      <c r="D179" s="134"/>
      <c r="H179" s="134"/>
      <c r="I179" s="134"/>
    </row>
    <row r="180" spans="2:9" x14ac:dyDescent="0.25">
      <c r="B180" s="134"/>
      <c r="C180" s="134"/>
      <c r="D180" s="134"/>
      <c r="H180" s="134"/>
      <c r="I180" s="134"/>
    </row>
    <row r="181" spans="2:9" x14ac:dyDescent="0.25">
      <c r="B181" s="134"/>
      <c r="C181" s="134"/>
      <c r="D181" s="134"/>
      <c r="H181" s="134"/>
      <c r="I181" s="134"/>
    </row>
    <row r="182" spans="2:9" x14ac:dyDescent="0.25">
      <c r="B182" s="134"/>
      <c r="C182" s="134"/>
      <c r="D182" s="134"/>
      <c r="H182" s="134"/>
      <c r="I182" s="134"/>
    </row>
    <row r="183" spans="2:9" x14ac:dyDescent="0.25">
      <c r="B183" s="134"/>
      <c r="C183" s="134"/>
      <c r="D183" s="134"/>
      <c r="H183" s="134"/>
      <c r="I183" s="134"/>
    </row>
    <row r="184" spans="2:9" x14ac:dyDescent="0.25">
      <c r="B184" s="134">
        <v>2</v>
      </c>
      <c r="C184" s="134"/>
      <c r="D184" s="134"/>
      <c r="H184" s="134"/>
      <c r="I184" s="134"/>
    </row>
    <row r="185" spans="2:9" x14ac:dyDescent="0.25">
      <c r="B185" s="134"/>
      <c r="C185" s="134"/>
      <c r="D185" s="134"/>
      <c r="H185" s="134"/>
      <c r="I185" s="134"/>
    </row>
    <row r="186" spans="2:9" x14ac:dyDescent="0.25">
      <c r="B186" s="134">
        <v>2</v>
      </c>
      <c r="C186" s="134"/>
      <c r="D186" s="134"/>
      <c r="H186" s="134"/>
      <c r="I186" s="134"/>
    </row>
    <row r="188" spans="2:9" x14ac:dyDescent="0.25">
      <c r="B188" s="119">
        <f t="shared" ref="B188:D191" si="16">SUMPRODUCT($B$145:$B$161,B$170:B$186)</f>
        <v>35.68</v>
      </c>
      <c r="C188" s="119">
        <f t="shared" si="16"/>
        <v>4.0466666666666669</v>
      </c>
      <c r="D188" s="119">
        <f t="shared" si="16"/>
        <v>0.63769999999999993</v>
      </c>
      <c r="H188" s="119">
        <f t="shared" ref="H188:I191" si="17">SUMPRODUCT($B$145:$B$161,H$170:H$186)</f>
        <v>0.63769999999999993</v>
      </c>
      <c r="I188" s="119">
        <f t="shared" si="17"/>
        <v>0.63769999999999993</v>
      </c>
    </row>
    <row r="189" spans="2:9" x14ac:dyDescent="0.25">
      <c r="B189" s="119">
        <f t="shared" si="16"/>
        <v>35.68</v>
      </c>
      <c r="C189" s="119">
        <f t="shared" si="16"/>
        <v>4.0466666666666669</v>
      </c>
      <c r="D189" s="119">
        <f t="shared" si="16"/>
        <v>0.63769999999999993</v>
      </c>
      <c r="H189" s="119">
        <f t="shared" si="17"/>
        <v>0.63769999999999993</v>
      </c>
      <c r="I189" s="119">
        <f t="shared" si="17"/>
        <v>0.63769999999999993</v>
      </c>
    </row>
    <row r="190" spans="2:9" x14ac:dyDescent="0.25">
      <c r="B190" s="119">
        <f t="shared" si="16"/>
        <v>35.68</v>
      </c>
      <c r="C190" s="119">
        <f t="shared" si="16"/>
        <v>4.0466666666666669</v>
      </c>
      <c r="D190" s="119">
        <f t="shared" si="16"/>
        <v>0.63769999999999993</v>
      </c>
      <c r="H190" s="119">
        <f t="shared" si="17"/>
        <v>0.63769999999999993</v>
      </c>
      <c r="I190" s="119">
        <f t="shared" si="17"/>
        <v>0.63769999999999993</v>
      </c>
    </row>
    <row r="191" spans="2:9" x14ac:dyDescent="0.25">
      <c r="B191" s="119">
        <f t="shared" si="16"/>
        <v>35.68</v>
      </c>
      <c r="C191" s="119">
        <f t="shared" si="16"/>
        <v>4.0466666666666669</v>
      </c>
      <c r="D191" s="119">
        <f t="shared" si="16"/>
        <v>0.63769999999999993</v>
      </c>
      <c r="H191" s="119">
        <f t="shared" si="17"/>
        <v>0.63769999999999993</v>
      </c>
      <c r="I191" s="119">
        <f t="shared" si="17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10"/>
  <sheetViews>
    <sheetView zoomScale="75" zoomScaleNormal="75" zoomScalePageLayoutView="90" workbookViewId="0">
      <selection activeCell="G10" sqref="G10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2.33203125" style="64" customWidth="1"/>
    <col min="7" max="7" width="16.44140625" style="25" customWidth="1"/>
    <col min="8" max="8" width="9.88671875" style="25" customWidth="1"/>
    <col min="9" max="12" width="9.44140625" style="25" customWidth="1"/>
    <col min="13" max="16384" width="11.44140625" style="25"/>
  </cols>
  <sheetData>
    <row r="1" spans="1:12" ht="70.5" customHeight="1" thickBot="1" x14ac:dyDescent="0.4">
      <c r="A1" s="75"/>
      <c r="B1" s="76"/>
      <c r="C1" s="76"/>
    </row>
    <row r="2" spans="1:12" ht="18.600000000000001" x14ac:dyDescent="0.4">
      <c r="A2" s="388" t="s">
        <v>201</v>
      </c>
      <c r="B2" s="389"/>
      <c r="C2" s="390"/>
      <c r="D2" s="78" t="str">
        <f>IF(D8=1,"PC2H","VC2H")</f>
        <v>VC2H</v>
      </c>
      <c r="E2" s="78" t="str">
        <f>IF(E8=1,"PC4H","VC4H")</f>
        <v>VC4H</v>
      </c>
      <c r="F2" s="79"/>
      <c r="G2" s="375" t="s">
        <v>159</v>
      </c>
      <c r="H2" s="376"/>
      <c r="I2" s="78" t="s">
        <v>602</v>
      </c>
      <c r="J2" s="78" t="s">
        <v>602</v>
      </c>
      <c r="K2" s="78" t="s">
        <v>603</v>
      </c>
      <c r="L2" s="78" t="s">
        <v>603</v>
      </c>
    </row>
    <row r="3" spans="1:12" s="84" customFormat="1" ht="45" customHeight="1" x14ac:dyDescent="0.25">
      <c r="A3" s="385" t="s">
        <v>256</v>
      </c>
      <c r="B3" s="386"/>
      <c r="C3" s="387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L3" si="0">IF(I10=8,"8 mm.","10 mm.")</f>
        <v>10 mm.</v>
      </c>
      <c r="J3" s="80" t="str">
        <f t="shared" si="0"/>
        <v>10 mm.</v>
      </c>
      <c r="K3" s="80" t="str">
        <f t="shared" si="0"/>
        <v>10 mm.</v>
      </c>
      <c r="L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L4" si="1">IF(I9=1,"INCOLORO","COLOR")</f>
        <v>INCOLORO</v>
      </c>
      <c r="J4" s="87" t="str">
        <f t="shared" si="1"/>
        <v>INCOLORO</v>
      </c>
      <c r="K4" s="87" t="str">
        <f t="shared" si="1"/>
        <v>INCOLORO</v>
      </c>
      <c r="L4" s="87" t="str">
        <f t="shared" si="1"/>
        <v>INCOLORO</v>
      </c>
    </row>
    <row r="5" spans="1:12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108">
        <v>5.8</v>
      </c>
      <c r="J5" s="28">
        <v>5.3</v>
      </c>
      <c r="K5" s="108">
        <v>4.0999999999999996</v>
      </c>
      <c r="L5" s="108">
        <v>4.0999999999999996</v>
      </c>
    </row>
    <row r="6" spans="1:12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108">
        <v>2.2000000000000002</v>
      </c>
      <c r="J6" s="28">
        <v>2.2000000000000002</v>
      </c>
      <c r="K6" s="108">
        <v>2.2000000000000002</v>
      </c>
      <c r="L6" s="108">
        <v>2.2000000000000002</v>
      </c>
    </row>
    <row r="7" spans="1:12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SUM(I7:IF7)</f>
        <v>4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</row>
    <row r="8" spans="1:12" ht="15.6" x14ac:dyDescent="0.3">
      <c r="A8" s="100" t="s">
        <v>202</v>
      </c>
      <c r="B8" s="98"/>
      <c r="C8" s="109"/>
      <c r="D8" s="28">
        <v>2</v>
      </c>
      <c r="E8" s="28">
        <v>2</v>
      </c>
      <c r="F8" s="94"/>
      <c r="G8" s="23"/>
      <c r="H8" s="24"/>
      <c r="I8" s="28">
        <v>1</v>
      </c>
      <c r="J8" s="28">
        <v>1</v>
      </c>
      <c r="K8" s="28">
        <v>1</v>
      </c>
      <c r="L8" s="28">
        <v>1</v>
      </c>
    </row>
    <row r="9" spans="1:12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</row>
    <row r="10" spans="1:12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10</v>
      </c>
      <c r="J10" s="28">
        <v>10</v>
      </c>
      <c r="K10" s="28">
        <v>10</v>
      </c>
      <c r="L10" s="28">
        <v>10</v>
      </c>
    </row>
    <row r="11" spans="1:12" ht="15.6" x14ac:dyDescent="0.3">
      <c r="A11" s="105" t="s">
        <v>164</v>
      </c>
      <c r="B11" s="41"/>
      <c r="C11" s="106" t="s">
        <v>212</v>
      </c>
      <c r="D11" s="21">
        <f>+D57</f>
        <v>257.9446053333333</v>
      </c>
      <c r="E11" s="21">
        <f>+E57</f>
        <v>486.16572399999995</v>
      </c>
      <c r="F11" s="22"/>
      <c r="G11" s="23">
        <f>SUM(I11:IF11)</f>
        <v>2511.6555120000003</v>
      </c>
      <c r="H11" s="24" t="s">
        <v>165</v>
      </c>
      <c r="I11" s="21">
        <f t="shared" ref="I11:L11" si="2">+I57</f>
        <v>747.27913599999999</v>
      </c>
      <c r="J11" s="21">
        <f t="shared" si="2"/>
        <v>671.98597066666673</v>
      </c>
      <c r="K11" s="21">
        <f t="shared" si="2"/>
        <v>546.19520266666666</v>
      </c>
      <c r="L11" s="21">
        <f t="shared" si="2"/>
        <v>546.19520266666666</v>
      </c>
    </row>
    <row r="12" spans="1:12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SUM(I12:IF12)</f>
        <v>42.459999999999994</v>
      </c>
      <c r="H12" s="24" t="s">
        <v>34</v>
      </c>
      <c r="I12" s="108">
        <f t="shared" ref="I12:L12" si="3">+I5*I6*I$7</f>
        <v>12.76</v>
      </c>
      <c r="J12" s="28">
        <f t="shared" si="3"/>
        <v>11.66</v>
      </c>
      <c r="K12" s="108">
        <f t="shared" si="3"/>
        <v>9.02</v>
      </c>
      <c r="L12" s="108">
        <f t="shared" si="3"/>
        <v>9.02</v>
      </c>
    </row>
    <row r="13" spans="1:12" ht="15.6" x14ac:dyDescent="0.3">
      <c r="A13" s="26" t="s">
        <v>167</v>
      </c>
      <c r="B13" s="20"/>
      <c r="C13" s="27"/>
      <c r="D13" s="21">
        <f>+D11/D12</f>
        <v>61.415382222222213</v>
      </c>
      <c r="E13" s="111">
        <f>+E11/E12</f>
        <v>60.393257639751553</v>
      </c>
      <c r="F13" s="22"/>
      <c r="G13" s="23">
        <f>+G11/G12</f>
        <v>59.153450588789461</v>
      </c>
      <c r="H13" s="24" t="s">
        <v>168</v>
      </c>
      <c r="I13" s="111">
        <f t="shared" ref="I13:L13" si="4">+I11/I12</f>
        <v>58.564195611285264</v>
      </c>
      <c r="J13" s="21">
        <f t="shared" si="4"/>
        <v>57.631729902801602</v>
      </c>
      <c r="K13" s="111">
        <f t="shared" si="4"/>
        <v>60.553791869918705</v>
      </c>
      <c r="L13" s="111">
        <f t="shared" si="4"/>
        <v>60.553791869918705</v>
      </c>
    </row>
    <row r="14" spans="1:12" ht="15.6" x14ac:dyDescent="0.3">
      <c r="A14" s="26" t="s">
        <v>169</v>
      </c>
      <c r="B14" s="20"/>
      <c r="C14" s="27"/>
      <c r="D14" s="21">
        <f>+D84</f>
        <v>277.72080533333337</v>
      </c>
      <c r="E14" s="21">
        <f>+E84</f>
        <v>498.95332400000001</v>
      </c>
      <c r="F14" s="22"/>
      <c r="G14" s="23">
        <f>SUM(I14:IF14)</f>
        <v>2428.2261119999998</v>
      </c>
      <c r="H14" s="24" t="s">
        <v>165</v>
      </c>
      <c r="I14" s="21">
        <f t="shared" ref="I14:L14" si="5">+I84</f>
        <v>712.45153599999992</v>
      </c>
      <c r="J14" s="21">
        <f t="shared" si="5"/>
        <v>673.62537066666675</v>
      </c>
      <c r="K14" s="21">
        <f t="shared" si="5"/>
        <v>521.07460266666658</v>
      </c>
      <c r="L14" s="21">
        <f t="shared" si="5"/>
        <v>521.07460266666658</v>
      </c>
    </row>
    <row r="15" spans="1:12" ht="15.6" x14ac:dyDescent="0.3">
      <c r="A15" s="26" t="s">
        <v>170</v>
      </c>
      <c r="B15" s="20"/>
      <c r="C15" s="27"/>
      <c r="D15" s="21">
        <f>+D14/D12</f>
        <v>66.124001269841273</v>
      </c>
      <c r="E15" s="111">
        <f>+E14/E12</f>
        <v>61.981779378881996</v>
      </c>
      <c r="F15" s="22"/>
      <c r="G15" s="23">
        <f>+G14/G12</f>
        <v>57.188556570890256</v>
      </c>
      <c r="H15" s="24" t="s">
        <v>168</v>
      </c>
      <c r="I15" s="111">
        <f t="shared" ref="I15:L15" si="6">+I14/I12</f>
        <v>55.834759874608146</v>
      </c>
      <c r="J15" s="21">
        <f t="shared" si="6"/>
        <v>57.772330245854782</v>
      </c>
      <c r="K15" s="111">
        <f t="shared" si="6"/>
        <v>57.768802956393195</v>
      </c>
      <c r="L15" s="111">
        <f t="shared" si="6"/>
        <v>57.768802956393195</v>
      </c>
    </row>
    <row r="16" spans="1:12" ht="15.6" x14ac:dyDescent="0.3">
      <c r="A16" s="261" t="s">
        <v>353</v>
      </c>
      <c r="B16" s="262"/>
      <c r="C16" s="263"/>
      <c r="D16" s="264">
        <f>0.9*SUM(D58:D61)</f>
        <v>139.05580500000002</v>
      </c>
      <c r="E16" s="264">
        <f>0.9*SUM(E58:E61)</f>
        <v>263.73766499999999</v>
      </c>
      <c r="F16" s="22"/>
      <c r="G16" s="295">
        <f t="shared" ref="G16:G25" si="7">SUM(I16:IF16)</f>
        <v>1385.7129</v>
      </c>
      <c r="H16" s="296" t="s">
        <v>357</v>
      </c>
      <c r="I16" s="264">
        <f t="shared" ref="I16:L16" si="8">0.9*SUM(I58:I61)</f>
        <v>415.71386999999999</v>
      </c>
      <c r="J16" s="264">
        <f t="shared" si="8"/>
        <v>380.18277</v>
      </c>
      <c r="K16" s="264">
        <f t="shared" si="8"/>
        <v>294.90812999999997</v>
      </c>
      <c r="L16" s="264">
        <f t="shared" si="8"/>
        <v>294.90812999999997</v>
      </c>
    </row>
    <row r="17" spans="1:12" ht="15.6" x14ac:dyDescent="0.3">
      <c r="A17" s="261" t="s">
        <v>354</v>
      </c>
      <c r="B17" s="262"/>
      <c r="C17" s="263"/>
      <c r="D17" s="264">
        <f>0.9*SUM(D63:D81)</f>
        <v>50.002339800000001</v>
      </c>
      <c r="E17" s="264">
        <f>0.9*SUM(E63:E81)</f>
        <v>91.218486599999991</v>
      </c>
      <c r="F17" s="22"/>
      <c r="G17" s="295">
        <f t="shared" si="7"/>
        <v>439.13746080000004</v>
      </c>
      <c r="H17" s="296" t="s">
        <v>357</v>
      </c>
      <c r="I17" s="264">
        <f t="shared" ref="I17:L17" si="9">0.9*SUM(I63:I81)</f>
        <v>125.91975239999999</v>
      </c>
      <c r="J17" s="264">
        <f t="shared" si="9"/>
        <v>104.97300360000001</v>
      </c>
      <c r="K17" s="264">
        <f t="shared" si="9"/>
        <v>104.1223524</v>
      </c>
      <c r="L17" s="264">
        <f t="shared" si="9"/>
        <v>104.1223524</v>
      </c>
    </row>
    <row r="18" spans="1:12" ht="15.6" x14ac:dyDescent="0.3">
      <c r="A18" s="261" t="s">
        <v>182</v>
      </c>
      <c r="B18" s="262"/>
      <c r="C18" s="263"/>
      <c r="D18" s="264">
        <f>+D62*0.9</f>
        <v>43.092000000000006</v>
      </c>
      <c r="E18" s="264">
        <f>+E62*0.9</f>
        <v>82.593000000000004</v>
      </c>
      <c r="F18" s="22"/>
      <c r="G18" s="295">
        <f t="shared" si="7"/>
        <v>435.63960000000003</v>
      </c>
      <c r="H18" s="296" t="s">
        <v>357</v>
      </c>
      <c r="I18" s="264">
        <f t="shared" ref="I18:L18" si="10">+I62*0.9</f>
        <v>130.91759999999999</v>
      </c>
      <c r="J18" s="264">
        <f t="shared" si="10"/>
        <v>119.63160000000001</v>
      </c>
      <c r="K18" s="264">
        <f t="shared" si="10"/>
        <v>92.545200000000008</v>
      </c>
      <c r="L18" s="264">
        <f t="shared" si="10"/>
        <v>92.545200000000008</v>
      </c>
    </row>
    <row r="19" spans="1:12" ht="15.6" x14ac:dyDescent="0.3">
      <c r="A19" s="261" t="s">
        <v>355</v>
      </c>
      <c r="B19" s="262"/>
      <c r="C19" s="263"/>
      <c r="D19" s="264">
        <f>+D11-SUM(D16:D18)</f>
        <v>25.79446053333325</v>
      </c>
      <c r="E19" s="264">
        <f>+E11-SUM(E16:E18)</f>
        <v>48.616572399999939</v>
      </c>
      <c r="F19" s="22"/>
      <c r="G19" s="295">
        <f t="shared" si="7"/>
        <v>251.1655512000001</v>
      </c>
      <c r="H19" s="296" t="s">
        <v>357</v>
      </c>
      <c r="I19" s="264">
        <f t="shared" ref="I19:L19" si="11">+I11-SUM(I16:I18)</f>
        <v>74.727913600000079</v>
      </c>
      <c r="J19" s="264">
        <f t="shared" si="11"/>
        <v>67.198597066666707</v>
      </c>
      <c r="K19" s="264">
        <f t="shared" si="11"/>
        <v>54.619520266666655</v>
      </c>
      <c r="L19" s="264">
        <f t="shared" si="11"/>
        <v>54.619520266666655</v>
      </c>
    </row>
    <row r="20" spans="1:12" ht="15.6" x14ac:dyDescent="0.3">
      <c r="A20" s="283" t="s">
        <v>356</v>
      </c>
      <c r="B20" s="284"/>
      <c r="C20" s="285"/>
      <c r="D20" s="286">
        <f>SUM(D16:D19)</f>
        <v>257.9446053333333</v>
      </c>
      <c r="E20" s="286">
        <f>SUM(E16:E19)</f>
        <v>486.16572399999995</v>
      </c>
      <c r="F20" s="22"/>
      <c r="G20" s="297">
        <f t="shared" si="7"/>
        <v>2511.6555120000003</v>
      </c>
      <c r="H20" s="298" t="s">
        <v>357</v>
      </c>
      <c r="I20" s="286">
        <f t="shared" ref="I20:L20" si="12">SUM(I16:I19)</f>
        <v>747.27913599999999</v>
      </c>
      <c r="J20" s="286">
        <f t="shared" si="12"/>
        <v>671.98597066666673</v>
      </c>
      <c r="K20" s="286">
        <f t="shared" si="12"/>
        <v>546.19520266666666</v>
      </c>
      <c r="L20" s="286">
        <f t="shared" si="12"/>
        <v>546.19520266666666</v>
      </c>
    </row>
    <row r="21" spans="1:12" ht="15.6" x14ac:dyDescent="0.3">
      <c r="A21" s="305" t="s">
        <v>362</v>
      </c>
      <c r="B21" s="306"/>
      <c r="C21" s="307"/>
      <c r="D21" s="308">
        <f t="shared" ref="D21:E24" si="13">+D16/D$12</f>
        <v>33.108525</v>
      </c>
      <c r="E21" s="308">
        <f t="shared" si="13"/>
        <v>32.762442857142858</v>
      </c>
      <c r="F21" s="22"/>
      <c r="G21" s="295">
        <f t="shared" si="7"/>
        <v>79.507726415094325</v>
      </c>
      <c r="H21" s="296" t="s">
        <v>357</v>
      </c>
      <c r="I21" s="264">
        <f>0.9*SUM(I63:I66)</f>
        <v>18.741599999999998</v>
      </c>
      <c r="J21" s="308">
        <f t="shared" ref="J21" si="14">+J16/J$12</f>
        <v>32.605726415094338</v>
      </c>
      <c r="K21" s="264">
        <f t="shared" ref="K21:L21" si="15">0.9*SUM(K63:K66)</f>
        <v>14.080199999999996</v>
      </c>
      <c r="L21" s="264">
        <f t="shared" si="15"/>
        <v>14.080199999999996</v>
      </c>
    </row>
    <row r="22" spans="1:12" ht="15.6" x14ac:dyDescent="0.3">
      <c r="A22" s="305" t="s">
        <v>363</v>
      </c>
      <c r="B22" s="306"/>
      <c r="C22" s="307"/>
      <c r="D22" s="308">
        <f t="shared" si="13"/>
        <v>11.905319</v>
      </c>
      <c r="E22" s="308">
        <f t="shared" si="13"/>
        <v>11.33148901863354</v>
      </c>
      <c r="F22" s="22"/>
      <c r="G22" s="295">
        <f t="shared" si="7"/>
        <v>2842.4870048974267</v>
      </c>
      <c r="H22" s="296" t="s">
        <v>357</v>
      </c>
      <c r="I22" s="264">
        <f>0.9*SUM(I68:I86)</f>
        <v>1148.2954847999999</v>
      </c>
      <c r="J22" s="308">
        <f t="shared" ref="J22" si="16">+J17/J$12</f>
        <v>9.0028304974271016</v>
      </c>
      <c r="K22" s="264">
        <f t="shared" ref="K22:L22" si="17">0.9*SUM(K68:K86)</f>
        <v>842.59434479999982</v>
      </c>
      <c r="L22" s="264">
        <f t="shared" si="17"/>
        <v>842.59434479999982</v>
      </c>
    </row>
    <row r="23" spans="1:12" ht="15.6" x14ac:dyDescent="0.3">
      <c r="A23" s="305" t="s">
        <v>364</v>
      </c>
      <c r="B23" s="306"/>
      <c r="C23" s="307"/>
      <c r="D23" s="308">
        <f t="shared" si="13"/>
        <v>10.260000000000002</v>
      </c>
      <c r="E23" s="308">
        <f t="shared" si="13"/>
        <v>10.260000000000002</v>
      </c>
      <c r="F23" s="22"/>
      <c r="G23" s="295">
        <f t="shared" si="7"/>
        <v>13.968</v>
      </c>
      <c r="H23" s="296" t="s">
        <v>357</v>
      </c>
      <c r="I23" s="264">
        <f>+I67*0.9</f>
        <v>1.4400000000000002</v>
      </c>
      <c r="J23" s="308">
        <f t="shared" ref="J23" si="18">+J18/J$12</f>
        <v>10.26</v>
      </c>
      <c r="K23" s="264">
        <f t="shared" ref="K23:L23" si="19">+K67*0.9</f>
        <v>1.1339999999999999</v>
      </c>
      <c r="L23" s="264">
        <f t="shared" si="19"/>
        <v>1.1339999999999999</v>
      </c>
    </row>
    <row r="24" spans="1:12" ht="15.6" x14ac:dyDescent="0.3">
      <c r="A24" s="305" t="s">
        <v>365</v>
      </c>
      <c r="B24" s="306"/>
      <c r="C24" s="307"/>
      <c r="D24" s="308">
        <f t="shared" si="13"/>
        <v>6.1415382222222021</v>
      </c>
      <c r="E24" s="308">
        <f t="shared" si="13"/>
        <v>6.0393257639751488</v>
      </c>
      <c r="F24" s="22"/>
      <c r="G24" s="295">
        <f t="shared" si="7"/>
        <v>-1872.8008714097195</v>
      </c>
      <c r="H24" s="296" t="s">
        <v>357</v>
      </c>
      <c r="I24" s="264">
        <f>+I16-SUM(I21:I23)</f>
        <v>-752.76321480000001</v>
      </c>
      <c r="J24" s="308">
        <f t="shared" ref="J24" si="20">+J19/J$12</f>
        <v>5.7631729902801636</v>
      </c>
      <c r="K24" s="264">
        <f t="shared" ref="K24:L24" si="21">+K16-SUM(K21:K23)</f>
        <v>-562.90041479999991</v>
      </c>
      <c r="L24" s="264">
        <f t="shared" si="21"/>
        <v>-562.90041479999991</v>
      </c>
    </row>
    <row r="25" spans="1:12" ht="15.6" x14ac:dyDescent="0.3">
      <c r="A25" s="283" t="s">
        <v>356</v>
      </c>
      <c r="B25" s="284"/>
      <c r="C25" s="285"/>
      <c r="D25" s="286">
        <f>SUM(D21:D24)</f>
        <v>61.415382222222199</v>
      </c>
      <c r="E25" s="286">
        <f>SUM(E21:E24)</f>
        <v>60.393257639751546</v>
      </c>
      <c r="F25" s="22"/>
      <c r="G25" s="297">
        <f t="shared" si="7"/>
        <v>1063.1618599028016</v>
      </c>
      <c r="H25" s="298" t="s">
        <v>357</v>
      </c>
      <c r="I25" s="286">
        <f t="shared" ref="I25:L25" si="22">SUM(I21:I24)</f>
        <v>415.71387000000004</v>
      </c>
      <c r="J25" s="286">
        <f t="shared" si="22"/>
        <v>57.631729902801595</v>
      </c>
      <c r="K25" s="286">
        <f t="shared" si="22"/>
        <v>294.90812999999991</v>
      </c>
      <c r="L25" s="286">
        <f t="shared" si="22"/>
        <v>294.90812999999991</v>
      </c>
    </row>
    <row r="26" spans="1:12" ht="15.6" x14ac:dyDescent="0.3">
      <c r="A26" s="30" t="s">
        <v>171</v>
      </c>
      <c r="B26" s="31"/>
      <c r="C26" s="32"/>
      <c r="D26" s="33">
        <f>+(D11-D14)/D11</f>
        <v>-7.6668399303966614E-2</v>
      </c>
      <c r="E26" s="112">
        <f>+(E11-E14)/E11</f>
        <v>-2.6302964953572202E-2</v>
      </c>
      <c r="F26" s="34"/>
      <c r="G26" s="35">
        <f>ROUNDDOWN(+(G11-G14)/G11,2)</f>
        <v>0.03</v>
      </c>
      <c r="H26" s="36"/>
      <c r="I26" s="112">
        <f t="shared" ref="I26:L26" si="23">+(I11-I14)/I11</f>
        <v>4.6605877672998584E-2</v>
      </c>
      <c r="J26" s="33">
        <f t="shared" si="23"/>
        <v>-2.4396342655392052E-3</v>
      </c>
      <c r="K26" s="112">
        <f t="shared" si="23"/>
        <v>4.5991982129016874E-2</v>
      </c>
      <c r="L26" s="112">
        <f t="shared" si="23"/>
        <v>4.5991982129016874E-2</v>
      </c>
    </row>
    <row r="27" spans="1:12" ht="15.6" x14ac:dyDescent="0.3">
      <c r="A27" s="37"/>
      <c r="B27" s="31"/>
      <c r="C27" s="38"/>
      <c r="D27" s="39"/>
      <c r="E27" s="39"/>
      <c r="F27" s="40"/>
      <c r="G27" s="116">
        <f>+G11+'Pano Fijo'!F12+('Costo M.P.yMat.'!J15*4)</f>
        <v>5011.6372119999996</v>
      </c>
      <c r="H27" s="39"/>
      <c r="I27" s="39"/>
      <c r="J27" s="39"/>
      <c r="K27" s="39"/>
      <c r="L27" s="39"/>
    </row>
    <row r="28" spans="1:12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</row>
    <row r="29" spans="1:12" x14ac:dyDescent="0.25">
      <c r="A29" s="46" t="s">
        <v>173</v>
      </c>
      <c r="B29" s="47"/>
      <c r="C29" s="48" t="s">
        <v>2</v>
      </c>
      <c r="D29" s="49" t="str">
        <f>+D2</f>
        <v>VC2H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L29" si="24">+I2</f>
        <v>piso1</v>
      </c>
      <c r="J29" s="49" t="str">
        <f t="shared" si="24"/>
        <v>piso1</v>
      </c>
      <c r="K29" s="49" t="str">
        <f t="shared" si="24"/>
        <v>piso12</v>
      </c>
      <c r="L29" s="49" t="str">
        <f t="shared" si="24"/>
        <v>piso12</v>
      </c>
    </row>
    <row r="30" spans="1:12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57"/>
      <c r="G30" s="58">
        <f t="shared" ref="G30:G36" si="25">ROUNDUP(SUM(I30:IF30),1)</f>
        <v>42.9</v>
      </c>
      <c r="H30" s="59" t="s">
        <v>34</v>
      </c>
      <c r="I30" s="56">
        <f t="shared" ref="I30:L30" si="26">IF(I$9=1,IF(I$10=10,((I$6*0.05)+(I$5*I$6))*I$7,0),0)</f>
        <v>12.87</v>
      </c>
      <c r="J30" s="56">
        <f t="shared" si="26"/>
        <v>11.77</v>
      </c>
      <c r="K30" s="56">
        <f t="shared" si="26"/>
        <v>9.129999999999999</v>
      </c>
      <c r="L30" s="56">
        <f t="shared" si="26"/>
        <v>9.129999999999999</v>
      </c>
    </row>
    <row r="31" spans="1:12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57"/>
      <c r="G31" s="58">
        <f t="shared" si="25"/>
        <v>0</v>
      </c>
      <c r="H31" s="59" t="s">
        <v>34</v>
      </c>
      <c r="I31" s="56">
        <f t="shared" ref="I31:L31" si="27">IF(I$9=2,IF(I$10=10,((I$6*0.05)+(I$5*I$6))*I$7,0),0)</f>
        <v>0</v>
      </c>
      <c r="J31" s="56">
        <f t="shared" si="27"/>
        <v>0</v>
      </c>
      <c r="K31" s="56">
        <f t="shared" si="27"/>
        <v>0</v>
      </c>
      <c r="L31" s="56">
        <f t="shared" si="27"/>
        <v>0</v>
      </c>
    </row>
    <row r="32" spans="1:12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57"/>
      <c r="G32" s="58">
        <f t="shared" si="25"/>
        <v>0</v>
      </c>
      <c r="H32" s="59" t="s">
        <v>34</v>
      </c>
      <c r="I32" s="56">
        <f t="shared" ref="I32:L32" si="28">IF(I$9=1,IF(I$10=8,((I$6*0.05)+(I$5*I$6))*I$7,0),0)</f>
        <v>0</v>
      </c>
      <c r="J32" s="56">
        <f t="shared" si="28"/>
        <v>0</v>
      </c>
      <c r="K32" s="56">
        <f t="shared" si="28"/>
        <v>0</v>
      </c>
      <c r="L32" s="56">
        <f t="shared" si="28"/>
        <v>0</v>
      </c>
    </row>
    <row r="33" spans="1:12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57"/>
      <c r="G33" s="58">
        <f t="shared" si="25"/>
        <v>0</v>
      </c>
      <c r="H33" s="59" t="s">
        <v>34</v>
      </c>
      <c r="I33" s="56">
        <f t="shared" ref="I33:L33" si="29">IF(I$9=2,IF(I$10=8,((I$6*0.05)+(I$5*I$6))*I$7,0),0)</f>
        <v>0</v>
      </c>
      <c r="J33" s="56">
        <f t="shared" si="29"/>
        <v>0</v>
      </c>
      <c r="K33" s="56">
        <f t="shared" si="29"/>
        <v>0</v>
      </c>
      <c r="L33" s="56">
        <f t="shared" si="29"/>
        <v>0</v>
      </c>
    </row>
    <row r="34" spans="1:12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57"/>
      <c r="G34" s="58">
        <f t="shared" si="25"/>
        <v>42.5</v>
      </c>
      <c r="H34" s="55" t="s">
        <v>34</v>
      </c>
      <c r="I34" s="56">
        <f t="shared" ref="I34:L34" si="30">+I12</f>
        <v>12.76</v>
      </c>
      <c r="J34" s="56">
        <f t="shared" si="30"/>
        <v>11.66</v>
      </c>
      <c r="K34" s="56">
        <f t="shared" si="30"/>
        <v>9.02</v>
      </c>
      <c r="L34" s="56">
        <f t="shared" si="30"/>
        <v>9.02</v>
      </c>
    </row>
    <row r="35" spans="1:12" ht="15.6" x14ac:dyDescent="0.3">
      <c r="A35" s="157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57"/>
      <c r="G35" s="58">
        <f t="shared" si="25"/>
        <v>15.8</v>
      </c>
      <c r="H35" s="55" t="s">
        <v>13</v>
      </c>
      <c r="I35" s="56">
        <f t="shared" ref="I35:L35" si="31">I7*(4*I5+2*I6)/6</f>
        <v>4.6000000000000005</v>
      </c>
      <c r="J35" s="56">
        <f t="shared" si="31"/>
        <v>4.2666666666666666</v>
      </c>
      <c r="K35" s="56">
        <f t="shared" si="31"/>
        <v>3.4666666666666663</v>
      </c>
      <c r="L35" s="56">
        <f t="shared" si="31"/>
        <v>3.4666666666666663</v>
      </c>
    </row>
    <row r="36" spans="1:12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57"/>
      <c r="G36" s="58">
        <f t="shared" si="25"/>
        <v>9.5</v>
      </c>
      <c r="H36" s="55" t="s">
        <v>16</v>
      </c>
      <c r="I36" s="56">
        <f t="shared" ref="I36:L36" si="32">+I35*12/20</f>
        <v>2.7600000000000002</v>
      </c>
      <c r="J36" s="56">
        <f t="shared" si="32"/>
        <v>2.56</v>
      </c>
      <c r="K36" s="56">
        <f t="shared" si="32"/>
        <v>2.0799999999999996</v>
      </c>
      <c r="L36" s="56">
        <f t="shared" si="32"/>
        <v>2.0799999999999996</v>
      </c>
    </row>
    <row r="37" spans="1:12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57"/>
      <c r="G37" s="58" t="e">
        <f>ROUNDUP(SUM(I37:IF37)/(6*B37),1)</f>
        <v>#DIV/0!</v>
      </c>
      <c r="H37" s="55" t="s">
        <v>214</v>
      </c>
      <c r="I37" s="56">
        <f>2*I$6*$B37*I$7</f>
        <v>0</v>
      </c>
      <c r="J37" s="56">
        <f>2*J$6*J$7</f>
        <v>4.4000000000000004</v>
      </c>
      <c r="K37" s="56">
        <f t="shared" ref="K37:L37" si="33">2*K$6*$B37*K$7</f>
        <v>0</v>
      </c>
      <c r="L37" s="56">
        <f t="shared" si="33"/>
        <v>0</v>
      </c>
    </row>
    <row r="38" spans="1:12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57"/>
      <c r="G38" s="58">
        <f>ROUNDUP(SUM(I38:IF38),1)</f>
        <v>66.7</v>
      </c>
      <c r="H38" s="55" t="s">
        <v>19</v>
      </c>
      <c r="I38" s="56">
        <f t="shared" ref="I38:L38" si="34">(I6+3*I5)*I7</f>
        <v>19.599999999999998</v>
      </c>
      <c r="J38" s="56">
        <f t="shared" si="34"/>
        <v>18.099999999999998</v>
      </c>
      <c r="K38" s="56">
        <f t="shared" si="34"/>
        <v>14.5</v>
      </c>
      <c r="L38" s="56">
        <f t="shared" si="34"/>
        <v>14.5</v>
      </c>
    </row>
    <row r="39" spans="1:12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57"/>
      <c r="G39" s="58">
        <f>ROUNDUP(SUM(I39:IF39),1)</f>
        <v>140.5</v>
      </c>
      <c r="H39" s="55" t="s">
        <v>27</v>
      </c>
      <c r="I39" s="56">
        <f t="shared" ref="I39:L40" si="35">I$7*(2*I$5+2*I$6)/0.4</f>
        <v>40</v>
      </c>
      <c r="J39" s="56">
        <f>J$7*(2*J$5+2*J$6)/0.4</f>
        <v>37.5</v>
      </c>
      <c r="K39" s="56">
        <f t="shared" si="35"/>
        <v>31.499999999999996</v>
      </c>
      <c r="L39" s="56">
        <f t="shared" si="35"/>
        <v>31.499999999999996</v>
      </c>
    </row>
    <row r="40" spans="1:12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57"/>
      <c r="G40" s="58">
        <f>ROUNDUP(SUM(I40:IF40),1)</f>
        <v>140.5</v>
      </c>
      <c r="H40" s="55" t="s">
        <v>27</v>
      </c>
      <c r="I40" s="56">
        <f t="shared" si="35"/>
        <v>40</v>
      </c>
      <c r="J40" s="56">
        <f>J$7*(2*J$5+2*J$6)/0.4</f>
        <v>37.5</v>
      </c>
      <c r="K40" s="56">
        <f t="shared" si="35"/>
        <v>31.499999999999996</v>
      </c>
      <c r="L40" s="56">
        <f t="shared" si="35"/>
        <v>31.499999999999996</v>
      </c>
    </row>
    <row r="41" spans="1:12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57"/>
      <c r="G41" s="58">
        <f>ROUNDUP(SUM(I41:IF41)/(6*B41),1)</f>
        <v>2.6</v>
      </c>
      <c r="H41" s="55" t="s">
        <v>214</v>
      </c>
      <c r="I41" s="56">
        <f>2*I$6*$B41*I$7</f>
        <v>0.66439999999999999</v>
      </c>
      <c r="J41" s="56">
        <f>+J$6*$B41*J$7</f>
        <v>0.3322</v>
      </c>
      <c r="K41" s="56">
        <f t="shared" ref="K41:L41" si="36">2*K$6*$B41*K$7</f>
        <v>0.66439999999999999</v>
      </c>
      <c r="L41" s="56">
        <f t="shared" si="36"/>
        <v>0.66439999999999999</v>
      </c>
    </row>
    <row r="42" spans="1:12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57"/>
      <c r="G42" s="58">
        <f>ROUNDUP(SUM(I42:IF42)/(6*B42),1)</f>
        <v>1.1000000000000001</v>
      </c>
      <c r="H42" s="55" t="s">
        <v>214</v>
      </c>
      <c r="I42" s="56">
        <f>+I$6*$B42*I$7</f>
        <v>0.56540000000000001</v>
      </c>
      <c r="J42" s="56"/>
      <c r="K42" s="56">
        <f t="shared" ref="K42:L42" si="37">+K$6*$B42*K$7</f>
        <v>0.56540000000000001</v>
      </c>
      <c r="L42" s="56">
        <f t="shared" si="37"/>
        <v>0.56540000000000001</v>
      </c>
    </row>
    <row r="43" spans="1:12" ht="15.6" x14ac:dyDescent="0.3">
      <c r="A43" s="53" t="s">
        <v>403</v>
      </c>
      <c r="B43" s="54">
        <v>2</v>
      </c>
      <c r="C43" s="55" t="s">
        <v>19</v>
      </c>
      <c r="D43" s="56">
        <f>D$5*D$7</f>
        <v>2</v>
      </c>
      <c r="E43" s="56">
        <f>E$5*E$7</f>
        <v>3.5</v>
      </c>
      <c r="F43" s="57"/>
      <c r="G43" s="58">
        <f>ROUNDUP(SUM(I43:IF43)/6,1)</f>
        <v>3.3000000000000003</v>
      </c>
      <c r="H43" s="55" t="s">
        <v>214</v>
      </c>
      <c r="I43" s="56">
        <f t="shared" ref="I43:L43" si="38">I$5*I$7</f>
        <v>5.8</v>
      </c>
      <c r="J43" s="56">
        <f t="shared" si="38"/>
        <v>5.3</v>
      </c>
      <c r="K43" s="56">
        <f t="shared" si="38"/>
        <v>4.0999999999999996</v>
      </c>
      <c r="L43" s="56">
        <f t="shared" si="38"/>
        <v>4.0999999999999996</v>
      </c>
    </row>
    <row r="44" spans="1:12" ht="15.6" x14ac:dyDescent="0.3">
      <c r="A44" s="53"/>
      <c r="B44" s="54"/>
      <c r="C44" s="55" t="s">
        <v>186</v>
      </c>
      <c r="D44" s="56"/>
      <c r="E44" s="56"/>
      <c r="F44" s="57"/>
      <c r="G44" s="58">
        <f>ROUNDUP(SUM(I44:IF44)/6,1)</f>
        <v>0</v>
      </c>
      <c r="H44" s="55" t="s">
        <v>214</v>
      </c>
      <c r="I44" s="56"/>
      <c r="J44" s="56"/>
      <c r="K44" s="56"/>
      <c r="L44" s="56"/>
    </row>
    <row r="45" spans="1:12" ht="15.6" x14ac:dyDescent="0.3">
      <c r="A45" s="53"/>
      <c r="B45" s="54"/>
      <c r="C45" s="55" t="s">
        <v>186</v>
      </c>
      <c r="D45" s="56"/>
      <c r="E45" s="56"/>
      <c r="F45" s="57"/>
      <c r="G45" s="58">
        <f>ROUNDUP(SUM(I45:IF45)/6,1)</f>
        <v>0</v>
      </c>
      <c r="H45" s="55" t="s">
        <v>214</v>
      </c>
      <c r="I45" s="56"/>
      <c r="J45" s="56"/>
      <c r="K45" s="56"/>
      <c r="L45" s="56"/>
    </row>
    <row r="46" spans="1:12" ht="15.6" x14ac:dyDescent="0.3">
      <c r="A46" s="53"/>
      <c r="B46" s="54"/>
      <c r="C46" s="55" t="s">
        <v>186</v>
      </c>
      <c r="D46" s="56"/>
      <c r="E46" s="56"/>
      <c r="F46" s="57"/>
      <c r="G46" s="58">
        <f>ROUNDUP(SUM(I46:IF46)/6,1)</f>
        <v>0</v>
      </c>
      <c r="H46" s="55" t="s">
        <v>214</v>
      </c>
      <c r="I46" s="56"/>
      <c r="J46" s="56"/>
      <c r="K46" s="56"/>
      <c r="L46" s="56"/>
    </row>
    <row r="47" spans="1:12" ht="15.6" x14ac:dyDescent="0.3">
      <c r="A47" s="60">
        <v>1510</v>
      </c>
      <c r="B47" s="54"/>
      <c r="C47" s="61" t="s">
        <v>27</v>
      </c>
      <c r="D47" s="56">
        <f>IF(D$8=1,+D$7,0)</f>
        <v>0</v>
      </c>
      <c r="E47" s="56">
        <f>IF(E$8=1,+E$7,0)</f>
        <v>0</v>
      </c>
      <c r="F47" s="57"/>
      <c r="G47" s="58">
        <f t="shared" ref="G47:G53" si="39">ROUNDUP(SUM(I47:IF47),1)</f>
        <v>4</v>
      </c>
      <c r="H47" s="61" t="s">
        <v>27</v>
      </c>
      <c r="I47" s="56">
        <f t="shared" ref="I47:L48" si="40">IF(I$8=1,+I$7,0)</f>
        <v>1</v>
      </c>
      <c r="J47" s="56">
        <f>IF(J$8=1,+J$7,0)</f>
        <v>1</v>
      </c>
      <c r="K47" s="56">
        <f t="shared" si="40"/>
        <v>1</v>
      </c>
      <c r="L47" s="56">
        <f t="shared" si="40"/>
        <v>1</v>
      </c>
    </row>
    <row r="48" spans="1:12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57"/>
      <c r="G48" s="58">
        <f t="shared" si="39"/>
        <v>3</v>
      </c>
      <c r="H48" s="61" t="s">
        <v>27</v>
      </c>
      <c r="I48" s="56">
        <f t="shared" si="40"/>
        <v>1</v>
      </c>
      <c r="J48" s="56"/>
      <c r="K48" s="56">
        <f t="shared" si="40"/>
        <v>1</v>
      </c>
      <c r="L48" s="56">
        <f t="shared" si="40"/>
        <v>1</v>
      </c>
    </row>
    <row r="49" spans="1:12" ht="15.6" x14ac:dyDescent="0.3">
      <c r="A49" s="53" t="s">
        <v>207</v>
      </c>
      <c r="B49" s="6"/>
      <c r="C49" s="61" t="s">
        <v>27</v>
      </c>
      <c r="D49" s="56">
        <f>IF(D$8=1,+D$7,0)</f>
        <v>0</v>
      </c>
      <c r="E49" s="56"/>
      <c r="F49" s="57"/>
      <c r="G49" s="58">
        <f t="shared" si="39"/>
        <v>1</v>
      </c>
      <c r="H49" s="61" t="s">
        <v>27</v>
      </c>
      <c r="I49" s="56"/>
      <c r="J49" s="56">
        <f>IF(J$8=1,+J$7,0)</f>
        <v>1</v>
      </c>
      <c r="K49" s="56"/>
      <c r="L49" s="56"/>
    </row>
    <row r="50" spans="1:12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57"/>
      <c r="G50" s="58">
        <f t="shared" si="39"/>
        <v>14</v>
      </c>
      <c r="H50" s="55" t="s">
        <v>27</v>
      </c>
      <c r="I50" s="56">
        <f>4*I7</f>
        <v>4</v>
      </c>
      <c r="J50" s="56">
        <f>2*J7</f>
        <v>2</v>
      </c>
      <c r="K50" s="56">
        <f t="shared" ref="K50:L50" si="41">4*K7</f>
        <v>4</v>
      </c>
      <c r="L50" s="56">
        <f t="shared" si="41"/>
        <v>4</v>
      </c>
    </row>
    <row r="51" spans="1:12" ht="15.6" x14ac:dyDescent="0.3">
      <c r="A51" s="53" t="s">
        <v>209</v>
      </c>
      <c r="B51" s="54"/>
      <c r="C51" s="55" t="s">
        <v>27</v>
      </c>
      <c r="D51" s="56">
        <f>IF(D$8=2,+D$7,0)</f>
        <v>1</v>
      </c>
      <c r="E51" s="56">
        <f>IF(E$8=2,2*E$7,0)</f>
        <v>2</v>
      </c>
      <c r="F51" s="57"/>
      <c r="G51" s="58">
        <f t="shared" si="39"/>
        <v>0</v>
      </c>
      <c r="H51" s="55" t="s">
        <v>27</v>
      </c>
      <c r="I51" s="56">
        <f t="shared" ref="I51:L53" si="42">IF(I$8=2,2*I$7,0)</f>
        <v>0</v>
      </c>
      <c r="J51" s="56">
        <f>IF(J$8=2,+J$7,0)</f>
        <v>0</v>
      </c>
      <c r="K51" s="56">
        <f t="shared" si="42"/>
        <v>0</v>
      </c>
      <c r="L51" s="56">
        <f t="shared" si="42"/>
        <v>0</v>
      </c>
    </row>
    <row r="52" spans="1:12" ht="15.6" x14ac:dyDescent="0.3">
      <c r="A52" s="53">
        <v>1335</v>
      </c>
      <c r="B52" s="54"/>
      <c r="C52" s="55" t="s">
        <v>27</v>
      </c>
      <c r="D52" s="56">
        <f>IF(D$8=2,+D$7,0)</f>
        <v>1</v>
      </c>
      <c r="E52" s="56">
        <f>IF(E$8=2,2*E$7,0)</f>
        <v>2</v>
      </c>
      <c r="F52" s="57"/>
      <c r="G52" s="58">
        <f t="shared" si="39"/>
        <v>0</v>
      </c>
      <c r="H52" s="55" t="s">
        <v>27</v>
      </c>
      <c r="I52" s="56">
        <f t="shared" si="42"/>
        <v>0</v>
      </c>
      <c r="J52" s="56">
        <f>IF(J$8=2,+J$7,0)</f>
        <v>0</v>
      </c>
      <c r="K52" s="56">
        <f t="shared" si="42"/>
        <v>0</v>
      </c>
      <c r="L52" s="56">
        <f t="shared" si="42"/>
        <v>0</v>
      </c>
    </row>
    <row r="53" spans="1:12" s="62" customFormat="1" ht="15.6" x14ac:dyDescent="0.3">
      <c r="A53" s="53" t="s">
        <v>210</v>
      </c>
      <c r="B53" s="54"/>
      <c r="C53" s="55" t="s">
        <v>27</v>
      </c>
      <c r="D53" s="56">
        <f>IF(D$8=2,+D$7,0)</f>
        <v>1</v>
      </c>
      <c r="E53" s="56">
        <f>IF(E$8=2,2*E$7,0)</f>
        <v>2</v>
      </c>
      <c r="F53" s="57"/>
      <c r="G53" s="58">
        <f t="shared" si="39"/>
        <v>0</v>
      </c>
      <c r="H53" s="55" t="s">
        <v>27</v>
      </c>
      <c r="I53" s="56">
        <f t="shared" si="42"/>
        <v>0</v>
      </c>
      <c r="J53" s="56">
        <f>IF(J$8=2,+J$7,0)</f>
        <v>0</v>
      </c>
      <c r="K53" s="56">
        <f t="shared" si="42"/>
        <v>0</v>
      </c>
      <c r="L53" s="56">
        <f t="shared" si="42"/>
        <v>0</v>
      </c>
    </row>
    <row r="54" spans="1:12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</row>
    <row r="55" spans="1:12" x14ac:dyDescent="0.25">
      <c r="C55" s="63"/>
      <c r="D55" s="63"/>
      <c r="E55" s="63"/>
      <c r="I55" s="63"/>
      <c r="J55" s="63"/>
      <c r="K55" s="63"/>
      <c r="L55" s="63"/>
    </row>
    <row r="56" spans="1:12" x14ac:dyDescent="0.25">
      <c r="C56" s="65"/>
      <c r="D56" s="65"/>
      <c r="E56" s="65"/>
      <c r="I56" s="65"/>
      <c r="J56" s="65"/>
      <c r="K56" s="65"/>
      <c r="L56" s="65"/>
    </row>
    <row r="57" spans="1:12" ht="15.6" x14ac:dyDescent="0.3">
      <c r="A57" s="66" t="s">
        <v>188</v>
      </c>
      <c r="B57" s="67"/>
      <c r="C57" s="68"/>
      <c r="D57" s="68">
        <f>SUM(D58:D81)</f>
        <v>257.9446053333333</v>
      </c>
      <c r="E57" s="68">
        <f>SUM(E58:E81)</f>
        <v>486.16572399999995</v>
      </c>
      <c r="G57" s="117">
        <f>SUM(G58:G81)</f>
        <v>488.70000000000005</v>
      </c>
      <c r="I57" s="68">
        <f t="shared" ref="I57:L57" si="43">SUM(I58:I81)</f>
        <v>747.27913599999999</v>
      </c>
      <c r="J57" s="68">
        <f t="shared" si="43"/>
        <v>671.98597066666673</v>
      </c>
      <c r="K57" s="68">
        <f t="shared" si="43"/>
        <v>546.19520266666666</v>
      </c>
      <c r="L57" s="68">
        <f t="shared" si="43"/>
        <v>546.19520266666666</v>
      </c>
    </row>
    <row r="58" spans="1:12" x14ac:dyDescent="0.25">
      <c r="A58" s="53" t="s">
        <v>33</v>
      </c>
      <c r="B58" s="54"/>
      <c r="C58" s="69">
        <f>+'Costo M.P.yMat.'!D29</f>
        <v>35.89</v>
      </c>
      <c r="D58" s="56">
        <f t="shared" ref="D58:D81" si="44">+$C58*D30</f>
        <v>154.50645000000003</v>
      </c>
      <c r="E58" s="56">
        <f t="shared" ref="E58:E81" si="45">+$C58*E30</f>
        <v>293.04184999999995</v>
      </c>
      <c r="G58" s="117"/>
      <c r="I58" s="56">
        <f t="shared" ref="I58:J81" si="46">+$C58*I30</f>
        <v>461.90429999999998</v>
      </c>
      <c r="J58" s="56">
        <f t="shared" si="46"/>
        <v>422.42529999999999</v>
      </c>
      <c r="K58" s="56">
        <f t="shared" ref="K58:L58" si="47">+$C58*K30</f>
        <v>327.67569999999995</v>
      </c>
      <c r="L58" s="56">
        <f t="shared" si="47"/>
        <v>327.67569999999995</v>
      </c>
    </row>
    <row r="59" spans="1:12" x14ac:dyDescent="0.25">
      <c r="A59" s="53" t="s">
        <v>40</v>
      </c>
      <c r="B59" s="54"/>
      <c r="C59" s="69">
        <f>+'Costo M.P.yMat.'!D34</f>
        <v>46.66</v>
      </c>
      <c r="D59" s="56">
        <f t="shared" si="44"/>
        <v>0</v>
      </c>
      <c r="E59" s="56">
        <f t="shared" si="45"/>
        <v>0</v>
      </c>
      <c r="G59" s="117">
        <f>ROUNDUP(SUM(I59:IF59),1)</f>
        <v>0</v>
      </c>
      <c r="I59" s="56">
        <f t="shared" si="46"/>
        <v>0</v>
      </c>
      <c r="J59" s="56">
        <f t="shared" si="46"/>
        <v>0</v>
      </c>
      <c r="K59" s="56">
        <f t="shared" ref="K59:L59" si="48">+$C59*K31</f>
        <v>0</v>
      </c>
      <c r="L59" s="56">
        <f t="shared" si="48"/>
        <v>0</v>
      </c>
    </row>
    <row r="60" spans="1:12" x14ac:dyDescent="0.25">
      <c r="A60" s="53" t="s">
        <v>36</v>
      </c>
      <c r="B60" s="54"/>
      <c r="C60" s="69">
        <f>+'Costo M.P.yMat.'!D30</f>
        <v>34.699999999999996</v>
      </c>
      <c r="D60" s="56">
        <f t="shared" si="44"/>
        <v>0</v>
      </c>
      <c r="E60" s="56">
        <f t="shared" si="45"/>
        <v>0</v>
      </c>
      <c r="G60" s="117">
        <f>ROUNDUP(SUM(I60:IF60),1)</f>
        <v>0</v>
      </c>
      <c r="I60" s="56">
        <f t="shared" si="46"/>
        <v>0</v>
      </c>
      <c r="J60" s="56">
        <f t="shared" si="46"/>
        <v>0</v>
      </c>
      <c r="K60" s="56">
        <f t="shared" ref="K60:L60" si="49">+$C60*K32</f>
        <v>0</v>
      </c>
      <c r="L60" s="56">
        <f t="shared" si="49"/>
        <v>0</v>
      </c>
    </row>
    <row r="61" spans="1:12" x14ac:dyDescent="0.25">
      <c r="A61" s="53" t="s">
        <v>41</v>
      </c>
      <c r="B61" s="54"/>
      <c r="C61" s="69">
        <f>+'Costo M.P.yMat.'!D35</f>
        <v>45.46</v>
      </c>
      <c r="D61" s="56">
        <f t="shared" si="44"/>
        <v>0</v>
      </c>
      <c r="E61" s="56">
        <f t="shared" si="45"/>
        <v>0</v>
      </c>
      <c r="G61" s="117">
        <f>ROUNDUP(SUM(I61:IF61),1)</f>
        <v>0</v>
      </c>
      <c r="I61" s="56">
        <f t="shared" si="46"/>
        <v>0</v>
      </c>
      <c r="J61" s="56">
        <f t="shared" si="46"/>
        <v>0</v>
      </c>
      <c r="K61" s="56">
        <f t="shared" ref="K61:L61" si="50">+$C61*K33</f>
        <v>0</v>
      </c>
      <c r="L61" s="56">
        <f t="shared" si="50"/>
        <v>0</v>
      </c>
    </row>
    <row r="62" spans="1:12" x14ac:dyDescent="0.25">
      <c r="A62" s="53" t="s">
        <v>182</v>
      </c>
      <c r="B62" s="54"/>
      <c r="C62" s="69">
        <f>+'Costo M.P.yMat.'!D87</f>
        <v>11.4</v>
      </c>
      <c r="D62" s="56">
        <f t="shared" si="44"/>
        <v>47.88</v>
      </c>
      <c r="E62" s="56">
        <f>+$C62*E34</f>
        <v>91.77</v>
      </c>
      <c r="G62" s="117"/>
      <c r="I62" s="56">
        <f t="shared" si="46"/>
        <v>145.464</v>
      </c>
      <c r="J62" s="56">
        <f t="shared" si="46"/>
        <v>132.92400000000001</v>
      </c>
      <c r="K62" s="56">
        <f t="shared" ref="K62:L62" si="51">+$C62*K34</f>
        <v>102.828</v>
      </c>
      <c r="L62" s="56">
        <f t="shared" si="51"/>
        <v>102.828</v>
      </c>
    </row>
    <row r="63" spans="1:12" x14ac:dyDescent="0.25">
      <c r="A63" s="53" t="s">
        <v>190</v>
      </c>
      <c r="B63" s="54"/>
      <c r="C63" s="69">
        <f>+'Costo M.P.yMat.'!D7</f>
        <v>3.3099999999999996</v>
      </c>
      <c r="D63" s="56">
        <f t="shared" si="44"/>
        <v>6.7303333333333324</v>
      </c>
      <c r="E63" s="56">
        <f t="shared" si="45"/>
        <v>10.260999999999999</v>
      </c>
      <c r="G63" s="117">
        <f t="shared" ref="G63:G81" si="52">ROUNDUP(SUM(I63:IF63),1)</f>
        <v>52.300000000000004</v>
      </c>
      <c r="I63" s="56">
        <f t="shared" si="46"/>
        <v>15.225999999999999</v>
      </c>
      <c r="J63" s="56">
        <f t="shared" si="46"/>
        <v>14.122666666666666</v>
      </c>
      <c r="K63" s="56">
        <f t="shared" ref="K63:L63" si="53">+$C63*K35</f>
        <v>11.474666666666664</v>
      </c>
      <c r="L63" s="56">
        <f t="shared" si="53"/>
        <v>11.474666666666664</v>
      </c>
    </row>
    <row r="64" spans="1:12" x14ac:dyDescent="0.25">
      <c r="A64" s="53" t="s">
        <v>15</v>
      </c>
      <c r="B64" s="54"/>
      <c r="C64" s="69">
        <f>+'Costo M.P.yMat.'!D9</f>
        <v>0.75</v>
      </c>
      <c r="D64" s="56">
        <f t="shared" si="44"/>
        <v>0.91500000000000004</v>
      </c>
      <c r="E64" s="56">
        <f t="shared" si="45"/>
        <v>1.395</v>
      </c>
      <c r="G64" s="117">
        <f t="shared" si="52"/>
        <v>7.1999999999999993</v>
      </c>
      <c r="I64" s="56">
        <f t="shared" si="46"/>
        <v>2.0700000000000003</v>
      </c>
      <c r="J64" s="56">
        <f t="shared" si="46"/>
        <v>1.92</v>
      </c>
      <c r="K64" s="56">
        <f t="shared" ref="K64:L64" si="54">+$C64*K36</f>
        <v>1.5599999999999996</v>
      </c>
      <c r="L64" s="56">
        <f t="shared" si="54"/>
        <v>1.5599999999999996</v>
      </c>
    </row>
    <row r="65" spans="1:12" x14ac:dyDescent="0.25">
      <c r="A65" s="53" t="s">
        <v>295</v>
      </c>
      <c r="B65" s="54"/>
      <c r="C65" s="69">
        <f>+'Costo M.P.yMat.'!D11</f>
        <v>1.29</v>
      </c>
      <c r="D65" s="56">
        <f t="shared" si="44"/>
        <v>5.4180000000000001</v>
      </c>
      <c r="E65" s="56">
        <f t="shared" si="45"/>
        <v>5.9339999999999993</v>
      </c>
      <c r="G65" s="117">
        <f t="shared" si="52"/>
        <v>5.6999999999999993</v>
      </c>
      <c r="H65" s="25" t="e">
        <f>+#REF!/6</f>
        <v>#REF!</v>
      </c>
      <c r="I65" s="56">
        <f t="shared" si="46"/>
        <v>0</v>
      </c>
      <c r="J65" s="56">
        <f t="shared" si="46"/>
        <v>5.676000000000001</v>
      </c>
      <c r="K65" s="56">
        <f t="shared" ref="K65:L65" si="55">+$C65*K37</f>
        <v>0</v>
      </c>
      <c r="L65" s="56">
        <f t="shared" si="55"/>
        <v>0</v>
      </c>
    </row>
    <row r="66" spans="1:12" x14ac:dyDescent="0.25">
      <c r="A66" s="53" t="s">
        <v>25</v>
      </c>
      <c r="B66" s="54"/>
      <c r="C66" s="69">
        <f>+'Costo M.P.yMat.'!D17</f>
        <v>0.18000000000000002</v>
      </c>
      <c r="D66" s="56">
        <f t="shared" si="44"/>
        <v>1.4580000000000002</v>
      </c>
      <c r="E66" s="56">
        <f t="shared" si="45"/>
        <v>2.3040000000000003</v>
      </c>
      <c r="G66" s="117">
        <f t="shared" si="52"/>
        <v>12.1</v>
      </c>
      <c r="I66" s="56">
        <f t="shared" si="46"/>
        <v>3.528</v>
      </c>
      <c r="J66" s="56">
        <f t="shared" si="46"/>
        <v>3.258</v>
      </c>
      <c r="K66" s="56">
        <f t="shared" ref="K66:L66" si="56">+$C66*K38</f>
        <v>2.6100000000000003</v>
      </c>
      <c r="L66" s="56">
        <f t="shared" si="56"/>
        <v>2.6100000000000003</v>
      </c>
    </row>
    <row r="67" spans="1:12" x14ac:dyDescent="0.25">
      <c r="A67" s="53" t="s">
        <v>29</v>
      </c>
      <c r="B67" s="54"/>
      <c r="C67" s="69">
        <f>+'Costo M.P.yMat.'!D19</f>
        <v>0.04</v>
      </c>
      <c r="D67" s="56">
        <f t="shared" si="44"/>
        <v>0.81999999999999984</v>
      </c>
      <c r="E67" s="56">
        <f t="shared" si="45"/>
        <v>1.1599999999999999</v>
      </c>
      <c r="G67" s="117">
        <f t="shared" si="52"/>
        <v>5.6999999999999993</v>
      </c>
      <c r="I67" s="56">
        <f t="shared" si="46"/>
        <v>1.6</v>
      </c>
      <c r="J67" s="56">
        <f t="shared" si="46"/>
        <v>1.5</v>
      </c>
      <c r="K67" s="56">
        <f t="shared" ref="K67:L67" si="57">+$C67*K39</f>
        <v>1.2599999999999998</v>
      </c>
      <c r="L67" s="56">
        <f t="shared" si="57"/>
        <v>1.2599999999999998</v>
      </c>
    </row>
    <row r="68" spans="1:12" x14ac:dyDescent="0.25">
      <c r="A68" s="53" t="s">
        <v>30</v>
      </c>
      <c r="B68" s="54"/>
      <c r="C68" s="69">
        <f>+'Costo M.P.yMat.'!D20</f>
        <v>0.04</v>
      </c>
      <c r="D68" s="56">
        <f t="shared" si="44"/>
        <v>0.81999999999999984</v>
      </c>
      <c r="E68" s="56">
        <f t="shared" si="45"/>
        <v>1.1599999999999999</v>
      </c>
      <c r="G68" s="117">
        <f t="shared" si="52"/>
        <v>5.6999999999999993</v>
      </c>
      <c r="I68" s="56">
        <f t="shared" si="46"/>
        <v>1.6</v>
      </c>
      <c r="J68" s="56">
        <f t="shared" si="46"/>
        <v>1.5</v>
      </c>
      <c r="K68" s="56">
        <f t="shared" ref="K68:L68" si="58">+$C68*K40</f>
        <v>1.2599999999999998</v>
      </c>
      <c r="L68" s="56">
        <f t="shared" si="58"/>
        <v>1.2599999999999998</v>
      </c>
    </row>
    <row r="69" spans="1:12" x14ac:dyDescent="0.25">
      <c r="A69" s="53" t="s">
        <v>260</v>
      </c>
      <c r="B69" s="54">
        <v>0.151</v>
      </c>
      <c r="C69" s="69">
        <f>+'Costo M.P.yMat.'!$D$101</f>
        <v>8.82</v>
      </c>
      <c r="D69" s="56">
        <f t="shared" si="44"/>
        <v>2.7968220000000001</v>
      </c>
      <c r="E69" s="56">
        <f t="shared" si="45"/>
        <v>6.126371999999999</v>
      </c>
      <c r="G69" s="117">
        <f t="shared" si="52"/>
        <v>20.6</v>
      </c>
      <c r="I69" s="56">
        <f t="shared" si="46"/>
        <v>5.8600080000000005</v>
      </c>
      <c r="J69" s="56">
        <f t="shared" si="46"/>
        <v>2.9300040000000003</v>
      </c>
      <c r="K69" s="56">
        <f t="shared" ref="K69:L69" si="59">+$C69*K41</f>
        <v>5.8600080000000005</v>
      </c>
      <c r="L69" s="56">
        <f t="shared" si="59"/>
        <v>5.8600080000000005</v>
      </c>
    </row>
    <row r="70" spans="1:12" x14ac:dyDescent="0.25">
      <c r="A70" s="53" t="s">
        <v>261</v>
      </c>
      <c r="B70" s="54">
        <v>0.25700000000000001</v>
      </c>
      <c r="C70" s="69">
        <f>+'Costo M.P.yMat.'!$D$101</f>
        <v>8.82</v>
      </c>
      <c r="D70" s="56">
        <f t="shared" si="44"/>
        <v>0</v>
      </c>
      <c r="E70" s="56">
        <f t="shared" si="45"/>
        <v>5.2135020000000001</v>
      </c>
      <c r="G70" s="117">
        <f t="shared" si="52"/>
        <v>15</v>
      </c>
      <c r="I70" s="56">
        <f t="shared" si="46"/>
        <v>4.986828</v>
      </c>
      <c r="J70" s="56">
        <f t="shared" si="46"/>
        <v>0</v>
      </c>
      <c r="K70" s="56">
        <f t="shared" ref="K70:L70" si="60">+$C70*K42</f>
        <v>4.986828</v>
      </c>
      <c r="L70" s="56">
        <f t="shared" si="60"/>
        <v>4.986828</v>
      </c>
    </row>
    <row r="71" spans="1:12" x14ac:dyDescent="0.25">
      <c r="A71" s="53" t="s">
        <v>403</v>
      </c>
      <c r="B71" s="54"/>
      <c r="C71" s="69">
        <f>+'Costo M.P.yMat.'!D41</f>
        <v>10.799999999999999</v>
      </c>
      <c r="D71" s="56">
        <f t="shared" si="44"/>
        <v>21.599999999999998</v>
      </c>
      <c r="E71" s="56">
        <f t="shared" si="45"/>
        <v>37.799999999999997</v>
      </c>
      <c r="G71" s="117">
        <f t="shared" si="52"/>
        <v>208.5</v>
      </c>
      <c r="I71" s="56">
        <f t="shared" si="46"/>
        <v>62.639999999999993</v>
      </c>
      <c r="J71" s="56">
        <f t="shared" si="46"/>
        <v>57.239999999999995</v>
      </c>
      <c r="K71" s="56">
        <f t="shared" ref="K71:L71" si="61">+$C71*K43</f>
        <v>44.279999999999994</v>
      </c>
      <c r="L71" s="56">
        <f t="shared" si="61"/>
        <v>44.279999999999994</v>
      </c>
    </row>
    <row r="72" spans="1:12" x14ac:dyDescent="0.25">
      <c r="A72" s="53"/>
      <c r="B72" s="54">
        <v>0.40799999999999997</v>
      </c>
      <c r="C72" s="69">
        <f>+'Costo M.P.yMat.'!$K$101</f>
        <v>0</v>
      </c>
      <c r="D72" s="56"/>
      <c r="E72" s="56"/>
      <c r="G72" s="117">
        <f t="shared" si="52"/>
        <v>0</v>
      </c>
      <c r="H72" s="25" t="e">
        <f>+#REF!/6</f>
        <v>#REF!</v>
      </c>
      <c r="I72" s="56"/>
      <c r="J72" s="56"/>
      <c r="K72" s="56"/>
      <c r="L72" s="56"/>
    </row>
    <row r="73" spans="1:12" x14ac:dyDescent="0.25">
      <c r="A73" s="53"/>
      <c r="B73" s="54">
        <v>0.47799999999999998</v>
      </c>
      <c r="C73" s="69">
        <f>+'Costo M.P.yMat.'!$K$101</f>
        <v>0</v>
      </c>
      <c r="D73" s="56"/>
      <c r="E73" s="56"/>
      <c r="G73" s="117">
        <f t="shared" si="52"/>
        <v>0</v>
      </c>
      <c r="H73" s="25" t="e">
        <f>+#REF!/6</f>
        <v>#REF!</v>
      </c>
      <c r="I73" s="56"/>
      <c r="J73" s="56"/>
      <c r="K73" s="56"/>
      <c r="L73" s="56"/>
    </row>
    <row r="74" spans="1:12" x14ac:dyDescent="0.25">
      <c r="A74" s="53"/>
      <c r="B74" s="54">
        <v>0.125</v>
      </c>
      <c r="C74" s="69">
        <f>+'Costo M.P.yMat.'!$K$101</f>
        <v>0</v>
      </c>
      <c r="D74" s="56"/>
      <c r="E74" s="56"/>
      <c r="G74" s="117">
        <f t="shared" si="52"/>
        <v>0</v>
      </c>
      <c r="H74" s="25" t="e">
        <f>+#REF!/6</f>
        <v>#REF!</v>
      </c>
      <c r="I74" s="56"/>
      <c r="J74" s="56"/>
      <c r="K74" s="56"/>
      <c r="L74" s="56"/>
    </row>
    <row r="75" spans="1:12" x14ac:dyDescent="0.25">
      <c r="A75" s="60">
        <v>1510</v>
      </c>
      <c r="B75" s="54"/>
      <c r="C75" s="69">
        <f>+'Costo M.P.yMat.'!D76</f>
        <v>20.680000000000003</v>
      </c>
      <c r="D75" s="56">
        <f t="shared" si="44"/>
        <v>0</v>
      </c>
      <c r="E75" s="56">
        <f t="shared" si="45"/>
        <v>0</v>
      </c>
      <c r="G75" s="117">
        <f t="shared" si="52"/>
        <v>82.8</v>
      </c>
      <c r="I75" s="56">
        <f t="shared" si="46"/>
        <v>20.680000000000003</v>
      </c>
      <c r="J75" s="56">
        <f t="shared" si="46"/>
        <v>20.680000000000003</v>
      </c>
      <c r="K75" s="56">
        <f t="shared" ref="K75:L75" si="62">+$C75*K47</f>
        <v>20.680000000000003</v>
      </c>
      <c r="L75" s="56">
        <f t="shared" si="62"/>
        <v>20.680000000000003</v>
      </c>
    </row>
    <row r="76" spans="1:12" x14ac:dyDescent="0.25">
      <c r="A76" s="60">
        <v>1511</v>
      </c>
      <c r="B76" s="54"/>
      <c r="C76" s="69">
        <f>+'Costo M.P.yMat.'!D77</f>
        <v>11</v>
      </c>
      <c r="D76" s="56">
        <f t="shared" si="44"/>
        <v>0</v>
      </c>
      <c r="E76" s="56">
        <f t="shared" si="45"/>
        <v>0</v>
      </c>
      <c r="G76" s="117">
        <f t="shared" si="52"/>
        <v>33</v>
      </c>
      <c r="I76" s="56">
        <f t="shared" si="46"/>
        <v>11</v>
      </c>
      <c r="J76" s="56">
        <f t="shared" si="46"/>
        <v>0</v>
      </c>
      <c r="K76" s="56">
        <f t="shared" ref="K76:L76" si="63">+$C76*K48</f>
        <v>11</v>
      </c>
      <c r="L76" s="56">
        <f t="shared" si="63"/>
        <v>11</v>
      </c>
    </row>
    <row r="77" spans="1:12" x14ac:dyDescent="0.25">
      <c r="A77" s="53" t="s">
        <v>207</v>
      </c>
      <c r="B77" s="6"/>
      <c r="C77" s="69">
        <f>+'Costo M.P.yMat.'!D78</f>
        <v>2.4499999999999997</v>
      </c>
      <c r="D77" s="56">
        <f t="shared" si="44"/>
        <v>0</v>
      </c>
      <c r="E77" s="56">
        <f t="shared" si="45"/>
        <v>0</v>
      </c>
      <c r="G77" s="117">
        <f t="shared" si="52"/>
        <v>2.5</v>
      </c>
      <c r="I77" s="56">
        <f t="shared" si="46"/>
        <v>0</v>
      </c>
      <c r="J77" s="56">
        <f t="shared" si="46"/>
        <v>2.4499999999999997</v>
      </c>
      <c r="K77" s="56">
        <f t="shared" ref="K77:L77" si="64">+$C77*K49</f>
        <v>0</v>
      </c>
      <c r="L77" s="56">
        <f t="shared" si="64"/>
        <v>0</v>
      </c>
    </row>
    <row r="78" spans="1:12" x14ac:dyDescent="0.25">
      <c r="A78" s="53" t="s">
        <v>208</v>
      </c>
      <c r="B78" s="54"/>
      <c r="C78" s="69">
        <f>+'Costo M.P.yMat.'!D62</f>
        <v>2.6799999999999997</v>
      </c>
      <c r="D78" s="56">
        <f t="shared" si="44"/>
        <v>5.3599999999999994</v>
      </c>
      <c r="E78" s="56">
        <f t="shared" si="45"/>
        <v>10.719999999999999</v>
      </c>
      <c r="G78" s="117">
        <f t="shared" si="52"/>
        <v>37.6</v>
      </c>
      <c r="I78" s="56">
        <f t="shared" si="46"/>
        <v>10.719999999999999</v>
      </c>
      <c r="J78" s="56">
        <f t="shared" si="46"/>
        <v>5.3599999999999994</v>
      </c>
      <c r="K78" s="56">
        <f t="shared" ref="K78:L78" si="65">+$C78*K50</f>
        <v>10.719999999999999</v>
      </c>
      <c r="L78" s="56">
        <f t="shared" si="65"/>
        <v>10.719999999999999</v>
      </c>
    </row>
    <row r="79" spans="1:12" x14ac:dyDescent="0.25">
      <c r="A79" s="53" t="s">
        <v>209</v>
      </c>
      <c r="B79" s="54"/>
      <c r="C79" s="69">
        <f>+'Costo M.P.yMat.'!D82</f>
        <v>2.4499999999999997</v>
      </c>
      <c r="D79" s="56">
        <f t="shared" si="44"/>
        <v>2.4499999999999997</v>
      </c>
      <c r="E79" s="56">
        <f t="shared" si="45"/>
        <v>4.8999999999999995</v>
      </c>
      <c r="G79" s="117">
        <f t="shared" si="52"/>
        <v>0</v>
      </c>
      <c r="I79" s="56">
        <f t="shared" si="46"/>
        <v>0</v>
      </c>
      <c r="J79" s="56">
        <f t="shared" si="46"/>
        <v>0</v>
      </c>
      <c r="K79" s="56">
        <f t="shared" ref="K79:L79" si="66">+$C79*K51</f>
        <v>0</v>
      </c>
      <c r="L79" s="56">
        <f t="shared" si="66"/>
        <v>0</v>
      </c>
    </row>
    <row r="80" spans="1:12" x14ac:dyDescent="0.25">
      <c r="A80" s="53">
        <v>1335</v>
      </c>
      <c r="B80" s="54"/>
      <c r="C80" s="69">
        <f>+'Costo M.P.yMat.'!D73</f>
        <v>5.87</v>
      </c>
      <c r="D80" s="56">
        <f t="shared" si="44"/>
        <v>5.87</v>
      </c>
      <c r="E80" s="56">
        <f t="shared" si="45"/>
        <v>11.74</v>
      </c>
      <c r="G80" s="117">
        <f t="shared" si="52"/>
        <v>0</v>
      </c>
      <c r="I80" s="56">
        <f t="shared" si="46"/>
        <v>0</v>
      </c>
      <c r="J80" s="56">
        <f t="shared" si="46"/>
        <v>0</v>
      </c>
      <c r="K80" s="56">
        <f t="shared" ref="K80:L80" si="67">+$C80*K52</f>
        <v>0</v>
      </c>
      <c r="L80" s="56">
        <f t="shared" si="67"/>
        <v>0</v>
      </c>
    </row>
    <row r="81" spans="1:12" x14ac:dyDescent="0.25">
      <c r="A81" s="53" t="s">
        <v>210</v>
      </c>
      <c r="B81" s="54"/>
      <c r="C81" s="69">
        <f>+'Costo M.P.yMat.'!D54</f>
        <v>1.32</v>
      </c>
      <c r="D81" s="56">
        <f t="shared" si="44"/>
        <v>1.32</v>
      </c>
      <c r="E81" s="56">
        <f t="shared" si="45"/>
        <v>2.64</v>
      </c>
      <c r="G81" s="117">
        <f t="shared" si="52"/>
        <v>0</v>
      </c>
      <c r="I81" s="56">
        <f t="shared" si="46"/>
        <v>0</v>
      </c>
      <c r="J81" s="56">
        <f t="shared" si="46"/>
        <v>0</v>
      </c>
      <c r="K81" s="56">
        <f t="shared" ref="K81:L81" si="68">+$C81*K53</f>
        <v>0</v>
      </c>
      <c r="L81" s="56">
        <f t="shared" si="68"/>
        <v>0</v>
      </c>
    </row>
    <row r="82" spans="1:12" x14ac:dyDescent="0.25">
      <c r="C82" s="70"/>
      <c r="D82" s="65"/>
      <c r="E82" s="65"/>
      <c r="I82" s="65"/>
      <c r="J82" s="65"/>
      <c r="K82" s="65"/>
      <c r="L82" s="65"/>
    </row>
    <row r="83" spans="1:12" x14ac:dyDescent="0.25">
      <c r="C83" s="70"/>
      <c r="D83" s="65"/>
      <c r="E83" s="65"/>
      <c r="I83" s="65"/>
      <c r="J83" s="65"/>
      <c r="K83" s="65"/>
      <c r="L83" s="65"/>
    </row>
    <row r="84" spans="1:12" s="72" customFormat="1" ht="15.6" x14ac:dyDescent="0.3">
      <c r="A84" s="66" t="s">
        <v>187</v>
      </c>
      <c r="B84" s="67"/>
      <c r="C84" s="68"/>
      <c r="D84" s="68">
        <f>SUM(D85:D108)</f>
        <v>277.72080533333337</v>
      </c>
      <c r="E84" s="68">
        <f>SUM(E85:E108)</f>
        <v>498.95332400000001</v>
      </c>
      <c r="F84" s="71"/>
      <c r="G84" s="118">
        <f t="shared" ref="G84:G108" si="69">ROUNDUP(SUM(I84:IF84),1)</f>
        <v>2428.2999999999997</v>
      </c>
      <c r="I84" s="68">
        <f t="shared" ref="I84:L84" si="70">SUM(I85:I108)</f>
        <v>712.45153599999992</v>
      </c>
      <c r="J84" s="68">
        <f t="shared" si="70"/>
        <v>673.62537066666675</v>
      </c>
      <c r="K84" s="68">
        <f t="shared" si="70"/>
        <v>521.07460266666658</v>
      </c>
      <c r="L84" s="68">
        <f t="shared" si="70"/>
        <v>521.07460266666658</v>
      </c>
    </row>
    <row r="85" spans="1:12" x14ac:dyDescent="0.25">
      <c r="A85" s="53" t="s">
        <v>33</v>
      </c>
      <c r="B85" s="54"/>
      <c r="C85" s="69">
        <f>+'Costo M.P.yMat.'!E29</f>
        <v>34.65</v>
      </c>
      <c r="D85" s="56">
        <f t="shared" ref="D85:D108" si="71">+$C85*D30</f>
        <v>149.16825000000003</v>
      </c>
      <c r="E85" s="56">
        <f t="shared" ref="E85:E108" si="72">+$C85*E30</f>
        <v>282.91724999999997</v>
      </c>
      <c r="G85" s="117">
        <f t="shared" si="69"/>
        <v>1486.5</v>
      </c>
      <c r="I85" s="56">
        <f t="shared" ref="I85:J108" si="73">+$C85*I30</f>
        <v>445.94549999999998</v>
      </c>
      <c r="J85" s="56">
        <f t="shared" si="73"/>
        <v>407.83049999999997</v>
      </c>
      <c r="K85" s="56">
        <f t="shared" ref="K85:L85" si="74">+$C85*K30</f>
        <v>316.35449999999997</v>
      </c>
      <c r="L85" s="56">
        <f t="shared" si="74"/>
        <v>316.35449999999997</v>
      </c>
    </row>
    <row r="86" spans="1:12" x14ac:dyDescent="0.25">
      <c r="A86" s="53" t="s">
        <v>40</v>
      </c>
      <c r="B86" s="54"/>
      <c r="C86" s="69">
        <f>+'Costo M.P.yMat.'!E34</f>
        <v>45.05</v>
      </c>
      <c r="D86" s="56">
        <f t="shared" si="71"/>
        <v>0</v>
      </c>
      <c r="E86" s="56">
        <f t="shared" si="72"/>
        <v>0</v>
      </c>
      <c r="G86" s="117">
        <f t="shared" si="69"/>
        <v>0</v>
      </c>
      <c r="I86" s="56">
        <f t="shared" si="73"/>
        <v>0</v>
      </c>
      <c r="J86" s="56">
        <f t="shared" si="73"/>
        <v>0</v>
      </c>
      <c r="K86" s="56">
        <f t="shared" ref="K86:L86" si="75">+$C86*K31</f>
        <v>0</v>
      </c>
      <c r="L86" s="56">
        <f t="shared" si="75"/>
        <v>0</v>
      </c>
    </row>
    <row r="87" spans="1:12" x14ac:dyDescent="0.25">
      <c r="A87" s="53" t="s">
        <v>36</v>
      </c>
      <c r="B87" s="54"/>
      <c r="C87" s="69">
        <f>+'Costo M.P.yMat.'!E30</f>
        <v>33.5</v>
      </c>
      <c r="D87" s="56">
        <f t="shared" si="71"/>
        <v>0</v>
      </c>
      <c r="E87" s="56">
        <f t="shared" si="72"/>
        <v>0</v>
      </c>
      <c r="G87" s="117">
        <f t="shared" si="69"/>
        <v>0</v>
      </c>
      <c r="I87" s="56">
        <f t="shared" si="73"/>
        <v>0</v>
      </c>
      <c r="J87" s="56">
        <f t="shared" si="73"/>
        <v>0</v>
      </c>
      <c r="K87" s="56">
        <f t="shared" ref="K87:L87" si="76">+$C87*K32</f>
        <v>0</v>
      </c>
      <c r="L87" s="56">
        <f t="shared" si="76"/>
        <v>0</v>
      </c>
    </row>
    <row r="88" spans="1:12" x14ac:dyDescent="0.25">
      <c r="A88" s="53" t="s">
        <v>41</v>
      </c>
      <c r="B88" s="54"/>
      <c r="C88" s="69">
        <f>+'Costo M.P.yMat.'!E35</f>
        <v>43.89</v>
      </c>
      <c r="D88" s="56">
        <f t="shared" si="71"/>
        <v>0</v>
      </c>
      <c r="E88" s="56">
        <f t="shared" si="72"/>
        <v>0</v>
      </c>
      <c r="G88" s="117">
        <f t="shared" si="69"/>
        <v>0</v>
      </c>
      <c r="I88" s="56">
        <f t="shared" si="73"/>
        <v>0</v>
      </c>
      <c r="J88" s="56">
        <f t="shared" si="73"/>
        <v>0</v>
      </c>
      <c r="K88" s="56">
        <f t="shared" ref="K88:L88" si="77">+$C88*K33</f>
        <v>0</v>
      </c>
      <c r="L88" s="56">
        <f t="shared" si="77"/>
        <v>0</v>
      </c>
    </row>
    <row r="89" spans="1:12" x14ac:dyDescent="0.25">
      <c r="A89" s="53" t="s">
        <v>182</v>
      </c>
      <c r="B89" s="54"/>
      <c r="C89" s="69">
        <f>+'Costo M.P.yMat.'!E87</f>
        <v>11</v>
      </c>
      <c r="D89" s="56">
        <f t="shared" si="71"/>
        <v>46.2</v>
      </c>
      <c r="E89" s="56">
        <f t="shared" si="72"/>
        <v>88.549999999999983</v>
      </c>
      <c r="G89" s="117">
        <f t="shared" si="69"/>
        <v>467.1</v>
      </c>
      <c r="I89" s="56">
        <f t="shared" si="73"/>
        <v>140.35999999999999</v>
      </c>
      <c r="J89" s="56">
        <f t="shared" si="73"/>
        <v>128.26</v>
      </c>
      <c r="K89" s="56">
        <f t="shared" ref="K89:L89" si="78">+$C89*K34</f>
        <v>99.22</v>
      </c>
      <c r="L89" s="56">
        <f t="shared" si="78"/>
        <v>99.22</v>
      </c>
    </row>
    <row r="90" spans="1:12" x14ac:dyDescent="0.25">
      <c r="A90" s="53" t="s">
        <v>190</v>
      </c>
      <c r="B90" s="54"/>
      <c r="C90" s="69">
        <f>+'Costo M.P.yMat.'!E7</f>
        <v>3.19</v>
      </c>
      <c r="D90" s="56">
        <f t="shared" si="71"/>
        <v>6.4863333333333326</v>
      </c>
      <c r="E90" s="56">
        <f t="shared" si="72"/>
        <v>9.8889999999999993</v>
      </c>
      <c r="G90" s="117">
        <f t="shared" si="69"/>
        <v>50.5</v>
      </c>
      <c r="I90" s="56">
        <f t="shared" si="73"/>
        <v>14.674000000000001</v>
      </c>
      <c r="J90" s="56">
        <f t="shared" si="73"/>
        <v>13.610666666666667</v>
      </c>
      <c r="K90" s="56">
        <f t="shared" ref="K90:L90" si="79">+$C90*K35</f>
        <v>11.058666666666666</v>
      </c>
      <c r="L90" s="56">
        <f t="shared" si="79"/>
        <v>11.058666666666666</v>
      </c>
    </row>
    <row r="91" spans="1:12" x14ac:dyDescent="0.25">
      <c r="A91" s="53" t="s">
        <v>15</v>
      </c>
      <c r="B91" s="54"/>
      <c r="C91" s="69">
        <f>+'Costo M.P.yMat.'!E9</f>
        <v>0.72</v>
      </c>
      <c r="D91" s="56">
        <f t="shared" si="71"/>
        <v>0.87839999999999996</v>
      </c>
      <c r="E91" s="56">
        <f t="shared" si="72"/>
        <v>1.3391999999999999</v>
      </c>
      <c r="G91" s="117">
        <f t="shared" si="69"/>
        <v>6.8999999999999995</v>
      </c>
      <c r="I91" s="56">
        <f t="shared" si="73"/>
        <v>1.9872000000000001</v>
      </c>
      <c r="J91" s="56">
        <f t="shared" si="73"/>
        <v>1.8431999999999999</v>
      </c>
      <c r="K91" s="56">
        <f t="shared" ref="K91:L91" si="80">+$C91*K36</f>
        <v>1.4975999999999996</v>
      </c>
      <c r="L91" s="56">
        <f t="shared" si="80"/>
        <v>1.4975999999999996</v>
      </c>
    </row>
    <row r="92" spans="1:12" x14ac:dyDescent="0.25">
      <c r="A92" s="53" t="s">
        <v>295</v>
      </c>
      <c r="B92" s="54">
        <v>0.2</v>
      </c>
      <c r="C92" s="69">
        <f>+'Costo M.P.yMat.'!$D$101</f>
        <v>8.82</v>
      </c>
      <c r="D92" s="56">
        <f t="shared" si="71"/>
        <v>37.044000000000004</v>
      </c>
      <c r="E92" s="56">
        <f t="shared" si="72"/>
        <v>40.571999999999996</v>
      </c>
      <c r="G92" s="117">
        <f t="shared" si="69"/>
        <v>38.9</v>
      </c>
      <c r="I92" s="56">
        <f t="shared" si="73"/>
        <v>0</v>
      </c>
      <c r="J92" s="56">
        <f t="shared" si="73"/>
        <v>38.808000000000007</v>
      </c>
      <c r="K92" s="56">
        <f t="shared" ref="K92:L92" si="81">+$C92*K37</f>
        <v>0</v>
      </c>
      <c r="L92" s="56">
        <f t="shared" si="81"/>
        <v>0</v>
      </c>
    </row>
    <row r="93" spans="1:12" x14ac:dyDescent="0.25">
      <c r="A93" s="53" t="s">
        <v>25</v>
      </c>
      <c r="B93" s="54"/>
      <c r="C93" s="69">
        <f>+'Costo M.P.yMat.'!E17</f>
        <v>0.17</v>
      </c>
      <c r="D93" s="56">
        <f t="shared" si="71"/>
        <v>1.377</v>
      </c>
      <c r="E93" s="56">
        <f t="shared" si="72"/>
        <v>2.1760000000000002</v>
      </c>
      <c r="G93" s="117">
        <f t="shared" si="69"/>
        <v>11.4</v>
      </c>
      <c r="I93" s="56">
        <f t="shared" si="73"/>
        <v>3.3319999999999999</v>
      </c>
      <c r="J93" s="56">
        <f t="shared" si="73"/>
        <v>3.077</v>
      </c>
      <c r="K93" s="56">
        <f t="shared" ref="K93:L93" si="82">+$C93*K38</f>
        <v>2.4650000000000003</v>
      </c>
      <c r="L93" s="56">
        <f t="shared" si="82"/>
        <v>2.4650000000000003</v>
      </c>
    </row>
    <row r="94" spans="1:12" x14ac:dyDescent="0.25">
      <c r="A94" s="53" t="s">
        <v>29</v>
      </c>
      <c r="B94" s="54"/>
      <c r="C94" s="69">
        <f>+'Costo M.P.yMat.'!E19</f>
        <v>0.04</v>
      </c>
      <c r="D94" s="56">
        <f t="shared" si="71"/>
        <v>0.81999999999999984</v>
      </c>
      <c r="E94" s="56">
        <f t="shared" si="72"/>
        <v>1.1599999999999999</v>
      </c>
      <c r="G94" s="117">
        <f t="shared" si="69"/>
        <v>5.6999999999999993</v>
      </c>
      <c r="I94" s="56">
        <f t="shared" si="73"/>
        <v>1.6</v>
      </c>
      <c r="J94" s="56">
        <f t="shared" si="73"/>
        <v>1.5</v>
      </c>
      <c r="K94" s="56">
        <f t="shared" ref="K94:L94" si="83">+$C94*K39</f>
        <v>1.2599999999999998</v>
      </c>
      <c r="L94" s="56">
        <f t="shared" si="83"/>
        <v>1.2599999999999998</v>
      </c>
    </row>
    <row r="95" spans="1:12" x14ac:dyDescent="0.25">
      <c r="A95" s="53" t="s">
        <v>30</v>
      </c>
      <c r="B95" s="54"/>
      <c r="C95" s="69">
        <f>+'Costo M.P.yMat.'!E20</f>
        <v>0.04</v>
      </c>
      <c r="D95" s="56">
        <f t="shared" si="71"/>
        <v>0.81999999999999984</v>
      </c>
      <c r="E95" s="56">
        <f t="shared" si="72"/>
        <v>1.1599999999999999</v>
      </c>
      <c r="G95" s="117">
        <f t="shared" si="69"/>
        <v>5.6999999999999993</v>
      </c>
      <c r="I95" s="56">
        <f t="shared" si="73"/>
        <v>1.6</v>
      </c>
      <c r="J95" s="56">
        <f t="shared" si="73"/>
        <v>1.5</v>
      </c>
      <c r="K95" s="56">
        <f t="shared" ref="K95:L95" si="84">+$C95*K40</f>
        <v>1.2599999999999998</v>
      </c>
      <c r="L95" s="56">
        <f t="shared" si="84"/>
        <v>1.2599999999999998</v>
      </c>
    </row>
    <row r="96" spans="1:12" x14ac:dyDescent="0.25">
      <c r="A96" s="53" t="s">
        <v>260</v>
      </c>
      <c r="B96" s="54">
        <v>0.151</v>
      </c>
      <c r="C96" s="69">
        <f>+'Costo M.P.yMat.'!$D$101</f>
        <v>8.82</v>
      </c>
      <c r="D96" s="56">
        <f t="shared" si="71"/>
        <v>2.7968220000000001</v>
      </c>
      <c r="E96" s="56">
        <f t="shared" si="72"/>
        <v>6.126371999999999</v>
      </c>
      <c r="G96" s="117">
        <f t="shared" si="69"/>
        <v>20.6</v>
      </c>
      <c r="I96" s="56">
        <f t="shared" si="73"/>
        <v>5.8600080000000005</v>
      </c>
      <c r="J96" s="56">
        <f t="shared" si="73"/>
        <v>2.9300040000000003</v>
      </c>
      <c r="K96" s="56">
        <f t="shared" ref="K96:L96" si="85">+$C96*K41</f>
        <v>5.8600080000000005</v>
      </c>
      <c r="L96" s="56">
        <f t="shared" si="85"/>
        <v>5.8600080000000005</v>
      </c>
    </row>
    <row r="97" spans="1:12" x14ac:dyDescent="0.25">
      <c r="A97" s="53" t="s">
        <v>261</v>
      </c>
      <c r="B97" s="54">
        <v>0.25700000000000001</v>
      </c>
      <c r="C97" s="69">
        <f>+'Costo M.P.yMat.'!$D$101</f>
        <v>8.82</v>
      </c>
      <c r="D97" s="56">
        <f t="shared" si="71"/>
        <v>0</v>
      </c>
      <c r="E97" s="56">
        <f t="shared" si="72"/>
        <v>5.2135020000000001</v>
      </c>
      <c r="G97" s="117">
        <f t="shared" si="69"/>
        <v>15</v>
      </c>
      <c r="I97" s="56">
        <f t="shared" si="73"/>
        <v>4.986828</v>
      </c>
      <c r="J97" s="56">
        <f t="shared" si="73"/>
        <v>0</v>
      </c>
      <c r="K97" s="56">
        <f t="shared" ref="K97:L97" si="86">+$C97*K42</f>
        <v>4.986828</v>
      </c>
      <c r="L97" s="56">
        <f t="shared" si="86"/>
        <v>4.986828</v>
      </c>
    </row>
    <row r="98" spans="1:12" x14ac:dyDescent="0.25">
      <c r="A98" s="53" t="s">
        <v>203</v>
      </c>
      <c r="B98" s="54">
        <v>1.0129999999999999</v>
      </c>
      <c r="C98" s="69">
        <f>+'Costo M.P.yMat.'!$D$101</f>
        <v>8.82</v>
      </c>
      <c r="D98" s="56">
        <f t="shared" si="71"/>
        <v>17.64</v>
      </c>
      <c r="E98" s="56">
        <f t="shared" si="72"/>
        <v>30.87</v>
      </c>
      <c r="G98" s="117">
        <f t="shared" si="69"/>
        <v>170.29999999999998</v>
      </c>
      <c r="I98" s="56">
        <f t="shared" si="73"/>
        <v>51.155999999999999</v>
      </c>
      <c r="J98" s="56">
        <f t="shared" si="73"/>
        <v>46.746000000000002</v>
      </c>
      <c r="K98" s="56">
        <f t="shared" ref="K98:L98" si="87">+$C98*K43</f>
        <v>36.161999999999999</v>
      </c>
      <c r="L98" s="56">
        <f t="shared" si="87"/>
        <v>36.161999999999999</v>
      </c>
    </row>
    <row r="99" spans="1:12" x14ac:dyDescent="0.25">
      <c r="A99" s="53" t="s">
        <v>204</v>
      </c>
      <c r="B99" s="54">
        <v>0.40799999999999997</v>
      </c>
      <c r="C99" s="69">
        <f>+'Costo M.P.yMat.'!$D$101</f>
        <v>8.82</v>
      </c>
      <c r="D99" s="56">
        <f t="shared" si="71"/>
        <v>0</v>
      </c>
      <c r="E99" s="56">
        <f t="shared" si="72"/>
        <v>0</v>
      </c>
      <c r="G99" s="117">
        <f t="shared" si="69"/>
        <v>0</v>
      </c>
      <c r="I99" s="56">
        <f t="shared" si="73"/>
        <v>0</v>
      </c>
      <c r="J99" s="56">
        <f t="shared" si="73"/>
        <v>0</v>
      </c>
      <c r="K99" s="56">
        <f t="shared" ref="K99:L99" si="88">+$C99*K44</f>
        <v>0</v>
      </c>
      <c r="L99" s="56">
        <f t="shared" si="88"/>
        <v>0</v>
      </c>
    </row>
    <row r="100" spans="1:12" x14ac:dyDescent="0.25">
      <c r="A100" s="53" t="s">
        <v>205</v>
      </c>
      <c r="B100" s="54">
        <v>0.47799999999999998</v>
      </c>
      <c r="C100" s="69">
        <f>+'Costo M.P.yMat.'!$D$101</f>
        <v>8.82</v>
      </c>
      <c r="D100" s="56">
        <f t="shared" si="71"/>
        <v>0</v>
      </c>
      <c r="E100" s="56">
        <f t="shared" si="72"/>
        <v>0</v>
      </c>
      <c r="G100" s="117">
        <f t="shared" si="69"/>
        <v>0</v>
      </c>
      <c r="I100" s="56">
        <f t="shared" si="73"/>
        <v>0</v>
      </c>
      <c r="J100" s="56">
        <f t="shared" si="73"/>
        <v>0</v>
      </c>
      <c r="K100" s="56">
        <f t="shared" ref="K100:L100" si="89">+$C100*K45</f>
        <v>0</v>
      </c>
      <c r="L100" s="56">
        <f t="shared" si="89"/>
        <v>0</v>
      </c>
    </row>
    <row r="101" spans="1:12" x14ac:dyDescent="0.25">
      <c r="A101" s="53" t="s">
        <v>206</v>
      </c>
      <c r="B101" s="54">
        <v>0.125</v>
      </c>
      <c r="C101" s="69">
        <f>+'Costo M.P.yMat.'!$D$101</f>
        <v>8.82</v>
      </c>
      <c r="D101" s="56">
        <f t="shared" si="71"/>
        <v>0</v>
      </c>
      <c r="E101" s="56">
        <f t="shared" si="72"/>
        <v>0</v>
      </c>
      <c r="G101" s="117">
        <f t="shared" si="69"/>
        <v>0</v>
      </c>
      <c r="I101" s="56">
        <f t="shared" si="73"/>
        <v>0</v>
      </c>
      <c r="J101" s="56">
        <f t="shared" si="73"/>
        <v>0</v>
      </c>
      <c r="K101" s="56">
        <f t="shared" ref="K101:L101" si="90">+$C101*K46</f>
        <v>0</v>
      </c>
      <c r="L101" s="56">
        <f t="shared" si="90"/>
        <v>0</v>
      </c>
    </row>
    <row r="102" spans="1:12" x14ac:dyDescent="0.25">
      <c r="A102" s="60">
        <v>1510</v>
      </c>
      <c r="B102" s="54"/>
      <c r="C102" s="69">
        <f>+'Costo M.P.yMat.'!E76</f>
        <v>19.970000000000002</v>
      </c>
      <c r="D102" s="56">
        <f t="shared" si="71"/>
        <v>0</v>
      </c>
      <c r="E102" s="56">
        <f t="shared" si="72"/>
        <v>0</v>
      </c>
      <c r="G102" s="117">
        <f t="shared" si="69"/>
        <v>79.899999999999991</v>
      </c>
      <c r="I102" s="56">
        <f t="shared" si="73"/>
        <v>19.970000000000002</v>
      </c>
      <c r="J102" s="56">
        <f t="shared" si="73"/>
        <v>19.970000000000002</v>
      </c>
      <c r="K102" s="56">
        <f t="shared" ref="K102:L102" si="91">+$C102*K47</f>
        <v>19.970000000000002</v>
      </c>
      <c r="L102" s="56">
        <f t="shared" si="91"/>
        <v>19.970000000000002</v>
      </c>
    </row>
    <row r="103" spans="1:12" x14ac:dyDescent="0.25">
      <c r="A103" s="60">
        <v>1511</v>
      </c>
      <c r="B103" s="54"/>
      <c r="C103" s="69">
        <f>+'Costo M.P.yMat.'!E77</f>
        <v>10.62</v>
      </c>
      <c r="D103" s="56">
        <f t="shared" si="71"/>
        <v>0</v>
      </c>
      <c r="E103" s="56">
        <f t="shared" si="72"/>
        <v>0</v>
      </c>
      <c r="G103" s="117">
        <f t="shared" si="69"/>
        <v>31.900000000000002</v>
      </c>
      <c r="I103" s="56">
        <f t="shared" si="73"/>
        <v>10.62</v>
      </c>
      <c r="J103" s="56">
        <f t="shared" si="73"/>
        <v>0</v>
      </c>
      <c r="K103" s="56">
        <f t="shared" ref="K103:L103" si="92">+$C103*K48</f>
        <v>10.62</v>
      </c>
      <c r="L103" s="56">
        <f t="shared" si="92"/>
        <v>10.62</v>
      </c>
    </row>
    <row r="104" spans="1:12" x14ac:dyDescent="0.25">
      <c r="A104" s="53" t="s">
        <v>207</v>
      </c>
      <c r="B104" s="6"/>
      <c r="C104" s="69">
        <f>+'Costo M.P.yMat.'!E78</f>
        <v>2.3699999999999997</v>
      </c>
      <c r="D104" s="56">
        <f t="shared" si="71"/>
        <v>0</v>
      </c>
      <c r="E104" s="56">
        <f t="shared" si="72"/>
        <v>0</v>
      </c>
      <c r="G104" s="117">
        <f t="shared" si="69"/>
        <v>2.4</v>
      </c>
      <c r="I104" s="56">
        <f t="shared" si="73"/>
        <v>0</v>
      </c>
      <c r="J104" s="56">
        <f t="shared" si="73"/>
        <v>2.3699999999999997</v>
      </c>
      <c r="K104" s="56">
        <f t="shared" ref="K104:L104" si="93">+$C104*K49</f>
        <v>0</v>
      </c>
      <c r="L104" s="56">
        <f t="shared" si="93"/>
        <v>0</v>
      </c>
    </row>
    <row r="105" spans="1:12" x14ac:dyDescent="0.25">
      <c r="A105" s="53" t="s">
        <v>208</v>
      </c>
      <c r="B105" s="54"/>
      <c r="C105" s="69">
        <f>+'Costo M.P.yMat.'!E62</f>
        <v>2.59</v>
      </c>
      <c r="D105" s="56">
        <f t="shared" si="71"/>
        <v>5.18</v>
      </c>
      <c r="E105" s="56">
        <f t="shared" si="72"/>
        <v>10.36</v>
      </c>
      <c r="G105" s="117">
        <f t="shared" si="69"/>
        <v>36.300000000000004</v>
      </c>
      <c r="I105" s="56">
        <f t="shared" si="73"/>
        <v>10.36</v>
      </c>
      <c r="J105" s="56">
        <f t="shared" si="73"/>
        <v>5.18</v>
      </c>
      <c r="K105" s="56">
        <f t="shared" ref="K105:L105" si="94">+$C105*K50</f>
        <v>10.36</v>
      </c>
      <c r="L105" s="56">
        <f t="shared" si="94"/>
        <v>10.36</v>
      </c>
    </row>
    <row r="106" spans="1:12" x14ac:dyDescent="0.25">
      <c r="A106" s="53" t="s">
        <v>209</v>
      </c>
      <c r="B106" s="54"/>
      <c r="C106" s="69">
        <f>+'Costo M.P.yMat.'!E82</f>
        <v>2.3699999999999997</v>
      </c>
      <c r="D106" s="56">
        <f t="shared" si="71"/>
        <v>2.3699999999999997</v>
      </c>
      <c r="E106" s="56">
        <f t="shared" si="72"/>
        <v>4.7399999999999993</v>
      </c>
      <c r="G106" s="117">
        <f t="shared" si="69"/>
        <v>0</v>
      </c>
      <c r="I106" s="56">
        <f t="shared" si="73"/>
        <v>0</v>
      </c>
      <c r="J106" s="56">
        <f t="shared" si="73"/>
        <v>0</v>
      </c>
      <c r="K106" s="56">
        <f t="shared" ref="K106:L106" si="95">+$C106*K51</f>
        <v>0</v>
      </c>
      <c r="L106" s="56">
        <f t="shared" si="95"/>
        <v>0</v>
      </c>
    </row>
    <row r="107" spans="1:12" x14ac:dyDescent="0.25">
      <c r="A107" s="53">
        <v>1335</v>
      </c>
      <c r="B107" s="54"/>
      <c r="C107" s="69">
        <f>+'Costo M.P.yMat.'!E73</f>
        <v>5.67</v>
      </c>
      <c r="D107" s="56">
        <f t="shared" si="71"/>
        <v>5.67</v>
      </c>
      <c r="E107" s="56">
        <f t="shared" si="72"/>
        <v>11.34</v>
      </c>
      <c r="G107" s="117">
        <f t="shared" si="69"/>
        <v>0</v>
      </c>
      <c r="I107" s="56">
        <f t="shared" si="73"/>
        <v>0</v>
      </c>
      <c r="J107" s="56">
        <f t="shared" si="73"/>
        <v>0</v>
      </c>
      <c r="K107" s="56">
        <f t="shared" ref="K107:L107" si="96">+$C107*K52</f>
        <v>0</v>
      </c>
      <c r="L107" s="56">
        <f t="shared" si="96"/>
        <v>0</v>
      </c>
    </row>
    <row r="108" spans="1:12" x14ac:dyDescent="0.25">
      <c r="A108" s="53" t="s">
        <v>210</v>
      </c>
      <c r="B108" s="54"/>
      <c r="C108" s="69">
        <f>+'Costo M.P.yMat.'!E54</f>
        <v>1.27</v>
      </c>
      <c r="D108" s="56">
        <f t="shared" si="71"/>
        <v>1.27</v>
      </c>
      <c r="E108" s="56">
        <f t="shared" si="72"/>
        <v>2.54</v>
      </c>
      <c r="G108" s="117">
        <f t="shared" si="69"/>
        <v>0</v>
      </c>
      <c r="I108" s="56">
        <f t="shared" si="73"/>
        <v>0</v>
      </c>
      <c r="J108" s="56">
        <f t="shared" si="73"/>
        <v>0</v>
      </c>
      <c r="K108" s="56">
        <f t="shared" ref="K108:L108" si="97">+$C108*K53</f>
        <v>0</v>
      </c>
      <c r="L108" s="56">
        <f t="shared" si="97"/>
        <v>0</v>
      </c>
    </row>
    <row r="109" spans="1:12" x14ac:dyDescent="0.25">
      <c r="C109" s="73"/>
      <c r="D109" s="63"/>
      <c r="E109" s="63"/>
      <c r="I109" s="63"/>
      <c r="J109" s="63"/>
      <c r="K109" s="63"/>
      <c r="L109" s="63"/>
    </row>
    <row r="110" spans="1:12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73" orientation="landscape" horizontalDpi="180" verticalDpi="18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tabSelected="1" zoomScale="70" zoomScaleNormal="70" zoomScalePageLayoutView="80" workbookViewId="0">
      <pane xSplit="11" topLeftCell="L1" activePane="topRight" state="frozen"/>
      <selection pane="topRight" activeCell="I10" sqref="I10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2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388" t="s">
        <v>184</v>
      </c>
      <c r="B2" s="389"/>
      <c r="C2" s="390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75" t="s">
        <v>159</v>
      </c>
      <c r="M2" s="376"/>
      <c r="N2" s="78" t="s">
        <v>602</v>
      </c>
      <c r="O2" s="78" t="s">
        <v>602</v>
      </c>
      <c r="P2" s="78" t="s">
        <v>602</v>
      </c>
      <c r="Q2" s="78" t="s">
        <v>602</v>
      </c>
      <c r="R2" s="78" t="s">
        <v>602</v>
      </c>
      <c r="S2" s="78" t="s">
        <v>602</v>
      </c>
      <c r="T2" s="78" t="s">
        <v>602</v>
      </c>
    </row>
    <row r="3" spans="1:21" s="84" customFormat="1" ht="75" customHeight="1" x14ac:dyDescent="0.25">
      <c r="A3" s="385" t="s">
        <v>256</v>
      </c>
      <c r="B3" s="386"/>
      <c r="C3" s="387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344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6" t="s">
        <v>164</v>
      </c>
      <c r="B10" s="277"/>
      <c r="C10" s="278"/>
      <c r="D10" s="275">
        <f t="shared" ref="D10:J10" si="2">+D54</f>
        <v>154.92956000000001</v>
      </c>
      <c r="E10" s="275">
        <f t="shared" si="2"/>
        <v>491.23935</v>
      </c>
      <c r="F10" s="275">
        <f t="shared" si="2"/>
        <v>1069.6693483333336</v>
      </c>
      <c r="G10" s="275">
        <f>+G54</f>
        <v>604.12355333333335</v>
      </c>
      <c r="H10" s="275">
        <f t="shared" si="2"/>
        <v>918.40119799999991</v>
      </c>
      <c r="I10" s="275">
        <f t="shared" si="2"/>
        <v>1066.9152199999999</v>
      </c>
      <c r="J10" s="275">
        <f t="shared" si="2"/>
        <v>776.45500000000004</v>
      </c>
      <c r="K10" s="22"/>
      <c r="L10" s="293">
        <f>SUM(N10:IU10)</f>
        <v>5568.0706993333315</v>
      </c>
      <c r="M10" s="294" t="s">
        <v>165</v>
      </c>
      <c r="N10" s="275">
        <f t="shared" ref="N10:S10" si="3">+N54</f>
        <v>797.86159799999973</v>
      </c>
      <c r="O10" s="275">
        <f t="shared" si="3"/>
        <v>945.91111799999999</v>
      </c>
      <c r="P10" s="275">
        <f t="shared" si="3"/>
        <v>947.20979799999986</v>
      </c>
      <c r="Q10" s="275">
        <f t="shared" si="3"/>
        <v>947.20979799999986</v>
      </c>
      <c r="R10" s="275">
        <f t="shared" si="3"/>
        <v>703.05795799999976</v>
      </c>
      <c r="S10" s="275">
        <f t="shared" si="3"/>
        <v>927.72959799999967</v>
      </c>
      <c r="T10" s="275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115.5857294117647</v>
      </c>
      <c r="F12" s="111">
        <f t="shared" si="6"/>
        <v>65.846066379398806</v>
      </c>
      <c r="G12" s="111">
        <f>+G10/G11</f>
        <v>100.68725888888889</v>
      </c>
      <c r="H12" s="111">
        <f t="shared" si="6"/>
        <v>75.588575967078185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9" t="s">
        <v>169</v>
      </c>
      <c r="B13" s="280"/>
      <c r="C13" s="281"/>
      <c r="D13" s="282">
        <f t="shared" ref="D13:J13" si="8">+D85</f>
        <v>143.7766</v>
      </c>
      <c r="E13" s="282">
        <f t="shared" si="8"/>
        <v>474.03314999999992</v>
      </c>
      <c r="F13" s="282">
        <f t="shared" si="8"/>
        <v>1032.4950883333338</v>
      </c>
      <c r="G13" s="282">
        <f>+G85</f>
        <v>583.00811333333343</v>
      </c>
      <c r="H13" s="282">
        <f t="shared" si="8"/>
        <v>886.41130200000021</v>
      </c>
      <c r="I13" s="282">
        <f t="shared" si="8"/>
        <v>1029.7597800000001</v>
      </c>
      <c r="J13" s="282">
        <f t="shared" si="8"/>
        <v>749.60620000000006</v>
      </c>
      <c r="K13" s="22"/>
      <c r="L13" s="303">
        <f>SUM(N13:IU13)</f>
        <v>5373.7859273333352</v>
      </c>
      <c r="M13" s="304" t="s">
        <v>165</v>
      </c>
      <c r="N13" s="282">
        <f t="shared" ref="N13:S13" si="9">+N85</f>
        <v>770.02170200000012</v>
      </c>
      <c r="O13" s="282">
        <f t="shared" si="9"/>
        <v>912.94122200000027</v>
      </c>
      <c r="P13" s="282">
        <f t="shared" si="9"/>
        <v>914.19490200000018</v>
      </c>
      <c r="Q13" s="282">
        <f t="shared" si="9"/>
        <v>914.19490200000018</v>
      </c>
      <c r="R13" s="282">
        <f t="shared" si="9"/>
        <v>678.50306200000023</v>
      </c>
      <c r="S13" s="282">
        <f t="shared" si="9"/>
        <v>895.38970200000017</v>
      </c>
      <c r="T13" s="282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111.53721176470586</v>
      </c>
      <c r="F14" s="111">
        <f t="shared" si="10"/>
        <v>63.557715502205831</v>
      </c>
      <c r="G14" s="111">
        <f>+G13/G11</f>
        <v>97.168018888888909</v>
      </c>
      <c r="H14" s="111">
        <f t="shared" si="10"/>
        <v>72.955662716049403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61" t="s">
        <v>353</v>
      </c>
      <c r="B15" s="262"/>
      <c r="C15" s="263"/>
      <c r="D15" s="264">
        <f>0.9*SUM(D55:D56)</f>
        <v>56.978964000000005</v>
      </c>
      <c r="E15" s="264">
        <f t="shared" ref="E15:J15" si="12">0.9*SUM(E55:E56)</f>
        <v>137.27924999999999</v>
      </c>
      <c r="F15" s="264">
        <f t="shared" si="12"/>
        <v>524.72974499999998</v>
      </c>
      <c r="G15" s="264">
        <f t="shared" si="12"/>
        <v>193.80600000000001</v>
      </c>
      <c r="H15" s="264">
        <f t="shared" si="12"/>
        <v>392.45715000000001</v>
      </c>
      <c r="I15" s="264">
        <f t="shared" si="12"/>
        <v>484.51500000000004</v>
      </c>
      <c r="J15" s="264">
        <f t="shared" si="12"/>
        <v>392.45715000000001</v>
      </c>
      <c r="K15" s="22"/>
      <c r="L15" s="293">
        <f>SUM(N15:IU15)</f>
        <v>2931.2188470000006</v>
      </c>
      <c r="M15" s="294" t="s">
        <v>165</v>
      </c>
      <c r="N15" s="264">
        <f t="shared" ref="N15:T15" si="13">0.9*SUM(N55:N56)</f>
        <v>418.62096000000003</v>
      </c>
      <c r="O15" s="264">
        <f t="shared" si="13"/>
        <v>518.04343800000015</v>
      </c>
      <c r="P15" s="264">
        <f t="shared" si="13"/>
        <v>518.91556500000002</v>
      </c>
      <c r="Q15" s="264">
        <f t="shared" si="13"/>
        <v>518.91556500000002</v>
      </c>
      <c r="R15" s="264">
        <f t="shared" si="13"/>
        <v>354.95568900000001</v>
      </c>
      <c r="S15" s="264">
        <f t="shared" si="13"/>
        <v>505.83366000000007</v>
      </c>
      <c r="T15" s="264">
        <f t="shared" si="13"/>
        <v>95.933970000000031</v>
      </c>
    </row>
    <row r="16" spans="1:21" ht="15.6" x14ac:dyDescent="0.3">
      <c r="A16" s="261" t="s">
        <v>354</v>
      </c>
      <c r="B16" s="262"/>
      <c r="C16" s="263"/>
      <c r="D16" s="264">
        <f>0.9*SUM(D58:D82)</f>
        <v>64.359000000000009</v>
      </c>
      <c r="E16" s="264">
        <f t="shared" ref="E16:J16" si="14">0.9*SUM(E58:E82)</f>
        <v>261.23116499999998</v>
      </c>
      <c r="F16" s="264">
        <f t="shared" si="14"/>
        <v>271.2989685</v>
      </c>
      <c r="G16" s="264">
        <f t="shared" si="14"/>
        <v>288.34519800000004</v>
      </c>
      <c r="H16" s="264">
        <f t="shared" si="14"/>
        <v>309.44492819999999</v>
      </c>
      <c r="I16" s="264">
        <f t="shared" si="14"/>
        <v>321.80869799999999</v>
      </c>
      <c r="J16" s="264">
        <f t="shared" si="14"/>
        <v>181.69334999999998</v>
      </c>
      <c r="K16" s="22"/>
      <c r="L16" s="293">
        <f>SUM(N16:IU16)</f>
        <v>1148.9805624000001</v>
      </c>
      <c r="M16" s="294" t="s">
        <v>165</v>
      </c>
      <c r="N16" s="264">
        <f t="shared" ref="N16:T16" si="15">0.9*SUM(N58:N82)</f>
        <v>166.48487820000003</v>
      </c>
      <c r="O16" s="264">
        <f t="shared" si="15"/>
        <v>168.72668820000004</v>
      </c>
      <c r="P16" s="264">
        <f t="shared" si="15"/>
        <v>168.74635320000002</v>
      </c>
      <c r="Q16" s="264">
        <f t="shared" si="15"/>
        <v>168.74635320000002</v>
      </c>
      <c r="R16" s="264">
        <f t="shared" si="15"/>
        <v>165.04933320000001</v>
      </c>
      <c r="S16" s="264">
        <f t="shared" si="15"/>
        <v>168.45137820000002</v>
      </c>
      <c r="T16" s="264">
        <f t="shared" si="15"/>
        <v>142.77557820000004</v>
      </c>
    </row>
    <row r="17" spans="1:20" ht="15.6" x14ac:dyDescent="0.3">
      <c r="A17" s="261" t="s">
        <v>182</v>
      </c>
      <c r="B17" s="262"/>
      <c r="C17" s="263"/>
      <c r="D17" s="264">
        <f>0.9*D57</f>
        <v>18.09864</v>
      </c>
      <c r="E17" s="264">
        <f t="shared" ref="E17:J17" si="16">0.9*E57</f>
        <v>43.605000000000004</v>
      </c>
      <c r="F17" s="264">
        <f t="shared" si="16"/>
        <v>166.67370000000003</v>
      </c>
      <c r="G17" s="264">
        <f t="shared" si="16"/>
        <v>61.560000000000009</v>
      </c>
      <c r="H17" s="264">
        <f t="shared" si="16"/>
        <v>124.65900000000002</v>
      </c>
      <c r="I17" s="264">
        <f t="shared" si="16"/>
        <v>153.9</v>
      </c>
      <c r="J17" s="264">
        <f t="shared" si="16"/>
        <v>124.65900000000002</v>
      </c>
      <c r="K17" s="22"/>
      <c r="L17" s="293">
        <f>SUM(N17:IU17)</f>
        <v>931.0642200000002</v>
      </c>
      <c r="M17" s="294" t="s">
        <v>165</v>
      </c>
      <c r="N17" s="264">
        <f t="shared" ref="N17:T17" si="17">0.9*N57</f>
        <v>132.96960000000004</v>
      </c>
      <c r="O17" s="264">
        <f t="shared" si="17"/>
        <v>164.54988000000006</v>
      </c>
      <c r="P17" s="264">
        <f t="shared" si="17"/>
        <v>164.82690000000002</v>
      </c>
      <c r="Q17" s="264">
        <f t="shared" si="17"/>
        <v>164.82690000000002</v>
      </c>
      <c r="R17" s="264">
        <f t="shared" si="17"/>
        <v>112.74714</v>
      </c>
      <c r="S17" s="264">
        <f t="shared" si="17"/>
        <v>160.67160000000001</v>
      </c>
      <c r="T17" s="264">
        <f t="shared" si="17"/>
        <v>30.472200000000011</v>
      </c>
    </row>
    <row r="18" spans="1:20" ht="15.6" x14ac:dyDescent="0.3">
      <c r="A18" s="261" t="s">
        <v>355</v>
      </c>
      <c r="B18" s="262"/>
      <c r="C18" s="263"/>
      <c r="D18" s="264">
        <f>+D10-D17-D16-D15</f>
        <v>15.492956000000007</v>
      </c>
      <c r="E18" s="264">
        <f t="shared" ref="E18:J18" si="18">+E10-E17-E16-E15</f>
        <v>49.123935000000017</v>
      </c>
      <c r="F18" s="264">
        <f t="shared" si="18"/>
        <v>106.96693483333354</v>
      </c>
      <c r="G18" s="264">
        <f t="shared" si="18"/>
        <v>60.412355333333238</v>
      </c>
      <c r="H18" s="264">
        <f t="shared" si="18"/>
        <v>91.840119799999911</v>
      </c>
      <c r="I18" s="264">
        <f t="shared" si="18"/>
        <v>106.69152199999991</v>
      </c>
      <c r="J18" s="264">
        <f t="shared" si="18"/>
        <v>77.645500000000027</v>
      </c>
      <c r="K18" s="22"/>
      <c r="L18" s="293">
        <f>SUM(N18:IU18)</f>
        <v>556.8070699333316</v>
      </c>
      <c r="M18" s="294" t="s">
        <v>165</v>
      </c>
      <c r="N18" s="264">
        <f t="shared" ref="N18:T18" si="19">+N10-N17-N16-N15</f>
        <v>79.786159799999666</v>
      </c>
      <c r="O18" s="264">
        <f t="shared" si="19"/>
        <v>94.591111799999794</v>
      </c>
      <c r="P18" s="264">
        <f t="shared" si="19"/>
        <v>94.720979799999782</v>
      </c>
      <c r="Q18" s="264">
        <f t="shared" si="19"/>
        <v>94.720979799999782</v>
      </c>
      <c r="R18" s="264">
        <f t="shared" si="19"/>
        <v>70.305795799999714</v>
      </c>
      <c r="S18" s="264">
        <f t="shared" si="19"/>
        <v>92.772959799999569</v>
      </c>
      <c r="T18" s="264">
        <f t="shared" si="19"/>
        <v>29.909083133333311</v>
      </c>
    </row>
    <row r="19" spans="1:20" ht="15.6" x14ac:dyDescent="0.3">
      <c r="A19" s="265" t="s">
        <v>356</v>
      </c>
      <c r="B19" s="266"/>
      <c r="C19" s="267"/>
      <c r="D19" s="268">
        <f>SUM(D15:D18)</f>
        <v>154.92956000000004</v>
      </c>
      <c r="E19" s="268">
        <f t="shared" ref="E19:J19" si="20">SUM(E15:E18)</f>
        <v>491.23935</v>
      </c>
      <c r="F19" s="268">
        <f t="shared" si="20"/>
        <v>1069.6693483333336</v>
      </c>
      <c r="G19" s="268">
        <f t="shared" si="20"/>
        <v>604.12355333333335</v>
      </c>
      <c r="H19" s="268">
        <f t="shared" si="20"/>
        <v>918.40119799999991</v>
      </c>
      <c r="I19" s="268">
        <f t="shared" si="20"/>
        <v>1066.9152199999999</v>
      </c>
      <c r="J19" s="268">
        <f t="shared" si="20"/>
        <v>776.45499999999993</v>
      </c>
      <c r="K19" s="22"/>
      <c r="L19" s="301">
        <f>SUM(N19:IU19)</f>
        <v>5568.0706993333315</v>
      </c>
      <c r="M19" s="302" t="s">
        <v>165</v>
      </c>
      <c r="N19" s="268">
        <f t="shared" ref="N19:T19" si="21">SUM(N15:N18)</f>
        <v>797.86159799999973</v>
      </c>
      <c r="O19" s="268">
        <f t="shared" si="21"/>
        <v>945.91111799999999</v>
      </c>
      <c r="P19" s="268">
        <f t="shared" si="21"/>
        <v>947.20979799999986</v>
      </c>
      <c r="Q19" s="268">
        <f t="shared" si="21"/>
        <v>947.20979799999986</v>
      </c>
      <c r="R19" s="268">
        <f t="shared" si="21"/>
        <v>703.05795799999964</v>
      </c>
      <c r="S19" s="268">
        <f t="shared" si="21"/>
        <v>927.72959799999967</v>
      </c>
      <c r="T19" s="268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3.5026102855970478E-2</v>
      </c>
      <c r="F20" s="112">
        <f t="shared" si="22"/>
        <v>3.4753038458025839E-2</v>
      </c>
      <c r="G20" s="112">
        <f t="shared" si="22"/>
        <v>3.4952187981237656E-2</v>
      </c>
      <c r="H20" s="112">
        <f t="shared" si="22"/>
        <v>3.483215839620421E-2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>
        <f t="shared" si="24"/>
        <v>12.15</v>
      </c>
      <c r="I24" s="56">
        <f t="shared" si="24"/>
        <v>15</v>
      </c>
      <c r="J24" s="56">
        <f t="shared" si="24"/>
        <v>12.15</v>
      </c>
      <c r="K24" s="57"/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57"/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57"/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7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57"/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57"/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57"/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57"/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57"/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57"/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57"/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57"/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57"/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57"/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57"/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57"/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57"/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57"/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57"/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57"/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57"/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3</v>
      </c>
      <c r="F44" s="56">
        <v>3</v>
      </c>
      <c r="G44" s="56"/>
      <c r="H44" s="56"/>
      <c r="I44" s="56"/>
      <c r="J44" s="56"/>
      <c r="K44" s="57"/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57"/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57"/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57"/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57"/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57"/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57"/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57"/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491.23935</v>
      </c>
      <c r="F54" s="68">
        <f t="shared" si="48"/>
        <v>1069.6693483333336</v>
      </c>
      <c r="G54" s="68">
        <f t="shared" si="48"/>
        <v>604.12355333333335</v>
      </c>
      <c r="H54" s="68">
        <f t="shared" si="48"/>
        <v>918.40119799999991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M.P.yMat.'!D29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>
        <f t="shared" si="51"/>
        <v>436.06350000000003</v>
      </c>
      <c r="I55" s="56">
        <f t="shared" si="51"/>
        <v>538.35</v>
      </c>
      <c r="J55" s="56">
        <f t="shared" si="51"/>
        <v>436.06350000000003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M.P.yMat.'!D34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M.P.yMat.'!D87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M.P.yMat.'!D7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M.P.yMat.'!D9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M.P.yMat.'!D10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M.P.yMat.'!D17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M.P.yMat.'!D19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M.P.yMat.'!D20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M.P.yMat.'!D101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M.P.yMat.'!D49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M.P.yMat.'!D50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M.P.yMat.'!D73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M.P.yMat.'!D56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M.P.yMat.'!D55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M.P.yMat.'!D84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M.P.yMat.'!D79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M.P.yMat.'!D81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M.P.yMat.'!D53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M.P.yMat.'!D52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M.P.yMat.'!D63</f>
        <v>1.77</v>
      </c>
      <c r="D75" s="56">
        <f t="shared" ref="D75:J76" si="73">+D44*$C75</f>
        <v>1.77</v>
      </c>
      <c r="E75" s="56">
        <f t="shared" si="73"/>
        <v>5.3100000000000005</v>
      </c>
      <c r="F75" s="56">
        <f t="shared" si="73"/>
        <v>5.3100000000000005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M.P.yMat.'!D78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M.P.yMat.'!D74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57"/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M.P.yMat.'!D64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57"/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M.P.yMat.'!D65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57"/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M.P.yMat.'!D69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57"/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M.P.yMat.'!D67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57"/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M.P.yMat.'!D72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57"/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474.03314999999992</v>
      </c>
      <c r="F85" s="68">
        <f t="shared" si="84"/>
        <v>1032.4950883333338</v>
      </c>
      <c r="G85" s="68">
        <f t="shared" si="84"/>
        <v>583.00811333333343</v>
      </c>
      <c r="H85" s="68">
        <f t="shared" si="84"/>
        <v>886.41130200000021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M.P.yMat.'!E29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>
        <f t="shared" si="87"/>
        <v>420.9975</v>
      </c>
      <c r="I86" s="56">
        <f t="shared" si="87"/>
        <v>519.75</v>
      </c>
      <c r="J86" s="56">
        <f t="shared" si="87"/>
        <v>420.9975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M.P.yMat.'!E34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M.P.yMat.'!E87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M.P.yMat.'!E7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M.P.yMat.'!E9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M.P.yMat.'!E10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M.P.yMat.'!E17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M.P.yMat.'!E19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M.P.yMat.'!E20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M.P.yMat.'!E101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M.P.yMat.'!E49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M.P.yMat.'!E50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M.P.yMat.'!E73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M.P.yMat.'!E56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M.P.yMat.'!E55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M.P.yMat.'!E84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M.P.yMat.'!E79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M.P.yMat.'!E81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M.P.yMat.'!E53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M.P.yMat.'!E52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M.P.yMat.'!E63</f>
        <v>1.71</v>
      </c>
      <c r="D106" s="56">
        <f t="shared" ref="D106:J113" si="109">+$C106*D44</f>
        <v>1.71</v>
      </c>
      <c r="E106" s="56">
        <f t="shared" si="109"/>
        <v>5.13</v>
      </c>
      <c r="F106" s="56">
        <f t="shared" si="109"/>
        <v>5.13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M.P.yMat.'!E78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M.P.yMat.'!E74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57"/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M.P.yMat.'!E64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57"/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M.P.yMat.'!E65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57"/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M.P.yMat.'!E69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57"/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M.P.yMat.'!E67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57"/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M.P.yMat.'!E72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57"/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7"/>
  <sheetViews>
    <sheetView zoomScale="80" zoomScaleNormal="80" zoomScalePageLayoutView="80" workbookViewId="0">
      <selection activeCell="Q5" sqref="Q5"/>
    </sheetView>
  </sheetViews>
  <sheetFormatPr baseColWidth="10" defaultColWidth="11.44140625" defaultRowHeight="13.2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2.33203125" style="64" customWidth="1"/>
    <col min="6" max="6" width="12" style="25" customWidth="1"/>
    <col min="7" max="7" width="9.88671875" style="25" customWidth="1"/>
    <col min="8" max="11" width="11.44140625" style="25" customWidth="1"/>
    <col min="12" max="16384" width="11.44140625" style="25"/>
  </cols>
  <sheetData>
    <row r="1" spans="1:12" ht="68.25" customHeight="1" thickBot="1" x14ac:dyDescent="0.45">
      <c r="A1" s="75"/>
      <c r="B1" s="76"/>
      <c r="C1" s="76"/>
      <c r="D1" s="77">
        <f>ROUNDUP(D5/1.5,0)</f>
        <v>2</v>
      </c>
      <c r="F1" s="391" t="e">
        <f>+F12+#REF!</f>
        <v>#REF!</v>
      </c>
      <c r="G1" s="391"/>
      <c r="H1" s="77"/>
      <c r="I1" s="77"/>
      <c r="J1" s="77"/>
      <c r="K1" s="77"/>
    </row>
    <row r="2" spans="1:12" ht="18.600000000000001" x14ac:dyDescent="0.4">
      <c r="A2" s="388" t="s">
        <v>220</v>
      </c>
      <c r="B2" s="389"/>
      <c r="C2" s="390"/>
      <c r="D2" s="78" t="s">
        <v>218</v>
      </c>
      <c r="E2" s="79"/>
      <c r="F2" s="375" t="s">
        <v>159</v>
      </c>
      <c r="G2" s="376"/>
      <c r="H2" s="78" t="s">
        <v>602</v>
      </c>
      <c r="I2" s="78" t="s">
        <v>602</v>
      </c>
      <c r="J2" s="78" t="s">
        <v>602</v>
      </c>
      <c r="K2" s="78" t="s">
        <v>602</v>
      </c>
    </row>
    <row r="3" spans="1:12" s="84" customFormat="1" ht="45" customHeight="1" x14ac:dyDescent="0.25">
      <c r="A3" s="385" t="s">
        <v>256</v>
      </c>
      <c r="B3" s="386"/>
      <c r="C3" s="387"/>
      <c r="D3" s="80" t="str">
        <f>IF(D10=8,"8 mm.","10 mm.")</f>
        <v>10 mm.</v>
      </c>
      <c r="E3" s="81"/>
      <c r="F3" s="82"/>
      <c r="G3" s="83"/>
      <c r="H3" s="80" t="str">
        <f t="shared" ref="H3:K3" si="0">IF(H10=8,"8 mm.","10 mm.")</f>
        <v>10 mm.</v>
      </c>
      <c r="I3" s="80" t="str">
        <f t="shared" si="0"/>
        <v>10 mm.</v>
      </c>
      <c r="J3" s="80" t="str">
        <f t="shared" si="0"/>
        <v>10 mm.</v>
      </c>
      <c r="K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8"/>
      <c r="F4" s="89"/>
      <c r="G4" s="90"/>
      <c r="H4" s="87" t="str">
        <f t="shared" ref="H4:K4" si="1">IF(H9=1,"INCOLORO","COLOR")</f>
        <v>INCOLORO</v>
      </c>
      <c r="I4" s="87" t="str">
        <f t="shared" si="1"/>
        <v>INCOLORO</v>
      </c>
      <c r="J4" s="87" t="str">
        <f t="shared" si="1"/>
        <v>INCOLORO</v>
      </c>
      <c r="K4" s="87" t="str">
        <f t="shared" si="1"/>
        <v>INCOLORO</v>
      </c>
    </row>
    <row r="5" spans="1:12" ht="15.6" x14ac:dyDescent="0.3">
      <c r="A5" s="91" t="s">
        <v>161</v>
      </c>
      <c r="B5" s="92"/>
      <c r="C5" s="93"/>
      <c r="D5" s="28">
        <v>2</v>
      </c>
      <c r="E5" s="94"/>
      <c r="F5" s="95"/>
      <c r="G5" s="96"/>
      <c r="H5" s="28">
        <v>4.4000000000000004</v>
      </c>
      <c r="I5" s="28">
        <v>4</v>
      </c>
      <c r="J5" s="28">
        <v>4.3</v>
      </c>
      <c r="K5" s="28">
        <v>5</v>
      </c>
    </row>
    <row r="6" spans="1:12" ht="15.6" x14ac:dyDescent="0.3">
      <c r="A6" s="97" t="s">
        <v>162</v>
      </c>
      <c r="B6" s="98"/>
      <c r="C6" s="99"/>
      <c r="D6" s="28">
        <v>0.7</v>
      </c>
      <c r="E6" s="94"/>
      <c r="F6" s="95"/>
      <c r="G6" s="96"/>
      <c r="H6" s="28">
        <v>2.7</v>
      </c>
      <c r="I6" s="28">
        <v>2.7</v>
      </c>
      <c r="J6" s="28">
        <v>2.7</v>
      </c>
      <c r="K6" s="28">
        <v>2.7</v>
      </c>
    </row>
    <row r="7" spans="1:12" ht="15.6" x14ac:dyDescent="0.3">
      <c r="A7" s="97" t="s">
        <v>163</v>
      </c>
      <c r="B7" s="98"/>
      <c r="C7" s="99"/>
      <c r="D7" s="28">
        <v>1</v>
      </c>
      <c r="E7" s="94"/>
      <c r="F7" s="23">
        <f>SUM(H7:HZ7)</f>
        <v>4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</row>
    <row r="8" spans="1:12" ht="15.6" x14ac:dyDescent="0.3">
      <c r="A8" s="100" t="s">
        <v>219</v>
      </c>
      <c r="B8" s="98"/>
      <c r="C8" s="99"/>
      <c r="D8" s="28">
        <v>845</v>
      </c>
      <c r="E8" s="94"/>
      <c r="F8" s="23"/>
      <c r="G8" s="24"/>
      <c r="H8" s="28">
        <v>4</v>
      </c>
      <c r="I8" s="28">
        <v>4</v>
      </c>
      <c r="J8" s="28">
        <v>4</v>
      </c>
      <c r="K8" s="28">
        <v>4</v>
      </c>
    </row>
    <row r="9" spans="1:12" ht="15.6" x14ac:dyDescent="0.3">
      <c r="A9" s="100" t="s">
        <v>179</v>
      </c>
      <c r="B9" s="98"/>
      <c r="C9" s="99"/>
      <c r="D9" s="28">
        <v>1</v>
      </c>
      <c r="E9" s="94"/>
      <c r="F9" s="23"/>
      <c r="G9" s="24"/>
      <c r="H9" s="28">
        <v>1</v>
      </c>
      <c r="I9" s="28">
        <v>1</v>
      </c>
      <c r="J9" s="28">
        <v>1</v>
      </c>
      <c r="K9" s="28">
        <v>1</v>
      </c>
    </row>
    <row r="10" spans="1:12" ht="15.6" x14ac:dyDescent="0.3">
      <c r="A10" s="100" t="s">
        <v>200</v>
      </c>
      <c r="B10" s="98"/>
      <c r="C10" s="99"/>
      <c r="D10" s="28">
        <v>10</v>
      </c>
      <c r="E10" s="94"/>
      <c r="F10" s="23"/>
      <c r="G10" s="24"/>
      <c r="H10" s="28">
        <v>10</v>
      </c>
      <c r="I10" s="28">
        <v>10</v>
      </c>
      <c r="J10" s="28">
        <v>10</v>
      </c>
      <c r="K10" s="28">
        <v>10</v>
      </c>
    </row>
    <row r="11" spans="1:12" ht="16.2" thickBot="1" x14ac:dyDescent="0.35">
      <c r="A11" s="101" t="s">
        <v>222</v>
      </c>
      <c r="B11" s="102"/>
      <c r="C11" s="103"/>
      <c r="D11" s="104"/>
      <c r="E11" s="94"/>
      <c r="F11" s="23"/>
      <c r="G11" s="24"/>
      <c r="H11" s="104"/>
      <c r="I11" s="104"/>
      <c r="J11" s="104"/>
      <c r="K11" s="104"/>
    </row>
    <row r="12" spans="1:12" ht="15.6" x14ac:dyDescent="0.3">
      <c r="A12" s="269" t="s">
        <v>164</v>
      </c>
      <c r="B12" s="270"/>
      <c r="C12" s="271" t="s">
        <v>212</v>
      </c>
      <c r="D12" s="268">
        <f>+D53</f>
        <v>455.07041666666663</v>
      </c>
      <c r="E12" s="22"/>
      <c r="F12" s="299">
        <f>SUM(H12:HZ12)</f>
        <v>2483.0616999999997</v>
      </c>
      <c r="G12" s="300" t="s">
        <v>165</v>
      </c>
      <c r="H12" s="268">
        <f t="shared" ref="H12:K12" si="2">+H53</f>
        <v>617.4124833333334</v>
      </c>
      <c r="I12" s="268">
        <f t="shared" si="2"/>
        <v>563.76541666666674</v>
      </c>
      <c r="J12" s="268">
        <f t="shared" si="2"/>
        <v>604.00071666666656</v>
      </c>
      <c r="K12" s="268">
        <f t="shared" si="2"/>
        <v>697.88308333333327</v>
      </c>
      <c r="L12"/>
    </row>
    <row r="13" spans="1:12" ht="15.6" x14ac:dyDescent="0.3">
      <c r="A13" s="26" t="s">
        <v>166</v>
      </c>
      <c r="B13" s="20"/>
      <c r="C13" s="27"/>
      <c r="D13" s="28">
        <f>+D5*D6*D$7</f>
        <v>1.4</v>
      </c>
      <c r="E13" s="29"/>
      <c r="F13" s="23">
        <f>SUM(H13:HZ13)</f>
        <v>47.790000000000006</v>
      </c>
      <c r="G13" s="24" t="s">
        <v>34</v>
      </c>
      <c r="H13" s="28">
        <f t="shared" ref="H13:K13" si="3">+H5*H6*H$7</f>
        <v>11.880000000000003</v>
      </c>
      <c r="I13" s="28">
        <f t="shared" si="3"/>
        <v>10.8</v>
      </c>
      <c r="J13" s="28">
        <f t="shared" si="3"/>
        <v>11.61</v>
      </c>
      <c r="K13" s="28">
        <f t="shared" si="3"/>
        <v>13.5</v>
      </c>
    </row>
    <row r="14" spans="1:12" ht="15.6" x14ac:dyDescent="0.3">
      <c r="A14" s="26" t="s">
        <v>167</v>
      </c>
      <c r="B14" s="20"/>
      <c r="C14" s="27"/>
      <c r="D14" s="21">
        <f>+D12/D13</f>
        <v>325.05029761904763</v>
      </c>
      <c r="E14" s="22"/>
      <c r="F14" s="23">
        <f>+F12/F13</f>
        <v>51.957767315337925</v>
      </c>
      <c r="G14" s="24" t="s">
        <v>168</v>
      </c>
      <c r="H14" s="21">
        <f t="shared" ref="H14:K14" si="4">+H12/H13</f>
        <v>51.970747755331082</v>
      </c>
      <c r="I14" s="21">
        <f t="shared" si="4"/>
        <v>52.200501543209882</v>
      </c>
      <c r="J14" s="21">
        <f t="shared" si="4"/>
        <v>52.024178868791267</v>
      </c>
      <c r="K14" s="21">
        <f t="shared" si="4"/>
        <v>51.695043209876538</v>
      </c>
    </row>
    <row r="15" spans="1:12" ht="15.6" x14ac:dyDescent="0.3">
      <c r="A15" s="272" t="s">
        <v>169</v>
      </c>
      <c r="B15" s="273"/>
      <c r="C15" s="274"/>
      <c r="D15" s="275">
        <f>+D80</f>
        <v>438.89421666666664</v>
      </c>
      <c r="E15" s="22"/>
      <c r="F15" s="293">
        <f>SUM(H15:HZ15)</f>
        <v>2400.6493</v>
      </c>
      <c r="G15" s="294" t="s">
        <v>165</v>
      </c>
      <c r="H15" s="275">
        <f t="shared" ref="H15:K15" si="5">+H80</f>
        <v>596.92238333333341</v>
      </c>
      <c r="I15" s="275">
        <f t="shared" si="5"/>
        <v>545.08331666666675</v>
      </c>
      <c r="J15" s="275">
        <f t="shared" si="5"/>
        <v>583.96261666666658</v>
      </c>
      <c r="K15" s="275">
        <f t="shared" si="5"/>
        <v>674.68098333333319</v>
      </c>
    </row>
    <row r="16" spans="1:12" ht="15.6" x14ac:dyDescent="0.3">
      <c r="A16" s="26" t="s">
        <v>170</v>
      </c>
      <c r="B16" s="20"/>
      <c r="C16" s="27"/>
      <c r="D16" s="21">
        <f>+D15/D13</f>
        <v>313.49586904761907</v>
      </c>
      <c r="E16" s="22"/>
      <c r="F16" s="23">
        <f>+F15/F13</f>
        <v>50.233297761037868</v>
      </c>
      <c r="G16" s="24" t="s">
        <v>168</v>
      </c>
      <c r="H16" s="21">
        <f t="shared" ref="H16:K16" si="6">+H15/H13</f>
        <v>50.24599186307519</v>
      </c>
      <c r="I16" s="21">
        <f t="shared" si="6"/>
        <v>50.470677469135808</v>
      </c>
      <c r="J16" s="21">
        <f t="shared" si="6"/>
        <v>50.298244329600912</v>
      </c>
      <c r="K16" s="21">
        <f t="shared" si="6"/>
        <v>49.976369135802457</v>
      </c>
    </row>
    <row r="17" spans="1:11" ht="15.6" x14ac:dyDescent="0.3">
      <c r="A17" s="261" t="s">
        <v>353</v>
      </c>
      <c r="B17" s="262"/>
      <c r="C17" s="263"/>
      <c r="D17" s="264">
        <f>0.9*SUM(D54:D57)</f>
        <v>46.351934999999997</v>
      </c>
      <c r="E17" s="22"/>
      <c r="F17" s="293">
        <f>SUM(H17:HZ17)</f>
        <v>1561.10733</v>
      </c>
      <c r="G17" s="294" t="s">
        <v>165</v>
      </c>
      <c r="H17" s="264">
        <f t="shared" ref="H17:K17" si="7">0.9*SUM(H54:H57)</f>
        <v>388.09651500000012</v>
      </c>
      <c r="I17" s="264">
        <f t="shared" si="7"/>
        <v>353.21143499999999</v>
      </c>
      <c r="J17" s="264">
        <f t="shared" si="7"/>
        <v>379.37524499999995</v>
      </c>
      <c r="K17" s="264">
        <f t="shared" si="7"/>
        <v>440.42413499999998</v>
      </c>
    </row>
    <row r="18" spans="1:11" ht="15.6" x14ac:dyDescent="0.3">
      <c r="A18" s="261" t="s">
        <v>354</v>
      </c>
      <c r="B18" s="262"/>
      <c r="C18" s="263"/>
      <c r="D18" s="264">
        <f>0.9*SUM(D59:D77)</f>
        <v>348.84743999999995</v>
      </c>
      <c r="E18" s="22"/>
      <c r="F18" s="293">
        <f>SUM(H18:HZ18)</f>
        <v>183.3228</v>
      </c>
      <c r="G18" s="294" t="s">
        <v>165</v>
      </c>
      <c r="H18" s="264">
        <f t="shared" ref="H18:K18" si="8">0.9*SUM(H59:H77)</f>
        <v>45.685920000000003</v>
      </c>
      <c r="I18" s="264">
        <f t="shared" si="8"/>
        <v>43.369440000000012</v>
      </c>
      <c r="J18" s="264">
        <f t="shared" si="8"/>
        <v>45.1068</v>
      </c>
      <c r="K18" s="264">
        <f t="shared" si="8"/>
        <v>49.160640000000001</v>
      </c>
    </row>
    <row r="19" spans="1:11" ht="15.6" x14ac:dyDescent="0.3">
      <c r="A19" s="261" t="s">
        <v>182</v>
      </c>
      <c r="B19" s="262"/>
      <c r="C19" s="263"/>
      <c r="D19" s="264">
        <f>+D58*0.9</f>
        <v>14.363999999999999</v>
      </c>
      <c r="E19" s="22"/>
      <c r="F19" s="293">
        <f>SUM(H19:HZ19)</f>
        <v>490.32540000000006</v>
      </c>
      <c r="G19" s="294" t="s">
        <v>165</v>
      </c>
      <c r="H19" s="264">
        <f t="shared" ref="H19:K19" si="9">+H58*0.9</f>
        <v>121.88880000000005</v>
      </c>
      <c r="I19" s="264">
        <f t="shared" si="9"/>
        <v>110.80800000000002</v>
      </c>
      <c r="J19" s="264">
        <f t="shared" si="9"/>
        <v>119.11859999999999</v>
      </c>
      <c r="K19" s="264">
        <f t="shared" si="9"/>
        <v>138.51000000000002</v>
      </c>
    </row>
    <row r="20" spans="1:11" ht="15.6" x14ac:dyDescent="0.3">
      <c r="A20" s="261" t="s">
        <v>355</v>
      </c>
      <c r="B20" s="262"/>
      <c r="C20" s="263"/>
      <c r="D20" s="264">
        <f>+D12-D19-D18-D17</f>
        <v>45.507041666666709</v>
      </c>
      <c r="E20" s="22"/>
      <c r="F20" s="293">
        <f>SUM(H20:HZ20)</f>
        <v>248.30616999999984</v>
      </c>
      <c r="G20" s="294" t="s">
        <v>165</v>
      </c>
      <c r="H20" s="264">
        <f t="shared" ref="H20:K20" si="10">+H12-H19-H18-H17</f>
        <v>61.741248333333203</v>
      </c>
      <c r="I20" s="264">
        <f t="shared" si="10"/>
        <v>56.376541666666753</v>
      </c>
      <c r="J20" s="264">
        <f t="shared" si="10"/>
        <v>60.400071666666577</v>
      </c>
      <c r="K20" s="264">
        <f t="shared" si="10"/>
        <v>69.788308333333305</v>
      </c>
    </row>
    <row r="21" spans="1:11" ht="15.6" x14ac:dyDescent="0.3">
      <c r="A21" s="265" t="s">
        <v>356</v>
      </c>
      <c r="B21" s="266"/>
      <c r="C21" s="267"/>
      <c r="D21" s="268">
        <f>SUM(D17:D20)</f>
        <v>455.07041666666657</v>
      </c>
      <c r="E21" s="22"/>
      <c r="F21" s="297">
        <f>SUM(H21:HZ21)</f>
        <v>2483.0617000000002</v>
      </c>
      <c r="G21" s="298" t="s">
        <v>165</v>
      </c>
      <c r="H21" s="268">
        <f t="shared" ref="H21:K21" si="11">SUM(H17:H20)</f>
        <v>617.41248333333328</v>
      </c>
      <c r="I21" s="268">
        <f t="shared" si="11"/>
        <v>563.76541666666674</v>
      </c>
      <c r="J21" s="268">
        <f t="shared" si="11"/>
        <v>604.00071666666656</v>
      </c>
      <c r="K21" s="268">
        <f t="shared" si="11"/>
        <v>697.88308333333339</v>
      </c>
    </row>
    <row r="22" spans="1:11" ht="15.6" x14ac:dyDescent="0.3">
      <c r="A22" s="30" t="s">
        <v>171</v>
      </c>
      <c r="B22" s="31"/>
      <c r="C22" s="32"/>
      <c r="D22" s="33">
        <f>+(D12-D15)/D12</f>
        <v>3.5546586654629446E-2</v>
      </c>
      <c r="E22" s="34"/>
      <c r="F22" s="35">
        <f>+(F12-F15)/F12</f>
        <v>3.3189831730721681E-2</v>
      </c>
      <c r="G22" s="36"/>
      <c r="H22" s="33">
        <f t="shared" ref="H22:K22" si="12">+(H12-H15)/H12</f>
        <v>3.3187051692535399E-2</v>
      </c>
      <c r="I22" s="33">
        <f t="shared" si="12"/>
        <v>3.3138073829466583E-2</v>
      </c>
      <c r="J22" s="33">
        <f t="shared" si="12"/>
        <v>3.3175622887643905E-2</v>
      </c>
      <c r="K22" s="33">
        <f t="shared" si="12"/>
        <v>3.3246399796909756E-2</v>
      </c>
    </row>
    <row r="23" spans="1:11" ht="15.6" x14ac:dyDescent="0.3">
      <c r="A23" s="37"/>
      <c r="B23" s="31"/>
      <c r="C23" s="38"/>
      <c r="D23" s="39"/>
      <c r="E23" s="40"/>
      <c r="F23" s="39"/>
      <c r="G23" s="39"/>
      <c r="H23" s="39"/>
      <c r="I23" s="39"/>
      <c r="J23" s="39"/>
      <c r="K23" s="39"/>
    </row>
    <row r="24" spans="1:11" x14ac:dyDescent="0.25">
      <c r="A24" s="41" t="s">
        <v>172</v>
      </c>
      <c r="B24" s="42"/>
      <c r="C24" s="43"/>
      <c r="D24" s="44"/>
      <c r="E24" s="45"/>
      <c r="F24" s="42"/>
      <c r="G24" s="42"/>
      <c r="H24" s="44"/>
      <c r="I24" s="44"/>
      <c r="J24" s="44"/>
      <c r="K24" s="44"/>
    </row>
    <row r="25" spans="1:11" x14ac:dyDescent="0.25">
      <c r="A25" s="46" t="s">
        <v>173</v>
      </c>
      <c r="B25" s="47"/>
      <c r="C25" s="48" t="s">
        <v>2</v>
      </c>
      <c r="D25" s="49" t="str">
        <f>+D2</f>
        <v>PF</v>
      </c>
      <c r="E25" s="50"/>
      <c r="F25" s="51" t="s">
        <v>174</v>
      </c>
      <c r="G25" s="52" t="s">
        <v>2</v>
      </c>
      <c r="H25" s="49" t="str">
        <f t="shared" ref="H25:K25" si="13">+H2</f>
        <v>piso1</v>
      </c>
      <c r="I25" s="49" t="str">
        <f t="shared" si="13"/>
        <v>piso1</v>
      </c>
      <c r="J25" s="49" t="str">
        <f t="shared" si="13"/>
        <v>piso1</v>
      </c>
      <c r="K25" s="49" t="str">
        <f t="shared" si="13"/>
        <v>piso1</v>
      </c>
    </row>
    <row r="26" spans="1:11" ht="15.6" x14ac:dyDescent="0.3">
      <c r="A26" s="53" t="s">
        <v>33</v>
      </c>
      <c r="B26" s="54"/>
      <c r="C26" s="55" t="s">
        <v>34</v>
      </c>
      <c r="D26" s="56">
        <f>IF(D$9=1,IF(D$10=10,((D$6*0.05)+(D$5*D$6))*D$7,0),0)</f>
        <v>1.4349999999999998</v>
      </c>
      <c r="E26" s="57"/>
      <c r="F26" s="58">
        <f t="shared" ref="F26:F32" si="14">ROUNDUP(SUM(H26:HZ26),1)</f>
        <v>48.4</v>
      </c>
      <c r="G26" s="59" t="s">
        <v>34</v>
      </c>
      <c r="H26" s="56">
        <f t="shared" ref="H26:K26" si="15">IF(H$9=1,IF(H$10=10,((H$6*0.05)+(H$5*H$6))*H$7,0),0)</f>
        <v>12.015000000000002</v>
      </c>
      <c r="I26" s="56">
        <f t="shared" si="15"/>
        <v>10.935</v>
      </c>
      <c r="J26" s="56">
        <f t="shared" si="15"/>
        <v>11.744999999999999</v>
      </c>
      <c r="K26" s="56">
        <f t="shared" si="15"/>
        <v>13.635</v>
      </c>
    </row>
    <row r="27" spans="1:11" ht="15.6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57"/>
      <c r="F27" s="58">
        <f t="shared" si="14"/>
        <v>0</v>
      </c>
      <c r="G27" s="59" t="s">
        <v>34</v>
      </c>
      <c r="H27" s="56">
        <f t="shared" ref="H27:K27" si="16">IF(H$9=2,IF(H$10=10,((H$6*0.05)+(H$5*H$6))*H$7,0),0)</f>
        <v>0</v>
      </c>
      <c r="I27" s="56">
        <f t="shared" si="16"/>
        <v>0</v>
      </c>
      <c r="J27" s="56">
        <f t="shared" si="16"/>
        <v>0</v>
      </c>
      <c r="K27" s="56">
        <f t="shared" si="16"/>
        <v>0</v>
      </c>
    </row>
    <row r="28" spans="1:11" ht="15.6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57"/>
      <c r="F28" s="58">
        <f t="shared" si="14"/>
        <v>0</v>
      </c>
      <c r="G28" s="59" t="s">
        <v>34</v>
      </c>
      <c r="H28" s="56">
        <f t="shared" ref="H28:K28" si="17">IF(H$9=1,IF(H$10=8,((H$6*0.05)+(H$5*H$6))*H$7,0),0)</f>
        <v>0</v>
      </c>
      <c r="I28" s="56">
        <f t="shared" si="17"/>
        <v>0</v>
      </c>
      <c r="J28" s="56">
        <f t="shared" si="17"/>
        <v>0</v>
      </c>
      <c r="K28" s="56">
        <f t="shared" si="17"/>
        <v>0</v>
      </c>
    </row>
    <row r="29" spans="1:11" ht="15.6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57"/>
      <c r="F29" s="58">
        <f t="shared" si="14"/>
        <v>0</v>
      </c>
      <c r="G29" s="59" t="s">
        <v>34</v>
      </c>
      <c r="H29" s="56">
        <f t="shared" ref="H29:K29" si="18">IF(H$9=2,IF(H$10=8,((H$5*H$6))*H$7,0),0)</f>
        <v>0</v>
      </c>
      <c r="I29" s="56">
        <f t="shared" si="18"/>
        <v>0</v>
      </c>
      <c r="J29" s="56">
        <f t="shared" si="18"/>
        <v>0</v>
      </c>
      <c r="K29" s="56">
        <f t="shared" si="18"/>
        <v>0</v>
      </c>
    </row>
    <row r="30" spans="1:11" ht="15.6" x14ac:dyDescent="0.3">
      <c r="A30" s="53" t="s">
        <v>182</v>
      </c>
      <c r="B30" s="54"/>
      <c r="C30" s="55" t="s">
        <v>34</v>
      </c>
      <c r="D30" s="56">
        <f>+D13</f>
        <v>1.4</v>
      </c>
      <c r="E30" s="57"/>
      <c r="F30" s="58">
        <f t="shared" si="14"/>
        <v>47.800000000000004</v>
      </c>
      <c r="G30" s="55" t="s">
        <v>34</v>
      </c>
      <c r="H30" s="56">
        <f t="shared" ref="H30:K30" si="19">+H13</f>
        <v>11.880000000000003</v>
      </c>
      <c r="I30" s="56">
        <f t="shared" si="19"/>
        <v>10.8</v>
      </c>
      <c r="J30" s="56">
        <f t="shared" si="19"/>
        <v>11.61</v>
      </c>
      <c r="K30" s="56">
        <f t="shared" si="19"/>
        <v>13.5</v>
      </c>
    </row>
    <row r="31" spans="1:11" ht="15.6" x14ac:dyDescent="0.3">
      <c r="A31" s="157" t="s">
        <v>12</v>
      </c>
      <c r="B31" s="54"/>
      <c r="C31" s="55" t="s">
        <v>13</v>
      </c>
      <c r="D31" s="56">
        <f>D7*(4*D5+4*D6+(D8-1)*D6)/6</f>
        <v>100.26666666666665</v>
      </c>
      <c r="E31" s="57"/>
      <c r="F31" s="58">
        <f t="shared" si="14"/>
        <v>24.4</v>
      </c>
      <c r="G31" s="55" t="s">
        <v>13</v>
      </c>
      <c r="H31" s="56">
        <f t="shared" ref="H31:K31" si="20">H7*(4*H5+4*H6+(H8-1)*H6)/6</f>
        <v>6.083333333333333</v>
      </c>
      <c r="I31" s="56">
        <f t="shared" si="20"/>
        <v>5.8166666666666673</v>
      </c>
      <c r="J31" s="56">
        <f t="shared" si="20"/>
        <v>6.0166666666666666</v>
      </c>
      <c r="K31" s="56">
        <f t="shared" si="20"/>
        <v>6.4833333333333343</v>
      </c>
    </row>
    <row r="32" spans="1:11" ht="15.6" x14ac:dyDescent="0.3">
      <c r="A32" s="53" t="s">
        <v>15</v>
      </c>
      <c r="B32" s="54"/>
      <c r="C32" s="55" t="s">
        <v>16</v>
      </c>
      <c r="D32" s="56">
        <f>+D31*12/20</f>
        <v>60.159999999999989</v>
      </c>
      <c r="E32" s="57"/>
      <c r="F32" s="58">
        <f t="shared" si="14"/>
        <v>14.7</v>
      </c>
      <c r="G32" s="55" t="s">
        <v>16</v>
      </c>
      <c r="H32" s="56">
        <f t="shared" ref="H32:K32" si="21">+H31*12/20</f>
        <v>3.65</v>
      </c>
      <c r="I32" s="56">
        <f t="shared" si="21"/>
        <v>3.4900000000000007</v>
      </c>
      <c r="J32" s="56">
        <f t="shared" si="21"/>
        <v>3.6100000000000003</v>
      </c>
      <c r="K32" s="56">
        <f t="shared" si="21"/>
        <v>3.8900000000000006</v>
      </c>
    </row>
    <row r="33" spans="1:11" ht="15.6" x14ac:dyDescent="0.3">
      <c r="A33" s="53" t="s">
        <v>295</v>
      </c>
      <c r="B33" s="54">
        <v>0.2</v>
      </c>
      <c r="C33" s="55" t="s">
        <v>186</v>
      </c>
      <c r="D33" s="56">
        <f>(2*D$6+2*D5)*$B33*D$7</f>
        <v>1.08</v>
      </c>
      <c r="E33" s="57"/>
      <c r="F33" s="58">
        <f>ROUNDUP(SUM(H33:HZ33)/(6*B33),1)</f>
        <v>9.5</v>
      </c>
      <c r="G33" s="55" t="s">
        <v>214</v>
      </c>
      <c r="H33" s="56">
        <f t="shared" ref="H33:K33" si="22">(2*H$6+2*H5)*$B33*H$7</f>
        <v>2.8400000000000003</v>
      </c>
      <c r="I33" s="56">
        <f t="shared" si="22"/>
        <v>2.68</v>
      </c>
      <c r="J33" s="56">
        <f t="shared" si="22"/>
        <v>2.8000000000000003</v>
      </c>
      <c r="K33" s="56">
        <f t="shared" si="22"/>
        <v>3.08</v>
      </c>
    </row>
    <row r="34" spans="1:11" ht="15.6" x14ac:dyDescent="0.3">
      <c r="A34" s="53" t="s">
        <v>221</v>
      </c>
      <c r="B34" s="54"/>
      <c r="C34" s="55" t="s">
        <v>34</v>
      </c>
      <c r="D34" s="56">
        <f>IF((D11="e"),D13,IF( (D11="E"),D13,0))</f>
        <v>0</v>
      </c>
      <c r="E34" s="57"/>
      <c r="F34" s="58">
        <f>ROUNDUP(SUM(H34:HZ34),1)</f>
        <v>0</v>
      </c>
      <c r="G34" s="55" t="s">
        <v>19</v>
      </c>
      <c r="H34" s="56">
        <f t="shared" ref="H34:K34" si="23">IF((H11="e"),H13,IF( (H11="E"),H13,0))</f>
        <v>0</v>
      </c>
      <c r="I34" s="56">
        <f t="shared" si="23"/>
        <v>0</v>
      </c>
      <c r="J34" s="56">
        <f t="shared" si="23"/>
        <v>0</v>
      </c>
      <c r="K34" s="56">
        <f t="shared" si="23"/>
        <v>0</v>
      </c>
    </row>
    <row r="35" spans="1:11" ht="15.6" x14ac:dyDescent="0.3">
      <c r="A35" s="53" t="s">
        <v>29</v>
      </c>
      <c r="B35" s="54"/>
      <c r="C35" s="55" t="s">
        <v>27</v>
      </c>
      <c r="D35" s="56">
        <f>D$7*(2*D$5+2*D$6)/0.4</f>
        <v>13.5</v>
      </c>
      <c r="E35" s="57"/>
      <c r="F35" s="58">
        <f>ROUNDUP(SUM(H35:HZ35),1)</f>
        <v>142.5</v>
      </c>
      <c r="G35" s="55" t="s">
        <v>27</v>
      </c>
      <c r="H35" s="56">
        <f t="shared" ref="H35:K36" si="24">H$7*(2*H$5+2*H$6)/0.4</f>
        <v>35.5</v>
      </c>
      <c r="I35" s="56">
        <f t="shared" si="24"/>
        <v>33.5</v>
      </c>
      <c r="J35" s="56">
        <f t="shared" si="24"/>
        <v>35</v>
      </c>
      <c r="K35" s="56">
        <f t="shared" si="24"/>
        <v>38.5</v>
      </c>
    </row>
    <row r="36" spans="1:11" ht="15.6" x14ac:dyDescent="0.3">
      <c r="A36" s="53" t="s">
        <v>30</v>
      </c>
      <c r="B36" s="54"/>
      <c r="C36" s="55" t="s">
        <v>27</v>
      </c>
      <c r="D36" s="56">
        <f>D$7*(2*D$5+2*D$6)/0.4</f>
        <v>13.5</v>
      </c>
      <c r="E36" s="57"/>
      <c r="F36" s="58">
        <f>ROUNDUP(SUM(H36:HZ36),1)</f>
        <v>142.5</v>
      </c>
      <c r="G36" s="55" t="s">
        <v>27</v>
      </c>
      <c r="H36" s="56">
        <f t="shared" si="24"/>
        <v>35.5</v>
      </c>
      <c r="I36" s="56">
        <f t="shared" si="24"/>
        <v>33.5</v>
      </c>
      <c r="J36" s="56">
        <f t="shared" si="24"/>
        <v>35</v>
      </c>
      <c r="K36" s="56">
        <f t="shared" si="24"/>
        <v>38.5</v>
      </c>
    </row>
    <row r="37" spans="1:11" ht="15.6" x14ac:dyDescent="0.3">
      <c r="A37" s="53" t="s">
        <v>211</v>
      </c>
      <c r="B37" s="54"/>
      <c r="C37" s="55" t="s">
        <v>47</v>
      </c>
      <c r="D37" s="56"/>
      <c r="E37" s="57"/>
      <c r="F37" s="58">
        <f>ROUNDUP(SUM(H37:HZ37),1)</f>
        <v>0</v>
      </c>
      <c r="G37" s="55" t="s">
        <v>47</v>
      </c>
      <c r="H37" s="56"/>
      <c r="I37" s="56"/>
      <c r="J37" s="56"/>
      <c r="K37" s="56"/>
    </row>
    <row r="38" spans="1:11" ht="15.6" x14ac:dyDescent="0.3">
      <c r="A38" s="53" t="s">
        <v>191</v>
      </c>
      <c r="B38" s="54"/>
      <c r="C38" s="55" t="s">
        <v>47</v>
      </c>
      <c r="D38" s="56"/>
      <c r="E38" s="57"/>
      <c r="F38" s="58">
        <f>ROUNDUP(SUM(H38:HZ38),1)</f>
        <v>0</v>
      </c>
      <c r="G38" s="55" t="s">
        <v>47</v>
      </c>
      <c r="H38" s="56"/>
      <c r="I38" s="56"/>
      <c r="J38" s="56"/>
      <c r="K38" s="56"/>
    </row>
    <row r="39" spans="1:11" ht="15.6" x14ac:dyDescent="0.3">
      <c r="A39" s="53" t="s">
        <v>203</v>
      </c>
      <c r="B39" s="54">
        <v>1.0129999999999999</v>
      </c>
      <c r="C39" s="55" t="s">
        <v>186</v>
      </c>
      <c r="D39" s="56"/>
      <c r="E39" s="57"/>
      <c r="F39" s="58">
        <f>ROUNDUP(SUM(H39:HZ39)/(6*B39),1)</f>
        <v>0</v>
      </c>
      <c r="G39" s="55" t="s">
        <v>214</v>
      </c>
      <c r="H39" s="56"/>
      <c r="I39" s="56"/>
      <c r="J39" s="56"/>
      <c r="K39" s="56"/>
    </row>
    <row r="40" spans="1:11" ht="15.6" x14ac:dyDescent="0.3">
      <c r="A40" s="53" t="s">
        <v>204</v>
      </c>
      <c r="B40" s="54">
        <v>0.40799999999999997</v>
      </c>
      <c r="C40" s="55" t="s">
        <v>186</v>
      </c>
      <c r="D40" s="56"/>
      <c r="E40" s="57"/>
      <c r="F40" s="58">
        <f>ROUNDUP(SUM(H40:HZ40)/(6*B40),1)</f>
        <v>0</v>
      </c>
      <c r="G40" s="55" t="s">
        <v>214</v>
      </c>
      <c r="H40" s="56"/>
      <c r="I40" s="56"/>
      <c r="J40" s="56"/>
      <c r="K40" s="56"/>
    </row>
    <row r="41" spans="1:11" ht="15.6" x14ac:dyDescent="0.3">
      <c r="A41" s="53" t="s">
        <v>205</v>
      </c>
      <c r="B41" s="54">
        <v>0.47799999999999998</v>
      </c>
      <c r="C41" s="55" t="s">
        <v>186</v>
      </c>
      <c r="D41" s="56"/>
      <c r="E41" s="57"/>
      <c r="F41" s="58">
        <f>ROUNDUP(SUM(H41:HZ41)/(6*B41),1)</f>
        <v>0</v>
      </c>
      <c r="G41" s="55" t="s">
        <v>214</v>
      </c>
      <c r="H41" s="56"/>
      <c r="I41" s="56"/>
      <c r="J41" s="56"/>
      <c r="K41" s="56"/>
    </row>
    <row r="42" spans="1:11" ht="15.6" x14ac:dyDescent="0.3">
      <c r="A42" s="53" t="s">
        <v>206</v>
      </c>
      <c r="B42" s="54">
        <v>0.125</v>
      </c>
      <c r="C42" s="55" t="s">
        <v>186</v>
      </c>
      <c r="D42" s="56"/>
      <c r="E42" s="57"/>
      <c r="F42" s="58">
        <f>ROUNDUP(SUM(H42:HZ42)/(6*B42),1)</f>
        <v>0</v>
      </c>
      <c r="G42" s="55" t="s">
        <v>214</v>
      </c>
      <c r="H42" s="56"/>
      <c r="I42" s="56"/>
      <c r="J42" s="56"/>
      <c r="K42" s="56"/>
    </row>
    <row r="43" spans="1:11" ht="15.6" x14ac:dyDescent="0.3">
      <c r="A43" s="60">
        <v>1510</v>
      </c>
      <c r="B43" s="54"/>
      <c r="C43" s="61" t="s">
        <v>27</v>
      </c>
      <c r="D43" s="56"/>
      <c r="E43" s="57"/>
      <c r="F43" s="58">
        <f t="shared" ref="F43:F49" si="25">ROUNDUP(SUM(H43:HZ43),1)</f>
        <v>0</v>
      </c>
      <c r="G43" s="61" t="s">
        <v>27</v>
      </c>
      <c r="H43" s="56"/>
      <c r="I43" s="56"/>
      <c r="J43" s="56"/>
      <c r="K43" s="56"/>
    </row>
    <row r="44" spans="1:11" ht="15.6" x14ac:dyDescent="0.3">
      <c r="A44" s="60">
        <v>1511</v>
      </c>
      <c r="B44" s="54"/>
      <c r="C44" s="61" t="s">
        <v>27</v>
      </c>
      <c r="D44" s="56"/>
      <c r="E44" s="57"/>
      <c r="F44" s="58">
        <f t="shared" si="25"/>
        <v>0</v>
      </c>
      <c r="G44" s="61" t="s">
        <v>27</v>
      </c>
      <c r="H44" s="56"/>
      <c r="I44" s="56"/>
      <c r="J44" s="56"/>
      <c r="K44" s="56"/>
    </row>
    <row r="45" spans="1:11" ht="15.6" x14ac:dyDescent="0.3">
      <c r="A45" s="53" t="s">
        <v>207</v>
      </c>
      <c r="B45" s="6"/>
      <c r="C45" s="61" t="s">
        <v>27</v>
      </c>
      <c r="D45" s="56"/>
      <c r="E45" s="57"/>
      <c r="F45" s="58">
        <f t="shared" si="25"/>
        <v>0</v>
      </c>
      <c r="G45" s="61" t="s">
        <v>27</v>
      </c>
      <c r="H45" s="56"/>
      <c r="I45" s="56"/>
      <c r="J45" s="56"/>
      <c r="K45" s="56"/>
    </row>
    <row r="46" spans="1:11" ht="15.6" x14ac:dyDescent="0.3">
      <c r="A46" s="53" t="s">
        <v>208</v>
      </c>
      <c r="B46" s="54"/>
      <c r="C46" s="55" t="s">
        <v>27</v>
      </c>
      <c r="D46" s="56"/>
      <c r="E46" s="57"/>
      <c r="F46" s="58">
        <f t="shared" si="25"/>
        <v>0</v>
      </c>
      <c r="G46" s="55" t="s">
        <v>27</v>
      </c>
      <c r="H46" s="56"/>
      <c r="I46" s="56"/>
      <c r="J46" s="56"/>
      <c r="K46" s="56"/>
    </row>
    <row r="47" spans="1:11" ht="15.6" x14ac:dyDescent="0.3">
      <c r="A47" s="53" t="s">
        <v>209</v>
      </c>
      <c r="B47" s="54"/>
      <c r="C47" s="55" t="s">
        <v>27</v>
      </c>
      <c r="D47" s="56"/>
      <c r="E47" s="57"/>
      <c r="F47" s="58">
        <f t="shared" si="25"/>
        <v>0</v>
      </c>
      <c r="G47" s="55" t="s">
        <v>27</v>
      </c>
      <c r="H47" s="56"/>
      <c r="I47" s="56"/>
      <c r="J47" s="56"/>
      <c r="K47" s="56"/>
    </row>
    <row r="48" spans="1:11" ht="15.6" x14ac:dyDescent="0.3">
      <c r="A48" s="53">
        <v>1335</v>
      </c>
      <c r="B48" s="54"/>
      <c r="C48" s="55" t="s">
        <v>27</v>
      </c>
      <c r="D48" s="56"/>
      <c r="E48" s="57"/>
      <c r="F48" s="58">
        <f t="shared" si="25"/>
        <v>0</v>
      </c>
      <c r="G48" s="55" t="s">
        <v>27</v>
      </c>
      <c r="H48" s="56"/>
      <c r="I48" s="56"/>
      <c r="J48" s="56"/>
      <c r="K48" s="56"/>
    </row>
    <row r="49" spans="1:11" s="62" customFormat="1" ht="15.6" x14ac:dyDescent="0.3">
      <c r="A49" s="53" t="s">
        <v>210</v>
      </c>
      <c r="B49" s="54"/>
      <c r="C49" s="55" t="s">
        <v>27</v>
      </c>
      <c r="D49" s="56"/>
      <c r="E49" s="57"/>
      <c r="F49" s="58">
        <f t="shared" si="25"/>
        <v>0</v>
      </c>
      <c r="G49" s="55" t="s">
        <v>27</v>
      </c>
      <c r="H49" s="56"/>
      <c r="I49" s="56"/>
      <c r="J49" s="56"/>
      <c r="K49" s="56"/>
    </row>
    <row r="50" spans="1:11" ht="15.6" x14ac:dyDescent="0.3">
      <c r="A50" s="53"/>
      <c r="B50" s="54"/>
      <c r="C50" s="55"/>
      <c r="D50" s="56"/>
      <c r="E50" s="57"/>
      <c r="F50" s="58"/>
      <c r="G50" s="55"/>
      <c r="H50" s="56"/>
      <c r="I50" s="56"/>
      <c r="J50" s="56"/>
      <c r="K50" s="56"/>
    </row>
    <row r="51" spans="1:11" x14ac:dyDescent="0.25">
      <c r="C51" s="63"/>
      <c r="D51" s="63"/>
      <c r="H51" s="63"/>
      <c r="I51" s="63"/>
      <c r="J51" s="63"/>
      <c r="K51" s="63"/>
    </row>
    <row r="52" spans="1:11" x14ac:dyDescent="0.25">
      <c r="C52" s="65"/>
      <c r="D52" s="65"/>
      <c r="H52" s="65"/>
      <c r="I52" s="65"/>
      <c r="J52" s="65"/>
      <c r="K52" s="65"/>
    </row>
    <row r="53" spans="1:11" ht="15.6" x14ac:dyDescent="0.3">
      <c r="A53" s="66" t="s">
        <v>188</v>
      </c>
      <c r="B53" s="67"/>
      <c r="C53" s="68"/>
      <c r="D53" s="68">
        <f>SUM(D54:D77)</f>
        <v>455.07041666666663</v>
      </c>
      <c r="F53" s="118">
        <f t="shared" ref="F53:F77" si="26">ROUNDUP(SUM(H53:HZ53),1)</f>
        <v>2483.1</v>
      </c>
      <c r="H53" s="68">
        <f t="shared" ref="H53:K53" si="27">SUM(H54:H77)</f>
        <v>617.4124833333334</v>
      </c>
      <c r="I53" s="68">
        <f t="shared" si="27"/>
        <v>563.76541666666674</v>
      </c>
      <c r="J53" s="68">
        <f t="shared" si="27"/>
        <v>604.00071666666656</v>
      </c>
      <c r="K53" s="68">
        <f t="shared" si="27"/>
        <v>697.88308333333327</v>
      </c>
    </row>
    <row r="54" spans="1:11" x14ac:dyDescent="0.25">
      <c r="A54" s="53" t="s">
        <v>33</v>
      </c>
      <c r="B54" s="54"/>
      <c r="C54" s="69">
        <f>+'Costo M.P.yMat.'!D29</f>
        <v>35.89</v>
      </c>
      <c r="D54" s="56">
        <f t="shared" ref="D54:D77" si="28">+$C54*D26</f>
        <v>51.502149999999993</v>
      </c>
      <c r="F54" s="117">
        <f t="shared" si="26"/>
        <v>1734.6</v>
      </c>
      <c r="H54" s="56">
        <f t="shared" ref="H54:K77" si="29">+$C54*H26</f>
        <v>431.2183500000001</v>
      </c>
      <c r="I54" s="56">
        <f t="shared" si="29"/>
        <v>392.45715000000001</v>
      </c>
      <c r="J54" s="56">
        <f t="shared" si="29"/>
        <v>421.52804999999995</v>
      </c>
      <c r="K54" s="56">
        <f t="shared" si="29"/>
        <v>489.36014999999998</v>
      </c>
    </row>
    <row r="55" spans="1:11" x14ac:dyDescent="0.25">
      <c r="A55" s="53" t="s">
        <v>40</v>
      </c>
      <c r="B55" s="54"/>
      <c r="C55" s="69">
        <f>+'Costo M.P.yMat.'!D34</f>
        <v>46.66</v>
      </c>
      <c r="D55" s="56">
        <f t="shared" si="28"/>
        <v>0</v>
      </c>
      <c r="F55" s="117">
        <f t="shared" si="26"/>
        <v>0</v>
      </c>
      <c r="H55" s="56">
        <f t="shared" si="29"/>
        <v>0</v>
      </c>
      <c r="I55" s="56">
        <f t="shared" si="29"/>
        <v>0</v>
      </c>
      <c r="J55" s="56">
        <f t="shared" si="29"/>
        <v>0</v>
      </c>
      <c r="K55" s="56">
        <f t="shared" si="29"/>
        <v>0</v>
      </c>
    </row>
    <row r="56" spans="1:11" x14ac:dyDescent="0.25">
      <c r="A56" s="53" t="s">
        <v>36</v>
      </c>
      <c r="B56" s="54"/>
      <c r="C56" s="69">
        <f>+'Costo M.P.yMat.'!D30</f>
        <v>34.699999999999996</v>
      </c>
      <c r="D56" s="56">
        <f t="shared" si="28"/>
        <v>0</v>
      </c>
      <c r="F56" s="117">
        <f t="shared" si="26"/>
        <v>0</v>
      </c>
      <c r="H56" s="56">
        <f t="shared" si="29"/>
        <v>0</v>
      </c>
      <c r="I56" s="56">
        <f t="shared" si="29"/>
        <v>0</v>
      </c>
      <c r="J56" s="56">
        <f t="shared" si="29"/>
        <v>0</v>
      </c>
      <c r="K56" s="56">
        <f t="shared" si="29"/>
        <v>0</v>
      </c>
    </row>
    <row r="57" spans="1:11" x14ac:dyDescent="0.25">
      <c r="A57" s="53" t="s">
        <v>41</v>
      </c>
      <c r="B57" s="54"/>
      <c r="C57" s="69">
        <f>+'Costo M.P.yMat.'!D35</f>
        <v>45.46</v>
      </c>
      <c r="D57" s="56">
        <f t="shared" si="28"/>
        <v>0</v>
      </c>
      <c r="F57" s="117">
        <f t="shared" si="26"/>
        <v>0</v>
      </c>
      <c r="H57" s="56">
        <f t="shared" si="29"/>
        <v>0</v>
      </c>
      <c r="I57" s="56">
        <f t="shared" si="29"/>
        <v>0</v>
      </c>
      <c r="J57" s="56">
        <f t="shared" si="29"/>
        <v>0</v>
      </c>
      <c r="K57" s="56">
        <f t="shared" si="29"/>
        <v>0</v>
      </c>
    </row>
    <row r="58" spans="1:11" x14ac:dyDescent="0.25">
      <c r="A58" s="53" t="s">
        <v>182</v>
      </c>
      <c r="B58" s="54"/>
      <c r="C58" s="69">
        <f>+'Costo M.P.yMat.'!D87</f>
        <v>11.4</v>
      </c>
      <c r="D58" s="56">
        <f t="shared" si="28"/>
        <v>15.959999999999999</v>
      </c>
      <c r="F58" s="117">
        <f t="shared" si="26"/>
        <v>544.9</v>
      </c>
      <c r="H58" s="56">
        <f t="shared" si="29"/>
        <v>135.43200000000004</v>
      </c>
      <c r="I58" s="56">
        <f t="shared" si="29"/>
        <v>123.12000000000002</v>
      </c>
      <c r="J58" s="56">
        <f t="shared" si="29"/>
        <v>132.35399999999998</v>
      </c>
      <c r="K58" s="56">
        <f t="shared" si="29"/>
        <v>153.9</v>
      </c>
    </row>
    <row r="59" spans="1:11" x14ac:dyDescent="0.25">
      <c r="A59" s="53" t="s">
        <v>190</v>
      </c>
      <c r="B59" s="54"/>
      <c r="C59" s="69">
        <f>+'Costo M.P.yMat.'!D7</f>
        <v>3.3099999999999996</v>
      </c>
      <c r="D59" s="56">
        <f t="shared" si="28"/>
        <v>331.88266666666658</v>
      </c>
      <c r="F59" s="117">
        <f t="shared" si="26"/>
        <v>80.8</v>
      </c>
      <c r="H59" s="56">
        <f t="shared" si="29"/>
        <v>20.135833333333331</v>
      </c>
      <c r="I59" s="56">
        <f t="shared" si="29"/>
        <v>19.253166666666665</v>
      </c>
      <c r="J59" s="56">
        <f t="shared" si="29"/>
        <v>19.915166666666664</v>
      </c>
      <c r="K59" s="56">
        <f t="shared" si="29"/>
        <v>21.459833333333332</v>
      </c>
    </row>
    <row r="60" spans="1:11" x14ac:dyDescent="0.25">
      <c r="A60" s="53" t="s">
        <v>15</v>
      </c>
      <c r="B60" s="54"/>
      <c r="C60" s="69">
        <f>+'Costo M.P.yMat.'!D9</f>
        <v>0.75</v>
      </c>
      <c r="D60" s="56">
        <f t="shared" si="28"/>
        <v>45.11999999999999</v>
      </c>
      <c r="F60" s="117">
        <f t="shared" si="26"/>
        <v>11</v>
      </c>
      <c r="H60" s="56">
        <f t="shared" si="29"/>
        <v>2.7374999999999998</v>
      </c>
      <c r="I60" s="56">
        <f t="shared" si="29"/>
        <v>2.6175000000000006</v>
      </c>
      <c r="J60" s="56">
        <f t="shared" si="29"/>
        <v>2.7075000000000005</v>
      </c>
      <c r="K60" s="56">
        <f t="shared" si="29"/>
        <v>2.9175000000000004</v>
      </c>
    </row>
    <row r="61" spans="1:11" x14ac:dyDescent="0.25">
      <c r="A61" s="53" t="s">
        <v>295</v>
      </c>
      <c r="B61" s="54">
        <v>0.2</v>
      </c>
      <c r="C61" s="69">
        <f>+'Costo M.P.yMat.'!$D$101</f>
        <v>8.82</v>
      </c>
      <c r="D61" s="56">
        <f t="shared" si="28"/>
        <v>9.5256000000000007</v>
      </c>
      <c r="F61" s="117">
        <f t="shared" si="26"/>
        <v>100.6</v>
      </c>
      <c r="H61" s="56">
        <f t="shared" si="29"/>
        <v>25.048800000000004</v>
      </c>
      <c r="I61" s="56">
        <f t="shared" si="29"/>
        <v>23.637600000000003</v>
      </c>
      <c r="J61" s="56">
        <f t="shared" si="29"/>
        <v>24.696000000000002</v>
      </c>
      <c r="K61" s="56">
        <f t="shared" si="29"/>
        <v>27.165600000000001</v>
      </c>
    </row>
    <row r="62" spans="1:11" x14ac:dyDescent="0.25">
      <c r="A62" s="53" t="s">
        <v>221</v>
      </c>
      <c r="B62" s="54"/>
      <c r="C62" s="69">
        <f>+'Costo M.P.yMat.'!D172</f>
        <v>1.1399999999999999</v>
      </c>
      <c r="D62" s="56">
        <f>+$C62*D34</f>
        <v>0</v>
      </c>
      <c r="F62" s="117">
        <f t="shared" si="26"/>
        <v>0</v>
      </c>
      <c r="H62" s="56">
        <f t="shared" ref="H62:K62" si="30">+$C62*H34</f>
        <v>0</v>
      </c>
      <c r="I62" s="56">
        <f t="shared" si="30"/>
        <v>0</v>
      </c>
      <c r="J62" s="56">
        <f t="shared" si="30"/>
        <v>0</v>
      </c>
      <c r="K62" s="56">
        <f t="shared" si="30"/>
        <v>0</v>
      </c>
    </row>
    <row r="63" spans="1:11" x14ac:dyDescent="0.25">
      <c r="A63" s="53" t="s">
        <v>29</v>
      </c>
      <c r="B63" s="54"/>
      <c r="C63" s="69">
        <f>+'Costo M.P.yMat.'!D19</f>
        <v>0.04</v>
      </c>
      <c r="D63" s="56">
        <f t="shared" si="28"/>
        <v>0.54</v>
      </c>
      <c r="F63" s="117">
        <f t="shared" si="26"/>
        <v>5.7</v>
      </c>
      <c r="H63" s="56">
        <f t="shared" si="29"/>
        <v>1.42</v>
      </c>
      <c r="I63" s="56">
        <f t="shared" si="29"/>
        <v>1.34</v>
      </c>
      <c r="J63" s="56">
        <f t="shared" si="29"/>
        <v>1.4000000000000001</v>
      </c>
      <c r="K63" s="56">
        <f t="shared" si="29"/>
        <v>1.54</v>
      </c>
    </row>
    <row r="64" spans="1:11" x14ac:dyDescent="0.25">
      <c r="A64" s="53" t="s">
        <v>30</v>
      </c>
      <c r="B64" s="54"/>
      <c r="C64" s="69">
        <f>+'Costo M.P.yMat.'!D20</f>
        <v>0.04</v>
      </c>
      <c r="D64" s="56">
        <f t="shared" si="28"/>
        <v>0.54</v>
      </c>
      <c r="F64" s="117">
        <f t="shared" si="26"/>
        <v>5.7</v>
      </c>
      <c r="H64" s="56">
        <f t="shared" si="29"/>
        <v>1.42</v>
      </c>
      <c r="I64" s="56">
        <f t="shared" si="29"/>
        <v>1.34</v>
      </c>
      <c r="J64" s="56">
        <f t="shared" si="29"/>
        <v>1.4000000000000001</v>
      </c>
      <c r="K64" s="56">
        <f t="shared" si="29"/>
        <v>1.54</v>
      </c>
    </row>
    <row r="65" spans="1:11" x14ac:dyDescent="0.25">
      <c r="A65" s="53" t="s">
        <v>211</v>
      </c>
      <c r="B65" s="54"/>
      <c r="C65" s="69">
        <f>+'Costo M.P.yMat.'!D43</f>
        <v>5.8999999999999995</v>
      </c>
      <c r="D65" s="56">
        <f t="shared" si="28"/>
        <v>0</v>
      </c>
      <c r="F65" s="117">
        <f t="shared" si="26"/>
        <v>0</v>
      </c>
      <c r="H65" s="56">
        <f t="shared" si="29"/>
        <v>0</v>
      </c>
      <c r="I65" s="56">
        <f t="shared" si="29"/>
        <v>0</v>
      </c>
      <c r="J65" s="56">
        <f t="shared" si="29"/>
        <v>0</v>
      </c>
      <c r="K65" s="56">
        <f t="shared" si="29"/>
        <v>0</v>
      </c>
    </row>
    <row r="66" spans="1:11" x14ac:dyDescent="0.25">
      <c r="A66" s="53" t="s">
        <v>191</v>
      </c>
      <c r="B66" s="54"/>
      <c r="C66" s="69">
        <f>+'Costo M.P.yMat.'!D42</f>
        <v>9.83</v>
      </c>
      <c r="D66" s="56">
        <f t="shared" si="28"/>
        <v>0</v>
      </c>
      <c r="F66" s="117">
        <f t="shared" si="26"/>
        <v>0</v>
      </c>
      <c r="H66" s="56">
        <f t="shared" si="29"/>
        <v>0</v>
      </c>
      <c r="I66" s="56">
        <f t="shared" si="29"/>
        <v>0</v>
      </c>
      <c r="J66" s="56">
        <f t="shared" si="29"/>
        <v>0</v>
      </c>
      <c r="K66" s="56">
        <f t="shared" si="29"/>
        <v>0</v>
      </c>
    </row>
    <row r="67" spans="1:11" x14ac:dyDescent="0.25">
      <c r="A67" s="53" t="s">
        <v>203</v>
      </c>
      <c r="B67" s="54">
        <v>1.0129999999999999</v>
      </c>
      <c r="C67" s="69">
        <f>+'Costo M.P.yMat.'!$D$101</f>
        <v>8.82</v>
      </c>
      <c r="D67" s="56">
        <f t="shared" si="28"/>
        <v>0</v>
      </c>
      <c r="F67" s="117">
        <f t="shared" si="26"/>
        <v>0</v>
      </c>
      <c r="H67" s="56">
        <f t="shared" si="29"/>
        <v>0</v>
      </c>
      <c r="I67" s="56">
        <f t="shared" si="29"/>
        <v>0</v>
      </c>
      <c r="J67" s="56">
        <f t="shared" si="29"/>
        <v>0</v>
      </c>
      <c r="K67" s="56">
        <f t="shared" si="29"/>
        <v>0</v>
      </c>
    </row>
    <row r="68" spans="1:11" x14ac:dyDescent="0.25">
      <c r="A68" s="53" t="s">
        <v>204</v>
      </c>
      <c r="B68" s="54">
        <v>0.40799999999999997</v>
      </c>
      <c r="C68" s="69">
        <f>+'Costo M.P.yMat.'!$D$101</f>
        <v>8.82</v>
      </c>
      <c r="D68" s="56">
        <f t="shared" si="28"/>
        <v>0</v>
      </c>
      <c r="F68" s="117">
        <f t="shared" si="26"/>
        <v>0</v>
      </c>
      <c r="H68" s="56">
        <f t="shared" si="29"/>
        <v>0</v>
      </c>
      <c r="I68" s="56">
        <f t="shared" si="29"/>
        <v>0</v>
      </c>
      <c r="J68" s="56">
        <f t="shared" si="29"/>
        <v>0</v>
      </c>
      <c r="K68" s="56">
        <f t="shared" si="29"/>
        <v>0</v>
      </c>
    </row>
    <row r="69" spans="1:11" x14ac:dyDescent="0.25">
      <c r="A69" s="53" t="s">
        <v>205</v>
      </c>
      <c r="B69" s="54">
        <v>0.47799999999999998</v>
      </c>
      <c r="C69" s="69">
        <f>+'Costo M.P.yMat.'!$D$101</f>
        <v>8.82</v>
      </c>
      <c r="D69" s="56">
        <f t="shared" si="28"/>
        <v>0</v>
      </c>
      <c r="F69" s="117">
        <f t="shared" si="26"/>
        <v>0</v>
      </c>
      <c r="H69" s="56">
        <f t="shared" si="29"/>
        <v>0</v>
      </c>
      <c r="I69" s="56">
        <f t="shared" si="29"/>
        <v>0</v>
      </c>
      <c r="J69" s="56">
        <f t="shared" si="29"/>
        <v>0</v>
      </c>
      <c r="K69" s="56">
        <f t="shared" si="29"/>
        <v>0</v>
      </c>
    </row>
    <row r="70" spans="1:11" x14ac:dyDescent="0.25">
      <c r="A70" s="53" t="s">
        <v>206</v>
      </c>
      <c r="B70" s="54">
        <v>0.125</v>
      </c>
      <c r="C70" s="69">
        <f>+'Costo M.P.yMat.'!$D$101</f>
        <v>8.82</v>
      </c>
      <c r="D70" s="56">
        <f t="shared" si="28"/>
        <v>0</v>
      </c>
      <c r="F70" s="117">
        <f t="shared" si="26"/>
        <v>0</v>
      </c>
      <c r="H70" s="56">
        <f t="shared" si="29"/>
        <v>0</v>
      </c>
      <c r="I70" s="56">
        <f t="shared" si="29"/>
        <v>0</v>
      </c>
      <c r="J70" s="56">
        <f t="shared" si="29"/>
        <v>0</v>
      </c>
      <c r="K70" s="56">
        <f t="shared" si="29"/>
        <v>0</v>
      </c>
    </row>
    <row r="71" spans="1:11" x14ac:dyDescent="0.25">
      <c r="A71" s="60">
        <v>1510</v>
      </c>
      <c r="B71" s="54"/>
      <c r="C71" s="69">
        <f>+'Costo M.P.yMat.'!D76</f>
        <v>20.680000000000003</v>
      </c>
      <c r="D71" s="56">
        <f t="shared" si="28"/>
        <v>0</v>
      </c>
      <c r="F71" s="117">
        <f t="shared" si="26"/>
        <v>0</v>
      </c>
      <c r="H71" s="56">
        <f t="shared" si="29"/>
        <v>0</v>
      </c>
      <c r="I71" s="56">
        <f t="shared" si="29"/>
        <v>0</v>
      </c>
      <c r="J71" s="56">
        <f t="shared" si="29"/>
        <v>0</v>
      </c>
      <c r="K71" s="56">
        <f t="shared" si="29"/>
        <v>0</v>
      </c>
    </row>
    <row r="72" spans="1:11" x14ac:dyDescent="0.25">
      <c r="A72" s="60">
        <v>1511</v>
      </c>
      <c r="B72" s="54"/>
      <c r="C72" s="69">
        <f>+'Costo M.P.yMat.'!D77</f>
        <v>11</v>
      </c>
      <c r="D72" s="56">
        <f t="shared" si="28"/>
        <v>0</v>
      </c>
      <c r="F72" s="117">
        <f t="shared" si="26"/>
        <v>0</v>
      </c>
      <c r="H72" s="56">
        <f t="shared" si="29"/>
        <v>0</v>
      </c>
      <c r="I72" s="56">
        <f t="shared" si="29"/>
        <v>0</v>
      </c>
      <c r="J72" s="56">
        <f t="shared" si="29"/>
        <v>0</v>
      </c>
      <c r="K72" s="56">
        <f t="shared" si="29"/>
        <v>0</v>
      </c>
    </row>
    <row r="73" spans="1:11" x14ac:dyDescent="0.25">
      <c r="A73" s="53" t="s">
        <v>207</v>
      </c>
      <c r="B73" s="6"/>
      <c r="C73" s="69">
        <f>+'Costo M.P.yMat.'!D78</f>
        <v>2.4499999999999997</v>
      </c>
      <c r="D73" s="56">
        <f t="shared" si="28"/>
        <v>0</v>
      </c>
      <c r="F73" s="117">
        <f t="shared" si="26"/>
        <v>0</v>
      </c>
      <c r="H73" s="56">
        <f t="shared" si="29"/>
        <v>0</v>
      </c>
      <c r="I73" s="56">
        <f t="shared" si="29"/>
        <v>0</v>
      </c>
      <c r="J73" s="56">
        <f t="shared" si="29"/>
        <v>0</v>
      </c>
      <c r="K73" s="56">
        <f t="shared" si="29"/>
        <v>0</v>
      </c>
    </row>
    <row r="74" spans="1:11" x14ac:dyDescent="0.25">
      <c r="A74" s="53" t="s">
        <v>208</v>
      </c>
      <c r="B74" s="54"/>
      <c r="C74" s="69">
        <f>+'Costo M.P.yMat.'!D62</f>
        <v>2.6799999999999997</v>
      </c>
      <c r="D74" s="56">
        <f t="shared" si="28"/>
        <v>0</v>
      </c>
      <c r="F74" s="117">
        <f t="shared" si="26"/>
        <v>0</v>
      </c>
      <c r="H74" s="56">
        <f t="shared" si="29"/>
        <v>0</v>
      </c>
      <c r="I74" s="56">
        <f t="shared" si="29"/>
        <v>0</v>
      </c>
      <c r="J74" s="56">
        <f t="shared" si="29"/>
        <v>0</v>
      </c>
      <c r="K74" s="56">
        <f t="shared" si="29"/>
        <v>0</v>
      </c>
    </row>
    <row r="75" spans="1:11" x14ac:dyDescent="0.25">
      <c r="A75" s="53" t="s">
        <v>209</v>
      </c>
      <c r="B75" s="54"/>
      <c r="C75" s="69">
        <f>+'Costo M.P.yMat.'!D82</f>
        <v>2.4499999999999997</v>
      </c>
      <c r="D75" s="56">
        <f t="shared" si="28"/>
        <v>0</v>
      </c>
      <c r="F75" s="117">
        <f t="shared" si="26"/>
        <v>0</v>
      </c>
      <c r="H75" s="56">
        <f t="shared" si="29"/>
        <v>0</v>
      </c>
      <c r="I75" s="56">
        <f t="shared" si="29"/>
        <v>0</v>
      </c>
      <c r="J75" s="56">
        <f t="shared" si="29"/>
        <v>0</v>
      </c>
      <c r="K75" s="56">
        <f t="shared" si="29"/>
        <v>0</v>
      </c>
    </row>
    <row r="76" spans="1:11" x14ac:dyDescent="0.25">
      <c r="A76" s="53">
        <v>1335</v>
      </c>
      <c r="B76" s="54"/>
      <c r="C76" s="69">
        <f>+'Costo M.P.yMat.'!D73</f>
        <v>5.87</v>
      </c>
      <c r="D76" s="56">
        <f t="shared" si="28"/>
        <v>0</v>
      </c>
      <c r="F76" s="117">
        <f t="shared" si="26"/>
        <v>0</v>
      </c>
      <c r="H76" s="56">
        <f t="shared" si="29"/>
        <v>0</v>
      </c>
      <c r="I76" s="56">
        <f t="shared" si="29"/>
        <v>0</v>
      </c>
      <c r="J76" s="56">
        <f t="shared" si="29"/>
        <v>0</v>
      </c>
      <c r="K76" s="56">
        <f t="shared" si="29"/>
        <v>0</v>
      </c>
    </row>
    <row r="77" spans="1:11" x14ac:dyDescent="0.25">
      <c r="A77" s="53" t="s">
        <v>210</v>
      </c>
      <c r="B77" s="54"/>
      <c r="C77" s="69">
        <f>+'Costo M.P.yMat.'!D54</f>
        <v>1.32</v>
      </c>
      <c r="D77" s="56">
        <f t="shared" si="28"/>
        <v>0</v>
      </c>
      <c r="F77" s="117">
        <f t="shared" si="26"/>
        <v>0</v>
      </c>
      <c r="H77" s="56">
        <f t="shared" si="29"/>
        <v>0</v>
      </c>
      <c r="I77" s="56">
        <f t="shared" si="29"/>
        <v>0</v>
      </c>
      <c r="J77" s="56">
        <f t="shared" si="29"/>
        <v>0</v>
      </c>
      <c r="K77" s="56">
        <f t="shared" si="29"/>
        <v>0</v>
      </c>
    </row>
    <row r="78" spans="1:11" x14ac:dyDescent="0.25">
      <c r="C78" s="70"/>
      <c r="D78" s="65"/>
      <c r="H78" s="65"/>
      <c r="I78" s="65"/>
      <c r="J78" s="65"/>
      <c r="K78" s="65"/>
    </row>
    <row r="79" spans="1:11" x14ac:dyDescent="0.25">
      <c r="C79" s="70"/>
      <c r="D79" s="65"/>
      <c r="H79" s="65"/>
      <c r="I79" s="65"/>
      <c r="J79" s="65"/>
      <c r="K79" s="65"/>
    </row>
    <row r="80" spans="1:11" s="72" customFormat="1" ht="15.6" x14ac:dyDescent="0.3">
      <c r="A80" s="66" t="s">
        <v>187</v>
      </c>
      <c r="B80" s="67"/>
      <c r="C80" s="68"/>
      <c r="D80" s="68">
        <f>SUM(D81:D104)</f>
        <v>438.89421666666664</v>
      </c>
      <c r="E80" s="71"/>
      <c r="F80" s="118">
        <f t="shared" ref="F80:F104" si="31">ROUNDUP(SUM(H80:HZ80),1)</f>
        <v>2400.6999999999998</v>
      </c>
      <c r="H80" s="68">
        <f t="shared" ref="H80:K80" si="32">SUM(H81:H104)</f>
        <v>596.92238333333341</v>
      </c>
      <c r="I80" s="68">
        <f t="shared" si="32"/>
        <v>545.08331666666675</v>
      </c>
      <c r="J80" s="68">
        <f t="shared" si="32"/>
        <v>583.96261666666658</v>
      </c>
      <c r="K80" s="68">
        <f t="shared" si="32"/>
        <v>674.68098333333319</v>
      </c>
    </row>
    <row r="81" spans="1:11" x14ac:dyDescent="0.25">
      <c r="A81" s="53" t="s">
        <v>33</v>
      </c>
      <c r="B81" s="54"/>
      <c r="C81" s="69">
        <f>+'Costo M.P.yMat.'!E29</f>
        <v>34.65</v>
      </c>
      <c r="D81" s="56">
        <f t="shared" ref="D81:D104" si="33">+$C81*D26</f>
        <v>49.722749999999991</v>
      </c>
      <c r="F81" s="117">
        <f t="shared" si="31"/>
        <v>1674.6999999999998</v>
      </c>
      <c r="H81" s="56">
        <f t="shared" ref="H81:K104" si="34">+$C81*H26</f>
        <v>416.31975000000006</v>
      </c>
      <c r="I81" s="56">
        <f t="shared" si="34"/>
        <v>378.89774999999997</v>
      </c>
      <c r="J81" s="56">
        <f t="shared" si="34"/>
        <v>406.96424999999994</v>
      </c>
      <c r="K81" s="56">
        <f t="shared" si="34"/>
        <v>472.45274999999998</v>
      </c>
    </row>
    <row r="82" spans="1:11" x14ac:dyDescent="0.25">
      <c r="A82" s="53" t="s">
        <v>40</v>
      </c>
      <c r="B82" s="54"/>
      <c r="C82" s="69">
        <f>+'Costo M.P.yMat.'!E34</f>
        <v>45.05</v>
      </c>
      <c r="D82" s="56">
        <f t="shared" si="33"/>
        <v>0</v>
      </c>
      <c r="F82" s="117">
        <f t="shared" si="31"/>
        <v>0</v>
      </c>
      <c r="H82" s="56">
        <f t="shared" si="34"/>
        <v>0</v>
      </c>
      <c r="I82" s="56">
        <f t="shared" si="34"/>
        <v>0</v>
      </c>
      <c r="J82" s="56">
        <f t="shared" si="34"/>
        <v>0</v>
      </c>
      <c r="K82" s="56">
        <f t="shared" si="34"/>
        <v>0</v>
      </c>
    </row>
    <row r="83" spans="1:11" x14ac:dyDescent="0.25">
      <c r="A83" s="53" t="s">
        <v>36</v>
      </c>
      <c r="B83" s="54"/>
      <c r="C83" s="69">
        <f>+'Costo M.P.yMat.'!E30</f>
        <v>33.5</v>
      </c>
      <c r="D83" s="56">
        <f t="shared" si="33"/>
        <v>0</v>
      </c>
      <c r="F83" s="117">
        <f t="shared" si="31"/>
        <v>0</v>
      </c>
      <c r="H83" s="56">
        <f t="shared" si="34"/>
        <v>0</v>
      </c>
      <c r="I83" s="56">
        <f t="shared" si="34"/>
        <v>0</v>
      </c>
      <c r="J83" s="56">
        <f t="shared" si="34"/>
        <v>0</v>
      </c>
      <c r="K83" s="56">
        <f t="shared" si="34"/>
        <v>0</v>
      </c>
    </row>
    <row r="84" spans="1:11" x14ac:dyDescent="0.25">
      <c r="A84" s="53" t="s">
        <v>41</v>
      </c>
      <c r="B84" s="54"/>
      <c r="C84" s="69">
        <f>+'Costo M.P.yMat.'!E35</f>
        <v>43.89</v>
      </c>
      <c r="D84" s="56">
        <f t="shared" si="33"/>
        <v>0</v>
      </c>
      <c r="F84" s="117">
        <f t="shared" si="31"/>
        <v>0</v>
      </c>
      <c r="H84" s="56">
        <f t="shared" si="34"/>
        <v>0</v>
      </c>
      <c r="I84" s="56">
        <f t="shared" si="34"/>
        <v>0</v>
      </c>
      <c r="J84" s="56">
        <f t="shared" si="34"/>
        <v>0</v>
      </c>
      <c r="K84" s="56">
        <f t="shared" si="34"/>
        <v>0</v>
      </c>
    </row>
    <row r="85" spans="1:11" x14ac:dyDescent="0.25">
      <c r="A85" s="53" t="s">
        <v>182</v>
      </c>
      <c r="B85" s="54"/>
      <c r="C85" s="69">
        <f>+'Costo M.P.yMat.'!E87</f>
        <v>11</v>
      </c>
      <c r="D85" s="56">
        <f t="shared" si="33"/>
        <v>15.399999999999999</v>
      </c>
      <c r="F85" s="117">
        <f t="shared" si="31"/>
        <v>525.70000000000005</v>
      </c>
      <c r="H85" s="56">
        <f t="shared" si="34"/>
        <v>130.68000000000004</v>
      </c>
      <c r="I85" s="56">
        <f t="shared" si="34"/>
        <v>118.80000000000001</v>
      </c>
      <c r="J85" s="56">
        <f t="shared" si="34"/>
        <v>127.71</v>
      </c>
      <c r="K85" s="56">
        <f t="shared" si="34"/>
        <v>148.5</v>
      </c>
    </row>
    <row r="86" spans="1:11" x14ac:dyDescent="0.25">
      <c r="A86" s="53" t="s">
        <v>190</v>
      </c>
      <c r="B86" s="54"/>
      <c r="C86" s="69">
        <f>+'Costo M.P.yMat.'!E7</f>
        <v>3.19</v>
      </c>
      <c r="D86" s="56">
        <f t="shared" si="33"/>
        <v>319.8506666666666</v>
      </c>
      <c r="F86" s="117">
        <f t="shared" si="31"/>
        <v>77.899999999999991</v>
      </c>
      <c r="H86" s="56">
        <f t="shared" si="34"/>
        <v>19.405833333333334</v>
      </c>
      <c r="I86" s="56">
        <f t="shared" si="34"/>
        <v>18.555166666666668</v>
      </c>
      <c r="J86" s="56">
        <f t="shared" si="34"/>
        <v>19.193166666666666</v>
      </c>
      <c r="K86" s="56">
        <f t="shared" si="34"/>
        <v>20.681833333333337</v>
      </c>
    </row>
    <row r="87" spans="1:11" x14ac:dyDescent="0.25">
      <c r="A87" s="53" t="s">
        <v>15</v>
      </c>
      <c r="B87" s="54"/>
      <c r="C87" s="69">
        <f>+'Costo M.P.yMat.'!E9</f>
        <v>0.72</v>
      </c>
      <c r="D87" s="56">
        <f t="shared" si="33"/>
        <v>43.31519999999999</v>
      </c>
      <c r="F87" s="117">
        <f t="shared" si="31"/>
        <v>10.6</v>
      </c>
      <c r="H87" s="56">
        <f t="shared" si="34"/>
        <v>2.6279999999999997</v>
      </c>
      <c r="I87" s="56">
        <f t="shared" si="34"/>
        <v>2.5128000000000004</v>
      </c>
      <c r="J87" s="56">
        <f t="shared" si="34"/>
        <v>2.5992000000000002</v>
      </c>
      <c r="K87" s="56">
        <f t="shared" si="34"/>
        <v>2.8008000000000002</v>
      </c>
    </row>
    <row r="88" spans="1:11" x14ac:dyDescent="0.25">
      <c r="A88" s="53" t="s">
        <v>295</v>
      </c>
      <c r="B88" s="54">
        <v>0.2</v>
      </c>
      <c r="C88" s="69">
        <f>+'Costo M.P.yMat.'!$D$101</f>
        <v>8.82</v>
      </c>
      <c r="D88" s="56">
        <f t="shared" si="33"/>
        <v>9.5256000000000007</v>
      </c>
      <c r="F88" s="117">
        <f t="shared" si="31"/>
        <v>100.6</v>
      </c>
      <c r="H88" s="56">
        <f t="shared" si="34"/>
        <v>25.048800000000004</v>
      </c>
      <c r="I88" s="56">
        <f t="shared" si="34"/>
        <v>23.637600000000003</v>
      </c>
      <c r="J88" s="56">
        <f t="shared" si="34"/>
        <v>24.696000000000002</v>
      </c>
      <c r="K88" s="56">
        <f t="shared" si="34"/>
        <v>27.165600000000001</v>
      </c>
    </row>
    <row r="89" spans="1:11" x14ac:dyDescent="0.25">
      <c r="A89" s="53" t="s">
        <v>221</v>
      </c>
      <c r="B89" s="54"/>
      <c r="C89" s="69">
        <f>+'Costo M.P.yMat.'!E172</f>
        <v>1.1000000000000001</v>
      </c>
      <c r="D89" s="56">
        <f>+$C89*D34</f>
        <v>0</v>
      </c>
      <c r="F89" s="117">
        <f t="shared" si="31"/>
        <v>0</v>
      </c>
      <c r="H89" s="56">
        <f t="shared" ref="H89:K89" si="35">+$C89*H34</f>
        <v>0</v>
      </c>
      <c r="I89" s="56">
        <f t="shared" si="35"/>
        <v>0</v>
      </c>
      <c r="J89" s="56">
        <f t="shared" si="35"/>
        <v>0</v>
      </c>
      <c r="K89" s="56">
        <f t="shared" si="35"/>
        <v>0</v>
      </c>
    </row>
    <row r="90" spans="1:11" x14ac:dyDescent="0.25">
      <c r="A90" s="53" t="s">
        <v>29</v>
      </c>
      <c r="B90" s="54"/>
      <c r="C90" s="69">
        <f>+'Costo M.P.yMat.'!E19</f>
        <v>0.04</v>
      </c>
      <c r="D90" s="56">
        <f t="shared" si="33"/>
        <v>0.54</v>
      </c>
      <c r="F90" s="117">
        <f t="shared" si="31"/>
        <v>5.7</v>
      </c>
      <c r="H90" s="56">
        <f t="shared" si="34"/>
        <v>1.42</v>
      </c>
      <c r="I90" s="56">
        <f t="shared" si="34"/>
        <v>1.34</v>
      </c>
      <c r="J90" s="56">
        <f t="shared" si="34"/>
        <v>1.4000000000000001</v>
      </c>
      <c r="K90" s="56">
        <f t="shared" si="34"/>
        <v>1.54</v>
      </c>
    </row>
    <row r="91" spans="1:11" x14ac:dyDescent="0.25">
      <c r="A91" s="53" t="s">
        <v>30</v>
      </c>
      <c r="B91" s="54"/>
      <c r="C91" s="69">
        <f>+'Costo M.P.yMat.'!E20</f>
        <v>0.04</v>
      </c>
      <c r="D91" s="56">
        <f t="shared" si="33"/>
        <v>0.54</v>
      </c>
      <c r="F91" s="117">
        <f t="shared" si="31"/>
        <v>5.7</v>
      </c>
      <c r="H91" s="56">
        <f t="shared" si="34"/>
        <v>1.42</v>
      </c>
      <c r="I91" s="56">
        <f t="shared" si="34"/>
        <v>1.34</v>
      </c>
      <c r="J91" s="56">
        <f t="shared" si="34"/>
        <v>1.4000000000000001</v>
      </c>
      <c r="K91" s="56">
        <f t="shared" si="34"/>
        <v>1.54</v>
      </c>
    </row>
    <row r="92" spans="1:11" x14ac:dyDescent="0.25">
      <c r="A92" s="53" t="s">
        <v>211</v>
      </c>
      <c r="B92" s="54"/>
      <c r="C92" s="69">
        <f>+'Costo M.P.yMat.'!E43</f>
        <v>5.7</v>
      </c>
      <c r="D92" s="56">
        <f t="shared" si="33"/>
        <v>0</v>
      </c>
      <c r="F92" s="117">
        <f t="shared" si="31"/>
        <v>0</v>
      </c>
      <c r="H92" s="56">
        <f t="shared" si="34"/>
        <v>0</v>
      </c>
      <c r="I92" s="56">
        <f t="shared" si="34"/>
        <v>0</v>
      </c>
      <c r="J92" s="56">
        <f t="shared" si="34"/>
        <v>0</v>
      </c>
      <c r="K92" s="56">
        <f t="shared" si="34"/>
        <v>0</v>
      </c>
    </row>
    <row r="93" spans="1:11" x14ac:dyDescent="0.25">
      <c r="A93" s="53" t="s">
        <v>191</v>
      </c>
      <c r="B93" s="54"/>
      <c r="C93" s="69">
        <f>+'Costo M.P.yMat.'!E42</f>
        <v>9.49</v>
      </c>
      <c r="D93" s="56">
        <f t="shared" si="33"/>
        <v>0</v>
      </c>
      <c r="F93" s="117">
        <f t="shared" si="31"/>
        <v>0</v>
      </c>
      <c r="H93" s="56">
        <f t="shared" si="34"/>
        <v>0</v>
      </c>
      <c r="I93" s="56">
        <f t="shared" si="34"/>
        <v>0</v>
      </c>
      <c r="J93" s="56">
        <f t="shared" si="34"/>
        <v>0</v>
      </c>
      <c r="K93" s="56">
        <f t="shared" si="34"/>
        <v>0</v>
      </c>
    </row>
    <row r="94" spans="1:11" x14ac:dyDescent="0.25">
      <c r="A94" s="53" t="s">
        <v>203</v>
      </c>
      <c r="B94" s="54">
        <v>1.0129999999999999</v>
      </c>
      <c r="C94" s="69">
        <f>+'Costo M.P.yMat.'!$D$101</f>
        <v>8.82</v>
      </c>
      <c r="D94" s="56">
        <f t="shared" si="33"/>
        <v>0</v>
      </c>
      <c r="F94" s="117">
        <f t="shared" si="31"/>
        <v>0</v>
      </c>
      <c r="H94" s="56">
        <f t="shared" si="34"/>
        <v>0</v>
      </c>
      <c r="I94" s="56">
        <f t="shared" si="34"/>
        <v>0</v>
      </c>
      <c r="J94" s="56">
        <f t="shared" si="34"/>
        <v>0</v>
      </c>
      <c r="K94" s="56">
        <f t="shared" si="34"/>
        <v>0</v>
      </c>
    </row>
    <row r="95" spans="1:11" x14ac:dyDescent="0.25">
      <c r="A95" s="53" t="s">
        <v>204</v>
      </c>
      <c r="B95" s="54">
        <v>0.40799999999999997</v>
      </c>
      <c r="C95" s="69">
        <f>+'Costo M.P.yMat.'!$D$101</f>
        <v>8.82</v>
      </c>
      <c r="D95" s="56">
        <f t="shared" si="33"/>
        <v>0</v>
      </c>
      <c r="F95" s="117">
        <f t="shared" si="31"/>
        <v>0</v>
      </c>
      <c r="H95" s="56">
        <f t="shared" si="34"/>
        <v>0</v>
      </c>
      <c r="I95" s="56">
        <f t="shared" si="34"/>
        <v>0</v>
      </c>
      <c r="J95" s="56">
        <f t="shared" si="34"/>
        <v>0</v>
      </c>
      <c r="K95" s="56">
        <f t="shared" si="34"/>
        <v>0</v>
      </c>
    </row>
    <row r="96" spans="1:11" x14ac:dyDescent="0.25">
      <c r="A96" s="53" t="s">
        <v>205</v>
      </c>
      <c r="B96" s="54">
        <v>0.47799999999999998</v>
      </c>
      <c r="C96" s="69">
        <f>+'Costo M.P.yMat.'!$D$101</f>
        <v>8.82</v>
      </c>
      <c r="D96" s="56">
        <f t="shared" si="33"/>
        <v>0</v>
      </c>
      <c r="F96" s="117">
        <f t="shared" si="31"/>
        <v>0</v>
      </c>
      <c r="H96" s="56">
        <f t="shared" si="34"/>
        <v>0</v>
      </c>
      <c r="I96" s="56">
        <f t="shared" si="34"/>
        <v>0</v>
      </c>
      <c r="J96" s="56">
        <f t="shared" si="34"/>
        <v>0</v>
      </c>
      <c r="K96" s="56">
        <f t="shared" si="34"/>
        <v>0</v>
      </c>
    </row>
    <row r="97" spans="1:11" x14ac:dyDescent="0.25">
      <c r="A97" s="53" t="s">
        <v>206</v>
      </c>
      <c r="B97" s="54">
        <v>0.125</v>
      </c>
      <c r="C97" s="69">
        <f>+'Costo M.P.yMat.'!$D$101</f>
        <v>8.82</v>
      </c>
      <c r="D97" s="56">
        <f t="shared" si="33"/>
        <v>0</v>
      </c>
      <c r="F97" s="117">
        <f t="shared" si="31"/>
        <v>0</v>
      </c>
      <c r="H97" s="56">
        <f t="shared" si="34"/>
        <v>0</v>
      </c>
      <c r="I97" s="56">
        <f t="shared" si="34"/>
        <v>0</v>
      </c>
      <c r="J97" s="56">
        <f t="shared" si="34"/>
        <v>0</v>
      </c>
      <c r="K97" s="56">
        <f t="shared" si="34"/>
        <v>0</v>
      </c>
    </row>
    <row r="98" spans="1:11" x14ac:dyDescent="0.25">
      <c r="A98" s="60">
        <v>1510</v>
      </c>
      <c r="B98" s="54"/>
      <c r="C98" s="69">
        <f>+'Costo M.P.yMat.'!E76</f>
        <v>19.970000000000002</v>
      </c>
      <c r="D98" s="56">
        <f t="shared" si="33"/>
        <v>0</v>
      </c>
      <c r="F98" s="117">
        <f t="shared" si="31"/>
        <v>0</v>
      </c>
      <c r="H98" s="56">
        <f t="shared" si="34"/>
        <v>0</v>
      </c>
      <c r="I98" s="56">
        <f t="shared" si="34"/>
        <v>0</v>
      </c>
      <c r="J98" s="56">
        <f t="shared" si="34"/>
        <v>0</v>
      </c>
      <c r="K98" s="56">
        <f t="shared" si="34"/>
        <v>0</v>
      </c>
    </row>
    <row r="99" spans="1:11" x14ac:dyDescent="0.25">
      <c r="A99" s="60">
        <v>1511</v>
      </c>
      <c r="B99" s="54"/>
      <c r="C99" s="69">
        <f>+'Costo M.P.yMat.'!E77</f>
        <v>10.62</v>
      </c>
      <c r="D99" s="56">
        <f t="shared" si="33"/>
        <v>0</v>
      </c>
      <c r="F99" s="117">
        <f t="shared" si="31"/>
        <v>0</v>
      </c>
      <c r="H99" s="56">
        <f t="shared" si="34"/>
        <v>0</v>
      </c>
      <c r="I99" s="56">
        <f t="shared" si="34"/>
        <v>0</v>
      </c>
      <c r="J99" s="56">
        <f t="shared" si="34"/>
        <v>0</v>
      </c>
      <c r="K99" s="56">
        <f t="shared" si="34"/>
        <v>0</v>
      </c>
    </row>
    <row r="100" spans="1:11" x14ac:dyDescent="0.25">
      <c r="A100" s="53" t="s">
        <v>207</v>
      </c>
      <c r="B100" s="6"/>
      <c r="C100" s="69">
        <f>+'Costo M.P.yMat.'!E78</f>
        <v>2.3699999999999997</v>
      </c>
      <c r="D100" s="56">
        <f t="shared" si="33"/>
        <v>0</v>
      </c>
      <c r="F100" s="117">
        <f t="shared" si="31"/>
        <v>0</v>
      </c>
      <c r="H100" s="56">
        <f t="shared" si="34"/>
        <v>0</v>
      </c>
      <c r="I100" s="56">
        <f t="shared" si="34"/>
        <v>0</v>
      </c>
      <c r="J100" s="56">
        <f t="shared" si="34"/>
        <v>0</v>
      </c>
      <c r="K100" s="56">
        <f t="shared" si="34"/>
        <v>0</v>
      </c>
    </row>
    <row r="101" spans="1:11" x14ac:dyDescent="0.25">
      <c r="A101" s="53" t="s">
        <v>208</v>
      </c>
      <c r="B101" s="54"/>
      <c r="C101" s="69">
        <f>+'Costo M.P.yMat.'!E62</f>
        <v>2.59</v>
      </c>
      <c r="D101" s="56">
        <f t="shared" si="33"/>
        <v>0</v>
      </c>
      <c r="F101" s="117">
        <f t="shared" si="31"/>
        <v>0</v>
      </c>
      <c r="H101" s="56">
        <f t="shared" si="34"/>
        <v>0</v>
      </c>
      <c r="I101" s="56">
        <f t="shared" si="34"/>
        <v>0</v>
      </c>
      <c r="J101" s="56">
        <f t="shared" si="34"/>
        <v>0</v>
      </c>
      <c r="K101" s="56">
        <f t="shared" si="34"/>
        <v>0</v>
      </c>
    </row>
    <row r="102" spans="1:11" x14ac:dyDescent="0.25">
      <c r="A102" s="53" t="s">
        <v>209</v>
      </c>
      <c r="B102" s="54"/>
      <c r="C102" s="69">
        <f>+'Costo M.P.yMat.'!E82</f>
        <v>2.3699999999999997</v>
      </c>
      <c r="D102" s="56">
        <f t="shared" si="33"/>
        <v>0</v>
      </c>
      <c r="F102" s="117">
        <f t="shared" si="31"/>
        <v>0</v>
      </c>
      <c r="H102" s="56">
        <f t="shared" si="34"/>
        <v>0</v>
      </c>
      <c r="I102" s="56">
        <f t="shared" si="34"/>
        <v>0</v>
      </c>
      <c r="J102" s="56">
        <f t="shared" si="34"/>
        <v>0</v>
      </c>
      <c r="K102" s="56">
        <f t="shared" si="34"/>
        <v>0</v>
      </c>
    </row>
    <row r="103" spans="1:11" x14ac:dyDescent="0.25">
      <c r="A103" s="53">
        <v>1335</v>
      </c>
      <c r="B103" s="54"/>
      <c r="C103" s="69">
        <f>+'Costo M.P.yMat.'!E73</f>
        <v>5.67</v>
      </c>
      <c r="D103" s="56">
        <f t="shared" si="33"/>
        <v>0</v>
      </c>
      <c r="F103" s="117">
        <f t="shared" si="31"/>
        <v>0</v>
      </c>
      <c r="H103" s="56">
        <f t="shared" si="34"/>
        <v>0</v>
      </c>
      <c r="I103" s="56">
        <f t="shared" si="34"/>
        <v>0</v>
      </c>
      <c r="J103" s="56">
        <f t="shared" si="34"/>
        <v>0</v>
      </c>
      <c r="K103" s="56">
        <f t="shared" si="34"/>
        <v>0</v>
      </c>
    </row>
    <row r="104" spans="1:11" x14ac:dyDescent="0.25">
      <c r="A104" s="53" t="s">
        <v>210</v>
      </c>
      <c r="B104" s="54"/>
      <c r="C104" s="69">
        <f>+'Costo M.P.yMat.'!E54</f>
        <v>1.27</v>
      </c>
      <c r="D104" s="56">
        <f t="shared" si="33"/>
        <v>0</v>
      </c>
      <c r="F104" s="117">
        <f t="shared" si="31"/>
        <v>0</v>
      </c>
      <c r="H104" s="56">
        <f t="shared" si="34"/>
        <v>0</v>
      </c>
      <c r="I104" s="56">
        <f t="shared" si="34"/>
        <v>0</v>
      </c>
      <c r="J104" s="56">
        <f t="shared" si="34"/>
        <v>0</v>
      </c>
      <c r="K104" s="56">
        <f t="shared" si="34"/>
        <v>0</v>
      </c>
    </row>
    <row r="105" spans="1:11" x14ac:dyDescent="0.25">
      <c r="C105" s="73"/>
      <c r="D105" s="63"/>
      <c r="H105" s="63"/>
      <c r="I105" s="63"/>
      <c r="J105" s="63"/>
      <c r="K105" s="63"/>
    </row>
    <row r="106" spans="1:11" x14ac:dyDescent="0.25">
      <c r="C106" s="73"/>
      <c r="D106" s="63"/>
      <c r="H106" s="63"/>
      <c r="I106" s="63"/>
      <c r="J106" s="63"/>
      <c r="K106" s="63"/>
    </row>
    <row r="107" spans="1:11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</row>
    <row r="108" spans="1:11" x14ac:dyDescent="0.25">
      <c r="A108" s="53" t="s">
        <v>33</v>
      </c>
      <c r="B108" s="69">
        <f>+C54</f>
        <v>35.89</v>
      </c>
      <c r="C108" s="124"/>
      <c r="D108" s="56"/>
      <c r="H108" s="56"/>
      <c r="I108" s="56"/>
      <c r="J108" s="56"/>
      <c r="K108" s="56"/>
    </row>
    <row r="109" spans="1:11" x14ac:dyDescent="0.25">
      <c r="A109" s="53" t="s">
        <v>40</v>
      </c>
      <c r="B109" s="69">
        <f t="shared" ref="B109:B131" si="36">+C55</f>
        <v>46.66</v>
      </c>
      <c r="C109" s="124"/>
      <c r="D109" s="56"/>
      <c r="H109" s="56"/>
      <c r="I109" s="56"/>
      <c r="J109" s="56"/>
      <c r="K109" s="56"/>
    </row>
    <row r="110" spans="1:11" x14ac:dyDescent="0.25">
      <c r="A110" s="53" t="s">
        <v>36</v>
      </c>
      <c r="B110" s="69">
        <f t="shared" si="36"/>
        <v>34.699999999999996</v>
      </c>
      <c r="C110" s="124"/>
      <c r="D110" s="56"/>
      <c r="H110" s="56"/>
      <c r="I110" s="56"/>
      <c r="J110" s="56"/>
      <c r="K110" s="56"/>
    </row>
    <row r="111" spans="1:11" x14ac:dyDescent="0.25">
      <c r="A111" s="53" t="s">
        <v>41</v>
      </c>
      <c r="B111" s="69">
        <f t="shared" si="36"/>
        <v>45.46</v>
      </c>
      <c r="C111" s="124"/>
      <c r="D111" s="56"/>
      <c r="H111" s="56"/>
      <c r="I111" s="56"/>
      <c r="J111" s="56"/>
      <c r="K111" s="56"/>
    </row>
    <row r="112" spans="1:11" x14ac:dyDescent="0.25">
      <c r="A112" s="53" t="s">
        <v>182</v>
      </c>
      <c r="B112" s="69">
        <f t="shared" si="36"/>
        <v>11.4</v>
      </c>
      <c r="C112" s="124"/>
      <c r="D112" s="56"/>
      <c r="F112" s="25">
        <v>1</v>
      </c>
      <c r="H112" s="56"/>
      <c r="I112" s="56"/>
      <c r="J112" s="56"/>
      <c r="K112" s="56"/>
    </row>
    <row r="113" spans="1:11" x14ac:dyDescent="0.25">
      <c r="A113" s="53" t="s">
        <v>190</v>
      </c>
      <c r="B113" s="69">
        <f t="shared" si="36"/>
        <v>3.3099999999999996</v>
      </c>
      <c r="C113" s="124">
        <v>0.67</v>
      </c>
      <c r="D113" s="56">
        <v>0.67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</row>
    <row r="114" spans="1:11" x14ac:dyDescent="0.25">
      <c r="A114" s="53" t="s">
        <v>15</v>
      </c>
      <c r="B114" s="69">
        <f t="shared" si="36"/>
        <v>0.75</v>
      </c>
      <c r="C114" s="124">
        <v>0.4</v>
      </c>
      <c r="D114" s="56">
        <v>0.4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</row>
    <row r="115" spans="1:11" x14ac:dyDescent="0.25">
      <c r="A115" s="53" t="s">
        <v>295</v>
      </c>
      <c r="B115" s="69">
        <f t="shared" si="36"/>
        <v>8.82</v>
      </c>
      <c r="C115" s="124">
        <v>2</v>
      </c>
      <c r="D115" s="56">
        <v>2</v>
      </c>
      <c r="H115" s="56">
        <v>2</v>
      </c>
      <c r="I115" s="56">
        <v>2</v>
      </c>
      <c r="J115" s="56">
        <v>2</v>
      </c>
      <c r="K115" s="56">
        <v>2</v>
      </c>
    </row>
    <row r="116" spans="1:11" x14ac:dyDescent="0.25">
      <c r="A116" s="53" t="s">
        <v>221</v>
      </c>
      <c r="B116" s="69">
        <f t="shared" si="36"/>
        <v>1.1399999999999999</v>
      </c>
      <c r="C116" s="124"/>
      <c r="D116" s="56"/>
      <c r="F116" s="25">
        <v>1</v>
      </c>
      <c r="H116" s="56"/>
      <c r="I116" s="56"/>
      <c r="J116" s="56"/>
      <c r="K116" s="56"/>
    </row>
    <row r="117" spans="1:11" x14ac:dyDescent="0.25">
      <c r="A117" s="53" t="s">
        <v>29</v>
      </c>
      <c r="B117" s="69">
        <f t="shared" si="36"/>
        <v>0.04</v>
      </c>
      <c r="C117" s="124">
        <v>5</v>
      </c>
      <c r="D117" s="56">
        <v>5</v>
      </c>
      <c r="H117" s="56">
        <v>5</v>
      </c>
      <c r="I117" s="56">
        <v>5</v>
      </c>
      <c r="J117" s="56">
        <v>5</v>
      </c>
      <c r="K117" s="56">
        <v>5</v>
      </c>
    </row>
    <row r="118" spans="1:11" x14ac:dyDescent="0.25">
      <c r="A118" s="53" t="s">
        <v>30</v>
      </c>
      <c r="B118" s="69">
        <f t="shared" si="36"/>
        <v>0.04</v>
      </c>
      <c r="C118" s="124">
        <v>5</v>
      </c>
      <c r="D118" s="56">
        <v>5</v>
      </c>
      <c r="H118" s="56">
        <v>5</v>
      </c>
      <c r="I118" s="56">
        <v>5</v>
      </c>
      <c r="J118" s="56">
        <v>5</v>
      </c>
      <c r="K118" s="56">
        <v>5</v>
      </c>
    </row>
    <row r="119" spans="1:11" x14ac:dyDescent="0.25">
      <c r="A119" s="53" t="s">
        <v>211</v>
      </c>
      <c r="B119" s="69">
        <f t="shared" si="36"/>
        <v>5.8999999999999995</v>
      </c>
      <c r="C119" s="124"/>
      <c r="D119" s="56"/>
      <c r="H119" s="56"/>
      <c r="I119" s="56"/>
      <c r="J119" s="56"/>
      <c r="K119" s="56"/>
    </row>
    <row r="120" spans="1:11" x14ac:dyDescent="0.25">
      <c r="A120" s="53" t="s">
        <v>191</v>
      </c>
      <c r="B120" s="69">
        <f t="shared" si="36"/>
        <v>9.83</v>
      </c>
      <c r="C120" s="124"/>
      <c r="D120" s="56"/>
      <c r="H120" s="56"/>
      <c r="I120" s="56"/>
      <c r="J120" s="56"/>
      <c r="K120" s="56"/>
    </row>
    <row r="121" spans="1:11" x14ac:dyDescent="0.25">
      <c r="A121" s="53" t="s">
        <v>203</v>
      </c>
      <c r="B121" s="69">
        <f t="shared" si="36"/>
        <v>8.82</v>
      </c>
      <c r="C121" s="124"/>
      <c r="D121" s="56"/>
      <c r="H121" s="56"/>
      <c r="I121" s="56"/>
      <c r="J121" s="56"/>
      <c r="K121" s="56"/>
    </row>
    <row r="122" spans="1:11" x14ac:dyDescent="0.25">
      <c r="A122" s="53" t="s">
        <v>204</v>
      </c>
      <c r="B122" s="69">
        <f t="shared" si="36"/>
        <v>8.82</v>
      </c>
      <c r="C122" s="124"/>
      <c r="D122" s="56"/>
      <c r="H122" s="56"/>
      <c r="I122" s="56"/>
      <c r="J122" s="56"/>
      <c r="K122" s="56"/>
    </row>
    <row r="123" spans="1:11" x14ac:dyDescent="0.25">
      <c r="A123" s="53" t="s">
        <v>205</v>
      </c>
      <c r="B123" s="69">
        <f t="shared" si="36"/>
        <v>8.82</v>
      </c>
      <c r="C123" s="124"/>
      <c r="D123" s="56"/>
      <c r="H123" s="56"/>
      <c r="I123" s="56"/>
      <c r="J123" s="56"/>
      <c r="K123" s="56"/>
    </row>
    <row r="124" spans="1:11" x14ac:dyDescent="0.25">
      <c r="A124" s="53" t="s">
        <v>206</v>
      </c>
      <c r="B124" s="69">
        <f t="shared" si="36"/>
        <v>8.82</v>
      </c>
      <c r="C124" s="124"/>
      <c r="D124" s="56"/>
      <c r="H124" s="56"/>
      <c r="I124" s="56"/>
      <c r="J124" s="56"/>
      <c r="K124" s="56"/>
    </row>
    <row r="125" spans="1:11" x14ac:dyDescent="0.25">
      <c r="A125" s="60">
        <v>1510</v>
      </c>
      <c r="B125" s="69">
        <f t="shared" si="36"/>
        <v>20.680000000000003</v>
      </c>
      <c r="C125" s="125"/>
      <c r="D125" s="56"/>
      <c r="H125" s="56"/>
      <c r="I125" s="56"/>
      <c r="J125" s="56"/>
      <c r="K125" s="56"/>
    </row>
    <row r="126" spans="1:11" x14ac:dyDescent="0.25">
      <c r="A126" s="60">
        <v>1511</v>
      </c>
      <c r="B126" s="69">
        <f t="shared" si="36"/>
        <v>11</v>
      </c>
      <c r="C126" s="125"/>
      <c r="D126" s="56"/>
      <c r="H126" s="56"/>
      <c r="I126" s="56"/>
      <c r="J126" s="56"/>
      <c r="K126" s="56"/>
    </row>
    <row r="127" spans="1:11" x14ac:dyDescent="0.25">
      <c r="A127" s="53" t="s">
        <v>207</v>
      </c>
      <c r="B127" s="69">
        <f t="shared" si="36"/>
        <v>2.4499999999999997</v>
      </c>
      <c r="C127" s="125"/>
      <c r="D127" s="56"/>
      <c r="H127" s="56"/>
      <c r="I127" s="56"/>
      <c r="J127" s="56"/>
      <c r="K127" s="56"/>
    </row>
    <row r="128" spans="1:11" x14ac:dyDescent="0.25">
      <c r="A128" s="53" t="s">
        <v>208</v>
      </c>
      <c r="B128" s="69">
        <f t="shared" si="36"/>
        <v>2.6799999999999997</v>
      </c>
      <c r="C128" s="124"/>
      <c r="D128" s="56"/>
      <c r="H128" s="56"/>
      <c r="I128" s="56"/>
      <c r="J128" s="56"/>
      <c r="K128" s="56"/>
    </row>
    <row r="129" spans="1:11" x14ac:dyDescent="0.25">
      <c r="A129" s="53" t="s">
        <v>209</v>
      </c>
      <c r="B129" s="69">
        <f t="shared" si="36"/>
        <v>2.4499999999999997</v>
      </c>
      <c r="C129" s="124"/>
      <c r="D129" s="56"/>
      <c r="H129" s="56"/>
      <c r="I129" s="56"/>
      <c r="J129" s="56"/>
      <c r="K129" s="56"/>
    </row>
    <row r="130" spans="1:11" x14ac:dyDescent="0.25">
      <c r="A130" s="53">
        <v>1335</v>
      </c>
      <c r="B130" s="69">
        <f t="shared" si="36"/>
        <v>5.87</v>
      </c>
      <c r="C130" s="124"/>
      <c r="D130" s="56"/>
      <c r="H130" s="56"/>
      <c r="I130" s="56"/>
      <c r="J130" s="56"/>
      <c r="K130" s="56"/>
    </row>
    <row r="131" spans="1:11" x14ac:dyDescent="0.25">
      <c r="A131" s="53" t="s">
        <v>210</v>
      </c>
      <c r="B131" s="69">
        <f t="shared" si="36"/>
        <v>1.32</v>
      </c>
      <c r="C131" s="124"/>
      <c r="D131" s="56"/>
      <c r="H131" s="56"/>
      <c r="I131" s="56"/>
      <c r="J131" s="56"/>
      <c r="K131" s="56"/>
    </row>
    <row r="132" spans="1:11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K132" si="37">SUMPRODUCT($B$108:$B$131,F$108:F$131)</f>
        <v>12.540000000000001</v>
      </c>
      <c r="G132" s="120">
        <f t="shared" si="37"/>
        <v>1.3085</v>
      </c>
      <c r="H132" s="120">
        <f t="shared" si="37"/>
        <v>20.557699999999997</v>
      </c>
      <c r="I132" s="120">
        <f t="shared" si="37"/>
        <v>20.557699999999997</v>
      </c>
      <c r="J132" s="120">
        <f t="shared" si="37"/>
        <v>20.557699999999997</v>
      </c>
      <c r="K132" s="120">
        <f t="shared" si="37"/>
        <v>20.557699999999997</v>
      </c>
    </row>
    <row r="134" spans="1:11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128"/>
      <c r="F134" s="128">
        <f>+F132+B108</f>
        <v>48.43</v>
      </c>
      <c r="G134" s="128">
        <f t="shared" ref="G134:K134" si="38">+G132</f>
        <v>1.3085</v>
      </c>
      <c r="H134" s="128">
        <f t="shared" si="38"/>
        <v>20.557699999999997</v>
      </c>
      <c r="I134" s="128">
        <f t="shared" si="38"/>
        <v>20.557699999999997</v>
      </c>
      <c r="J134" s="128">
        <f t="shared" si="38"/>
        <v>20.557699999999997</v>
      </c>
      <c r="K134" s="128">
        <f t="shared" si="38"/>
        <v>20.557699999999997</v>
      </c>
    </row>
    <row r="135" spans="1:11" x14ac:dyDescent="0.25">
      <c r="A135" s="126" t="s">
        <v>40</v>
      </c>
      <c r="B135" s="127"/>
      <c r="C135" s="128">
        <f t="shared" ref="C135:D137" si="39">+C134</f>
        <v>20.557699999999997</v>
      </c>
      <c r="D135" s="128">
        <f t="shared" si="39"/>
        <v>20.557699999999997</v>
      </c>
      <c r="E135" s="128"/>
      <c r="F135" s="128">
        <f>+F132+B109</f>
        <v>59.199999999999996</v>
      </c>
      <c r="G135" s="128">
        <f>+G134</f>
        <v>1.3085</v>
      </c>
      <c r="H135" s="128">
        <f t="shared" ref="H135:K135" si="40">+H134</f>
        <v>20.557699999999997</v>
      </c>
      <c r="I135" s="128">
        <f t="shared" si="40"/>
        <v>20.557699999999997</v>
      </c>
      <c r="J135" s="128">
        <f t="shared" si="40"/>
        <v>20.557699999999997</v>
      </c>
      <c r="K135" s="128">
        <f t="shared" si="40"/>
        <v>20.557699999999997</v>
      </c>
    </row>
    <row r="136" spans="1:11" x14ac:dyDescent="0.25">
      <c r="A136" s="126" t="s">
        <v>36</v>
      </c>
      <c r="B136" s="127"/>
      <c r="C136" s="128">
        <f t="shared" si="39"/>
        <v>20.557699999999997</v>
      </c>
      <c r="D136" s="128">
        <f t="shared" si="39"/>
        <v>20.557699999999997</v>
      </c>
      <c r="E136" s="128"/>
      <c r="F136" s="128">
        <f>+F132+B110</f>
        <v>47.239999999999995</v>
      </c>
      <c r="G136" s="128">
        <f>+G135</f>
        <v>1.3085</v>
      </c>
      <c r="H136" s="128">
        <f t="shared" ref="H136:K136" si="41">+H135</f>
        <v>20.557699999999997</v>
      </c>
      <c r="I136" s="128">
        <f t="shared" si="41"/>
        <v>20.557699999999997</v>
      </c>
      <c r="J136" s="128">
        <f t="shared" si="41"/>
        <v>20.557699999999997</v>
      </c>
      <c r="K136" s="128">
        <f t="shared" si="41"/>
        <v>20.557699999999997</v>
      </c>
    </row>
    <row r="137" spans="1:11" x14ac:dyDescent="0.25">
      <c r="A137" s="126" t="s">
        <v>41</v>
      </c>
      <c r="B137" s="127"/>
      <c r="C137" s="128">
        <f t="shared" si="39"/>
        <v>20.557699999999997</v>
      </c>
      <c r="D137" s="128">
        <f t="shared" si="39"/>
        <v>20.557699999999997</v>
      </c>
      <c r="E137" s="128"/>
      <c r="F137" s="128">
        <f>+F132+B111</f>
        <v>58</v>
      </c>
      <c r="G137" s="128">
        <f>+G136</f>
        <v>1.3085</v>
      </c>
      <c r="H137" s="128">
        <f t="shared" ref="H137:K137" si="42">+H136</f>
        <v>20.557699999999997</v>
      </c>
      <c r="I137" s="128">
        <f t="shared" si="42"/>
        <v>20.557699999999997</v>
      </c>
      <c r="J137" s="128">
        <f t="shared" si="42"/>
        <v>20.557699999999997</v>
      </c>
      <c r="K137" s="128">
        <f t="shared" si="42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392" t="s">
        <v>172</v>
      </c>
      <c r="B1" s="393"/>
      <c r="C1" s="260" t="s">
        <v>349</v>
      </c>
      <c r="D1" s="260" t="s">
        <v>348</v>
      </c>
      <c r="E1" s="260" t="s">
        <v>350</v>
      </c>
      <c r="F1" s="392" t="s">
        <v>351</v>
      </c>
      <c r="G1" s="393"/>
    </row>
    <row r="2" spans="1:7" ht="15.6" x14ac:dyDescent="0.3">
      <c r="A2" s="258" t="s">
        <v>33</v>
      </c>
      <c r="B2" s="257" t="s">
        <v>34</v>
      </c>
      <c r="C2" s="257">
        <v>2429.6</v>
      </c>
      <c r="D2" s="257">
        <v>544.80000000000007</v>
      </c>
      <c r="E2" s="257">
        <v>78.5</v>
      </c>
      <c r="F2" s="258">
        <f>+E2+D2+C2</f>
        <v>3052.9</v>
      </c>
      <c r="G2" s="258" t="s">
        <v>34</v>
      </c>
    </row>
    <row r="3" spans="1:7" ht="15.6" x14ac:dyDescent="0.3">
      <c r="A3" s="258" t="s">
        <v>182</v>
      </c>
      <c r="B3" s="257" t="s">
        <v>34</v>
      </c>
      <c r="C3" s="257">
        <v>2429.6</v>
      </c>
      <c r="D3" s="257">
        <v>541.1</v>
      </c>
      <c r="E3" s="257">
        <v>77.599999999999994</v>
      </c>
      <c r="F3" s="258">
        <f t="shared" ref="F3:F35" si="0">+E3+D3+C3</f>
        <v>3048.3</v>
      </c>
      <c r="G3" s="258" t="s">
        <v>34</v>
      </c>
    </row>
    <row r="4" spans="1:7" ht="15.6" x14ac:dyDescent="0.3">
      <c r="A4" s="258" t="s">
        <v>12</v>
      </c>
      <c r="B4" s="257" t="s">
        <v>13</v>
      </c>
      <c r="C4" s="257">
        <v>683.9</v>
      </c>
      <c r="D4" s="257">
        <v>218.29999999999998</v>
      </c>
      <c r="E4" s="257">
        <v>22.5</v>
      </c>
      <c r="F4" s="258">
        <v>925</v>
      </c>
      <c r="G4" s="258" t="s">
        <v>13</v>
      </c>
    </row>
    <row r="5" spans="1:7" ht="15.6" x14ac:dyDescent="0.3">
      <c r="A5" s="258" t="s">
        <v>15</v>
      </c>
      <c r="B5" s="257" t="s">
        <v>16</v>
      </c>
      <c r="C5" s="257">
        <v>274.40000000000003</v>
      </c>
      <c r="D5" s="257">
        <v>131</v>
      </c>
      <c r="E5" s="257">
        <v>13.5</v>
      </c>
      <c r="F5" s="258">
        <v>419</v>
      </c>
      <c r="G5" s="258" t="s">
        <v>16</v>
      </c>
    </row>
    <row r="6" spans="1:7" ht="15.6" x14ac:dyDescent="0.3">
      <c r="A6" s="258" t="s">
        <v>295</v>
      </c>
      <c r="B6" s="257" t="s">
        <v>189</v>
      </c>
      <c r="C6" s="257">
        <v>230.9</v>
      </c>
      <c r="D6" s="257">
        <v>82.6</v>
      </c>
      <c r="E6" s="257">
        <v>6.5</v>
      </c>
      <c r="F6" s="258">
        <f t="shared" si="0"/>
        <v>320</v>
      </c>
      <c r="G6" s="258" t="s">
        <v>189</v>
      </c>
    </row>
    <row r="7" spans="1:7" ht="15.6" x14ac:dyDescent="0.3">
      <c r="A7" s="258" t="s">
        <v>260</v>
      </c>
      <c r="B7" s="257" t="s">
        <v>214</v>
      </c>
      <c r="C7" s="257"/>
      <c r="D7" s="257"/>
      <c r="E7" s="257">
        <v>6.5</v>
      </c>
      <c r="F7" s="258">
        <v>7</v>
      </c>
      <c r="G7" s="258" t="s">
        <v>214</v>
      </c>
    </row>
    <row r="8" spans="1:7" ht="15.6" x14ac:dyDescent="0.3">
      <c r="A8" s="258" t="s">
        <v>261</v>
      </c>
      <c r="B8" s="257" t="s">
        <v>214</v>
      </c>
      <c r="C8" s="257">
        <v>79.8</v>
      </c>
      <c r="D8" s="257"/>
      <c r="E8" s="257">
        <v>3.3000000000000003</v>
      </c>
      <c r="F8" s="258">
        <v>84</v>
      </c>
      <c r="G8" s="258" t="s">
        <v>214</v>
      </c>
    </row>
    <row r="9" spans="1:7" ht="15.6" x14ac:dyDescent="0.3">
      <c r="A9" s="258" t="s">
        <v>203</v>
      </c>
      <c r="B9" s="257" t="s">
        <v>214</v>
      </c>
      <c r="C9" s="257"/>
      <c r="D9" s="257"/>
      <c r="E9" s="257">
        <v>4</v>
      </c>
      <c r="F9" s="258">
        <f t="shared" si="0"/>
        <v>4</v>
      </c>
      <c r="G9" s="258" t="s">
        <v>214</v>
      </c>
    </row>
    <row r="10" spans="1:7" ht="15.6" x14ac:dyDescent="0.3">
      <c r="A10" s="258" t="s">
        <v>204</v>
      </c>
      <c r="B10" s="257" t="s">
        <v>214</v>
      </c>
      <c r="C10" s="257"/>
      <c r="D10" s="257"/>
      <c r="E10" s="257">
        <v>4</v>
      </c>
      <c r="F10" s="258">
        <f t="shared" si="0"/>
        <v>4</v>
      </c>
      <c r="G10" s="258" t="s">
        <v>214</v>
      </c>
    </row>
    <row r="11" spans="1:7" ht="15.6" x14ac:dyDescent="0.3">
      <c r="A11" s="258" t="s">
        <v>205</v>
      </c>
      <c r="B11" s="257" t="s">
        <v>214</v>
      </c>
      <c r="C11" s="257"/>
      <c r="D11" s="257"/>
      <c r="E11" s="257">
        <v>4</v>
      </c>
      <c r="F11" s="258">
        <f t="shared" si="0"/>
        <v>4</v>
      </c>
      <c r="G11" s="258" t="s">
        <v>214</v>
      </c>
    </row>
    <row r="12" spans="1:7" ht="15.6" x14ac:dyDescent="0.3">
      <c r="A12" s="258" t="s">
        <v>206</v>
      </c>
      <c r="B12" s="257" t="s">
        <v>214</v>
      </c>
      <c r="C12" s="257"/>
      <c r="D12" s="257"/>
      <c r="E12" s="257">
        <v>4</v>
      </c>
      <c r="F12" s="258">
        <f t="shared" si="0"/>
        <v>4</v>
      </c>
      <c r="G12" s="258" t="s">
        <v>214</v>
      </c>
    </row>
    <row r="13" spans="1:7" ht="15.6" x14ac:dyDescent="0.3">
      <c r="A13" s="258" t="s">
        <v>25</v>
      </c>
      <c r="B13" s="257" t="s">
        <v>19</v>
      </c>
      <c r="C13" s="257">
        <v>306.40000000000003</v>
      </c>
      <c r="D13" s="257"/>
      <c r="E13" s="257">
        <v>91.399999999999991</v>
      </c>
      <c r="F13" s="258">
        <v>398</v>
      </c>
      <c r="G13" s="258" t="s">
        <v>19</v>
      </c>
    </row>
    <row r="14" spans="1:7" ht="15.6" x14ac:dyDescent="0.3">
      <c r="A14" s="258" t="s">
        <v>29</v>
      </c>
      <c r="B14" s="257" t="s">
        <v>27</v>
      </c>
      <c r="C14" s="257">
        <v>3462.2999999999997</v>
      </c>
      <c r="D14" s="257">
        <v>1238.1999999999998</v>
      </c>
      <c r="E14" s="257">
        <v>216.9</v>
      </c>
      <c r="F14" s="258">
        <v>4918</v>
      </c>
      <c r="G14" s="258" t="s">
        <v>27</v>
      </c>
    </row>
    <row r="15" spans="1:7" ht="15.6" x14ac:dyDescent="0.3">
      <c r="A15" s="258" t="s">
        <v>30</v>
      </c>
      <c r="B15" s="257" t="s">
        <v>27</v>
      </c>
      <c r="C15" s="257">
        <v>3462.2999999999997</v>
      </c>
      <c r="D15" s="257">
        <v>1238.1999999999998</v>
      </c>
      <c r="E15" s="257">
        <v>216.9</v>
      </c>
      <c r="F15" s="258">
        <v>4918</v>
      </c>
      <c r="G15" s="258" t="s">
        <v>27</v>
      </c>
    </row>
    <row r="16" spans="1:7" ht="15.6" x14ac:dyDescent="0.3">
      <c r="A16" s="258" t="s">
        <v>352</v>
      </c>
      <c r="B16" s="257" t="s">
        <v>27</v>
      </c>
      <c r="C16" s="257">
        <v>386</v>
      </c>
      <c r="D16" s="257"/>
      <c r="E16" s="257"/>
      <c r="F16" s="258">
        <f t="shared" si="0"/>
        <v>386</v>
      </c>
      <c r="G16" s="258" t="s">
        <v>27</v>
      </c>
    </row>
    <row r="17" spans="1:7" ht="15.6" x14ac:dyDescent="0.3">
      <c r="A17" s="259">
        <v>1335</v>
      </c>
      <c r="B17" s="257" t="s">
        <v>27</v>
      </c>
      <c r="C17" s="257">
        <v>288</v>
      </c>
      <c r="D17" s="257"/>
      <c r="E17" s="257"/>
      <c r="F17" s="258">
        <f t="shared" si="0"/>
        <v>288</v>
      </c>
      <c r="G17" s="258" t="s">
        <v>27</v>
      </c>
    </row>
    <row r="18" spans="1:7" ht="15.6" x14ac:dyDescent="0.3">
      <c r="A18" s="259">
        <v>1103</v>
      </c>
      <c r="B18" s="257" t="s">
        <v>27</v>
      </c>
      <c r="C18" s="257">
        <v>193</v>
      </c>
      <c r="D18" s="257"/>
      <c r="E18" s="257"/>
      <c r="F18" s="258">
        <f t="shared" si="0"/>
        <v>193</v>
      </c>
      <c r="G18" s="258" t="s">
        <v>27</v>
      </c>
    </row>
    <row r="19" spans="1:7" ht="15.6" x14ac:dyDescent="0.3">
      <c r="A19" s="259">
        <v>1101</v>
      </c>
      <c r="B19" s="257" t="s">
        <v>27</v>
      </c>
      <c r="C19" s="257">
        <v>193</v>
      </c>
      <c r="D19" s="257"/>
      <c r="E19" s="257"/>
      <c r="F19" s="258">
        <f t="shared" si="0"/>
        <v>193</v>
      </c>
      <c r="G19" s="258" t="s">
        <v>27</v>
      </c>
    </row>
    <row r="20" spans="1:7" ht="15.6" x14ac:dyDescent="0.3">
      <c r="A20" s="259" t="s">
        <v>208</v>
      </c>
      <c r="B20" s="257" t="s">
        <v>27</v>
      </c>
      <c r="C20" s="257"/>
      <c r="D20" s="257"/>
      <c r="E20" s="257">
        <v>24</v>
      </c>
      <c r="F20" s="258">
        <f t="shared" si="0"/>
        <v>24</v>
      </c>
      <c r="G20" s="258" t="s">
        <v>27</v>
      </c>
    </row>
    <row r="21" spans="1:7" ht="15.6" x14ac:dyDescent="0.3">
      <c r="A21" s="259">
        <v>1636</v>
      </c>
      <c r="B21" s="257" t="s">
        <v>27</v>
      </c>
      <c r="C21" s="257">
        <v>386</v>
      </c>
      <c r="D21" s="257"/>
      <c r="E21" s="257"/>
      <c r="F21" s="258">
        <f t="shared" si="0"/>
        <v>386</v>
      </c>
      <c r="G21" s="258" t="s">
        <v>27</v>
      </c>
    </row>
    <row r="22" spans="1:7" ht="15.6" x14ac:dyDescent="0.3">
      <c r="A22" s="259">
        <v>1510</v>
      </c>
      <c r="B22" s="257" t="s">
        <v>27</v>
      </c>
      <c r="C22" s="257"/>
      <c r="D22" s="257"/>
      <c r="E22" s="257">
        <v>6</v>
      </c>
      <c r="F22" s="258">
        <f t="shared" si="0"/>
        <v>6</v>
      </c>
      <c r="G22" s="258" t="s">
        <v>27</v>
      </c>
    </row>
    <row r="23" spans="1:7" ht="15.6" x14ac:dyDescent="0.3">
      <c r="A23" s="259">
        <v>1511</v>
      </c>
      <c r="B23" s="257" t="s">
        <v>27</v>
      </c>
      <c r="C23" s="257"/>
      <c r="D23" s="257"/>
      <c r="E23" s="257">
        <v>6</v>
      </c>
      <c r="F23" s="258">
        <f t="shared" si="0"/>
        <v>6</v>
      </c>
      <c r="G23" s="258" t="s">
        <v>27</v>
      </c>
    </row>
    <row r="24" spans="1:7" ht="15.6" x14ac:dyDescent="0.3">
      <c r="A24" s="259">
        <v>1520</v>
      </c>
      <c r="B24" s="257" t="s">
        <v>27</v>
      </c>
      <c r="C24" s="257">
        <v>98</v>
      </c>
      <c r="D24" s="257"/>
      <c r="E24" s="257"/>
      <c r="F24" s="258">
        <f t="shared" si="0"/>
        <v>98</v>
      </c>
      <c r="G24" s="258" t="s">
        <v>27</v>
      </c>
    </row>
    <row r="25" spans="1:7" ht="15.6" x14ac:dyDescent="0.3">
      <c r="A25" s="259">
        <v>1531</v>
      </c>
      <c r="B25" s="257" t="s">
        <v>27</v>
      </c>
      <c r="C25" s="257">
        <v>98</v>
      </c>
      <c r="D25" s="257"/>
      <c r="E25" s="257"/>
      <c r="F25" s="258">
        <v>98</v>
      </c>
      <c r="G25" s="258" t="s">
        <v>27</v>
      </c>
    </row>
    <row r="26" spans="1:7" ht="15.6" x14ac:dyDescent="0.3">
      <c r="A26" s="259">
        <v>1038</v>
      </c>
      <c r="B26" s="257" t="s">
        <v>27</v>
      </c>
      <c r="C26" s="257">
        <v>386</v>
      </c>
      <c r="D26" s="257"/>
      <c r="E26" s="257"/>
      <c r="F26" s="258">
        <f t="shared" si="0"/>
        <v>386</v>
      </c>
      <c r="G26" s="258" t="s">
        <v>27</v>
      </c>
    </row>
    <row r="27" spans="1:7" ht="15.6" x14ac:dyDescent="0.3">
      <c r="A27" s="259">
        <v>1013</v>
      </c>
      <c r="B27" s="257" t="s">
        <v>27</v>
      </c>
      <c r="C27" s="257">
        <v>193</v>
      </c>
      <c r="D27" s="257"/>
      <c r="E27" s="257"/>
      <c r="F27" s="258">
        <f t="shared" si="0"/>
        <v>193</v>
      </c>
      <c r="G27" s="258" t="s">
        <v>27</v>
      </c>
    </row>
    <row r="28" spans="1:7" ht="15.6" x14ac:dyDescent="0.3">
      <c r="A28" s="259">
        <v>1201</v>
      </c>
      <c r="B28" s="257" t="s">
        <v>27</v>
      </c>
      <c r="C28" s="257">
        <v>3</v>
      </c>
      <c r="D28" s="257"/>
      <c r="E28" s="257"/>
      <c r="F28" s="258">
        <f t="shared" si="0"/>
        <v>3</v>
      </c>
      <c r="G28" s="258" t="s">
        <v>27</v>
      </c>
    </row>
    <row r="29" spans="1:7" ht="15.6" x14ac:dyDescent="0.3">
      <c r="A29" s="259" t="s">
        <v>183</v>
      </c>
      <c r="B29" s="257" t="s">
        <v>27</v>
      </c>
      <c r="C29" s="257">
        <v>3</v>
      </c>
      <c r="D29" s="257"/>
      <c r="E29" s="257"/>
      <c r="F29" s="258">
        <v>0</v>
      </c>
      <c r="G29" s="258" t="s">
        <v>27</v>
      </c>
    </row>
    <row r="30" spans="1:7" ht="15.6" x14ac:dyDescent="0.3">
      <c r="A30" s="259" t="s">
        <v>345</v>
      </c>
      <c r="B30" s="257" t="s">
        <v>27</v>
      </c>
      <c r="C30" s="257">
        <v>97</v>
      </c>
      <c r="D30" s="257"/>
      <c r="E30" s="257"/>
      <c r="F30" s="258">
        <f t="shared" si="0"/>
        <v>97</v>
      </c>
      <c r="G30" s="258" t="s">
        <v>27</v>
      </c>
    </row>
    <row r="31" spans="1:7" ht="15.6" x14ac:dyDescent="0.3">
      <c r="A31" s="259">
        <v>1203</v>
      </c>
      <c r="B31" s="257" t="s">
        <v>27</v>
      </c>
      <c r="C31" s="257">
        <v>68</v>
      </c>
      <c r="D31" s="257"/>
      <c r="E31" s="257"/>
      <c r="F31" s="258">
        <f t="shared" si="0"/>
        <v>68</v>
      </c>
      <c r="G31" s="258" t="s">
        <v>27</v>
      </c>
    </row>
    <row r="32" spans="1:7" ht="15.6" x14ac:dyDescent="0.3">
      <c r="A32" s="259">
        <v>1209</v>
      </c>
      <c r="B32" s="257" t="s">
        <v>27</v>
      </c>
      <c r="C32" s="257">
        <v>123</v>
      </c>
      <c r="D32" s="257"/>
      <c r="E32" s="257"/>
      <c r="F32" s="258">
        <f t="shared" si="0"/>
        <v>123</v>
      </c>
      <c r="G32" s="258" t="s">
        <v>27</v>
      </c>
    </row>
    <row r="33" spans="1:7" ht="15.6" x14ac:dyDescent="0.3">
      <c r="A33" s="259">
        <v>1310</v>
      </c>
      <c r="B33" s="257" t="s">
        <v>27</v>
      </c>
      <c r="C33" s="257">
        <v>3</v>
      </c>
      <c r="D33" s="257"/>
      <c r="E33" s="257"/>
      <c r="F33" s="258">
        <f t="shared" si="0"/>
        <v>3</v>
      </c>
      <c r="G33" s="258" t="s">
        <v>27</v>
      </c>
    </row>
    <row r="34" spans="1:7" ht="15.6" x14ac:dyDescent="0.3">
      <c r="A34" s="259">
        <v>1302</v>
      </c>
      <c r="B34" s="257" t="s">
        <v>27</v>
      </c>
      <c r="C34" s="257">
        <v>126</v>
      </c>
      <c r="D34" s="257"/>
      <c r="E34" s="257"/>
      <c r="F34" s="258">
        <f t="shared" si="0"/>
        <v>126</v>
      </c>
      <c r="G34" s="258" t="s">
        <v>27</v>
      </c>
    </row>
    <row r="35" spans="1:7" ht="15.6" x14ac:dyDescent="0.3">
      <c r="A35" s="259">
        <v>1329</v>
      </c>
      <c r="B35" s="257" t="s">
        <v>27</v>
      </c>
      <c r="C35" s="257">
        <v>126</v>
      </c>
      <c r="D35" s="257"/>
      <c r="E35" s="257"/>
      <c r="F35" s="258">
        <f t="shared" si="0"/>
        <v>126</v>
      </c>
      <c r="G35" s="258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8</vt:i4>
      </vt:variant>
    </vt:vector>
  </HeadingPairs>
  <TitlesOfParts>
    <vt:vector size="15" baseType="lpstr">
      <vt:lpstr>proforma</vt:lpstr>
      <vt:lpstr>Costo M.P.yMat.</vt:lpstr>
      <vt:lpstr>Fachada tub.herr.</vt:lpstr>
      <vt:lpstr>P-V.Corrediza</vt:lpstr>
      <vt:lpstr>P.Batiente</vt:lpstr>
      <vt:lpstr>Pano Fijo</vt:lpstr>
      <vt:lpstr>resumen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2015-01-25T19:28:45Z</cp:lastPrinted>
  <dcterms:created xsi:type="dcterms:W3CDTF">1999-11-30T09:46:06Z</dcterms:created>
  <dcterms:modified xsi:type="dcterms:W3CDTF">2024-04-10T13:34:52Z</dcterms:modified>
</cp:coreProperties>
</file>